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1560" yWindow="8940" windowWidth="34580" windowHeight="27560" tabRatio="500"/>
  </bookViews>
  <sheets>
    <sheet name="Simple EC2 vs Lambda" sheetId="1" r:id="rId1"/>
    <sheet name="Complex EC2 vs Lambd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C13" i="1"/>
  <c r="E13" i="1"/>
  <c r="C14" i="1"/>
  <c r="E14" i="1"/>
  <c r="C30" i="1"/>
  <c r="G30" i="1"/>
  <c r="C29" i="1"/>
  <c r="G29" i="1"/>
  <c r="C28" i="1"/>
  <c r="G28" i="1"/>
  <c r="D14" i="1"/>
  <c r="D30" i="1"/>
  <c r="F30" i="1"/>
  <c r="D13" i="1"/>
  <c r="D29" i="1"/>
  <c r="F29" i="1"/>
  <c r="D12" i="1"/>
  <c r="D28" i="1"/>
  <c r="F28" i="1"/>
  <c r="D36" i="1"/>
  <c r="C36" i="1"/>
  <c r="D43" i="1"/>
  <c r="D35" i="1"/>
  <c r="C35" i="1"/>
  <c r="D42" i="1"/>
  <c r="D34" i="1"/>
  <c r="C34" i="1"/>
  <c r="D41" i="1"/>
  <c r="F36" i="1"/>
  <c r="F35" i="1"/>
  <c r="F34" i="1"/>
  <c r="E8" i="1"/>
  <c r="G8" i="1"/>
  <c r="E6" i="1"/>
  <c r="G6" i="1"/>
  <c r="E7" i="1"/>
  <c r="G7" i="1"/>
  <c r="G43" i="1"/>
  <c r="G42" i="1"/>
  <c r="G41" i="1"/>
  <c r="F43" i="1"/>
  <c r="H43" i="1"/>
  <c r="F42" i="1"/>
  <c r="H42" i="1"/>
  <c r="F41" i="1"/>
  <c r="H41" i="1"/>
  <c r="F12" i="1"/>
  <c r="F13" i="1"/>
  <c r="F14" i="1"/>
  <c r="F37" i="1"/>
  <c r="F38" i="1"/>
  <c r="H38" i="1"/>
  <c r="G34" i="1"/>
  <c r="G35" i="1"/>
  <c r="G36" i="1"/>
  <c r="G37" i="1"/>
  <c r="G38" i="1"/>
  <c r="I38" i="1"/>
  <c r="G12" i="1"/>
  <c r="G13" i="1"/>
  <c r="G14" i="1"/>
  <c r="G15" i="1"/>
  <c r="G31" i="1"/>
  <c r="H44" i="1"/>
  <c r="I41" i="1"/>
  <c r="I42" i="1"/>
  <c r="I43" i="1"/>
  <c r="I44" i="1"/>
  <c r="G22" i="1"/>
  <c r="G25" i="1"/>
  <c r="G46" i="1"/>
  <c r="B43" i="1"/>
  <c r="B42" i="1"/>
  <c r="B41" i="1"/>
  <c r="G24" i="1"/>
  <c r="G23" i="1"/>
  <c r="A31" i="1"/>
  <c r="D8" i="1"/>
  <c r="N35" i="1"/>
  <c r="I37" i="1"/>
  <c r="I36" i="1"/>
  <c r="I35" i="1"/>
  <c r="I34" i="1"/>
  <c r="H37" i="1"/>
  <c r="H36" i="1"/>
  <c r="H35" i="1"/>
  <c r="H34" i="1"/>
  <c r="B30" i="1"/>
  <c r="B36" i="1"/>
  <c r="B29" i="1"/>
  <c r="B35" i="1"/>
  <c r="B28" i="1"/>
  <c r="B34" i="1"/>
  <c r="H28" i="1"/>
  <c r="H27" i="1"/>
  <c r="G27" i="1"/>
  <c r="F27" i="1"/>
  <c r="D27" i="1"/>
  <c r="C27" i="1"/>
  <c r="A27" i="1"/>
  <c r="G9" i="1"/>
  <c r="G17" i="1"/>
  <c r="H12" i="1"/>
</calcChain>
</file>

<file path=xl/sharedStrings.xml><?xml version="1.0" encoding="utf-8"?>
<sst xmlns="http://schemas.openxmlformats.org/spreadsheetml/2006/main" count="84" uniqueCount="67">
  <si>
    <t>dev</t>
  </si>
  <si>
    <t>test</t>
  </si>
  <si>
    <t>prod</t>
  </si>
  <si>
    <t>Traditional Servers</t>
  </si>
  <si>
    <t>m3.medium</t>
  </si>
  <si>
    <t>type</t>
  </si>
  <si>
    <t>count</t>
  </si>
  <si>
    <t>$/hr/server</t>
  </si>
  <si>
    <t>m3.xlarge</t>
  </si>
  <si>
    <t>m4.2xlarge</t>
  </si>
  <si>
    <t>Traffic</t>
  </si>
  <si>
    <t>hits/day</t>
  </si>
  <si>
    <t>mid tier/day</t>
  </si>
  <si>
    <t>AWS EC2 costs for a small SOA architecture</t>
  </si>
  <si>
    <t>$monthly</t>
  </si>
  <si>
    <t>calls/month</t>
  </si>
  <si>
    <t>$/gb/mo</t>
  </si>
  <si>
    <t>Comparable SOA serverless  architecture with Lambdas</t>
  </si>
  <si>
    <t>Total (servers and traffic)</t>
  </si>
  <si>
    <t>$/GB-Sec/mo</t>
  </si>
  <si>
    <t>free gb-sec/mo</t>
  </si>
  <si>
    <t>gb-sec/mo</t>
  </si>
  <si>
    <t>calls $/mo</t>
  </si>
  <si>
    <t>gb-sec $/mo</t>
  </si>
  <si>
    <t>light calls ms</t>
  </si>
  <si>
    <t>heavy ms</t>
  </si>
  <si>
    <t>heavy %</t>
  </si>
  <si>
    <t>light mem mb</t>
  </si>
  <si>
    <t>heavy mem mb</t>
  </si>
  <si>
    <t>mb / call (edge)</t>
  </si>
  <si>
    <t xml:space="preserve">prices in </t>
  </si>
  <si>
    <t>https://aws.amazon.com/ec2/pricing/</t>
  </si>
  <si>
    <t>prod has 2x test (for high availability)</t>
  </si>
  <si>
    <t>Total (servers + traffic + lambdas)</t>
  </si>
  <si>
    <t>$/mil calls/mo</t>
  </si>
  <si>
    <t>free calls/mo</t>
  </si>
  <si>
    <t>calls to mid tier ratio (lambda/traditional)</t>
  </si>
  <si>
    <t>SubTotal Traditional Servers</t>
  </si>
  <si>
    <t>Subtotal Traffic</t>
  </si>
  <si>
    <t>SubTotal Lambdas</t>
  </si>
  <si>
    <t>SubTotal Lambdas (after free allowance)</t>
  </si>
  <si>
    <t>t2.medium</t>
  </si>
  <si>
    <t>t2.large</t>
  </si>
  <si>
    <t>t2.small</t>
  </si>
  <si>
    <t>Other AWS costs are assumed to be constant price.</t>
  </si>
  <si>
    <t>Kinesis Streams (connecting mid-tier)</t>
  </si>
  <si>
    <t>msgs/month</t>
  </si>
  <si>
    <t>msgs/day</t>
  </si>
  <si>
    <t>edge/day</t>
  </si>
  <si>
    <t>shard hr/day</t>
  </si>
  <si>
    <t>$/shard hr</t>
  </si>
  <si>
    <t>$/mil msgs</t>
  </si>
  <si>
    <t>$ msgs/mo</t>
  </si>
  <si>
    <t>$shard/mo</t>
  </si>
  <si>
    <t>SubTotal Kinesis</t>
  </si>
  <si>
    <t>PRICING</t>
  </si>
  <si>
    <t>ASSUMPTIONS</t>
  </si>
  <si>
    <t>msgs ~= edge call size</t>
  </si>
  <si>
    <t>shards overprovisioned by</t>
  </si>
  <si>
    <t>min count</t>
  </si>
  <si>
    <t>req count</t>
  </si>
  <si>
    <t>peak hits/sec</t>
  </si>
  <si>
    <t>$monthly (edge)</t>
  </si>
  <si>
    <t>Lambda Invocations</t>
  </si>
  <si>
    <t>invocations/mo</t>
  </si>
  <si>
    <t>max hits/sec</t>
  </si>
  <si>
    <t>peak /avg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</si>
</sst>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3" formatCode="_-* #,##0.00_-;\-* #,##0.00_-;_-* &quot;-&quot;??_-;_-@_-"/>
    <numFmt numFmtId="165" formatCode="_-* #,##0_-;\-* #,##0_-;_-* &quot;-&quot;??_-;_-@_-"/>
    <numFmt numFmtId="168" formatCode="&quot;$&quot;#,##0.00;[Red]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8" fontId="0" fillId="0" borderId="4" xfId="0" applyNumberFormat="1" applyBorder="1"/>
    <xf numFmtId="165" fontId="0" fillId="0" borderId="4" xfId="1" applyNumberFormat="1" applyFont="1" applyBorder="1"/>
    <xf numFmtId="165" fontId="0" fillId="0" borderId="0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8" fontId="0" fillId="0" borderId="0" xfId="0" applyNumberFormat="1" applyBorder="1"/>
    <xf numFmtId="0" fontId="2" fillId="0" borderId="6" xfId="0" applyFont="1" applyBorder="1"/>
    <xf numFmtId="0" fontId="2" fillId="0" borderId="7" xfId="0" applyFont="1" applyBorder="1"/>
    <xf numFmtId="168" fontId="2" fillId="0" borderId="7" xfId="0" applyNumberFormat="1" applyFont="1" applyBorder="1"/>
    <xf numFmtId="0" fontId="2" fillId="0" borderId="8" xfId="0" applyFont="1" applyBorder="1"/>
    <xf numFmtId="168" fontId="0" fillId="0" borderId="0" xfId="0" applyNumberFormat="1" applyBorder="1"/>
    <xf numFmtId="8" fontId="2" fillId="0" borderId="7" xfId="0" applyNumberFormat="1" applyFont="1" applyBorder="1"/>
    <xf numFmtId="165" fontId="0" fillId="0" borderId="0" xfId="0" applyNumberFormat="1" applyBorder="1"/>
    <xf numFmtId="0" fontId="2" fillId="0" borderId="4" xfId="0" applyFont="1" applyBorder="1"/>
    <xf numFmtId="0" fontId="2" fillId="0" borderId="0" xfId="0" applyFont="1" applyBorder="1"/>
    <xf numFmtId="165" fontId="2" fillId="0" borderId="0" xfId="1" applyNumberFormat="1" applyFont="1" applyBorder="1"/>
    <xf numFmtId="8" fontId="2" fillId="0" borderId="0" xfId="0" applyNumberFormat="1" applyFont="1" applyBorder="1"/>
    <xf numFmtId="168" fontId="2" fillId="0" borderId="0" xfId="0" applyNumberFormat="1" applyFont="1" applyBorder="1"/>
    <xf numFmtId="168" fontId="2" fillId="0" borderId="0" xfId="1" applyNumberFormat="1" applyFont="1" applyBorder="1"/>
    <xf numFmtId="0" fontId="0" fillId="0" borderId="7" xfId="0" applyBorder="1" applyAlignment="1">
      <alignment horizontal="left"/>
    </xf>
    <xf numFmtId="0" fontId="0" fillId="0" borderId="0" xfId="0" applyFont="1" applyBorder="1"/>
    <xf numFmtId="0" fontId="0" fillId="0" borderId="1" xfId="0" applyFill="1" applyBorder="1"/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left"/>
    </xf>
    <xf numFmtId="0" fontId="2" fillId="0" borderId="0" xfId="0" applyFont="1" applyFill="1" applyBorder="1"/>
    <xf numFmtId="0" fontId="0" fillId="0" borderId="6" xfId="0" applyFill="1" applyBorder="1"/>
    <xf numFmtId="43" fontId="0" fillId="0" borderId="0" xfId="1" applyNumberFormat="1" applyFont="1" applyBorder="1"/>
  </cellXfs>
  <cellStyles count="13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9"/>
  <sheetViews>
    <sheetView tabSelected="1" workbookViewId="0">
      <selection activeCell="F58" sqref="F58"/>
    </sheetView>
  </sheetViews>
  <sheetFormatPr baseColWidth="10" defaultRowHeight="15" x14ac:dyDescent="0"/>
  <cols>
    <col min="3" max="3" width="11.6640625" bestFit="1" customWidth="1"/>
    <col min="4" max="4" width="13" customWidth="1"/>
    <col min="5" max="5" width="11.5" customWidth="1"/>
    <col min="6" max="6" width="14.83203125" customWidth="1"/>
    <col min="7" max="7" width="17.1640625" customWidth="1"/>
    <col min="9" max="9" width="11.1640625" bestFit="1" customWidth="1"/>
    <col min="10" max="11" width="13.1640625" bestFit="1" customWidth="1"/>
  </cols>
  <sheetData>
    <row r="3" spans="1:13" s="13" customFormat="1">
      <c r="A3" s="14" t="s">
        <v>13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6"/>
    </row>
    <row r="4" spans="1:1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>
      <c r="A5" s="25" t="s">
        <v>3</v>
      </c>
      <c r="B5" s="26"/>
      <c r="C5" s="26" t="s">
        <v>5</v>
      </c>
      <c r="D5" s="26" t="s">
        <v>59</v>
      </c>
      <c r="E5" s="26" t="s">
        <v>60</v>
      </c>
      <c r="F5" s="26" t="s">
        <v>7</v>
      </c>
      <c r="G5" s="26" t="s">
        <v>14</v>
      </c>
      <c r="H5" s="5"/>
      <c r="I5" s="1" t="s">
        <v>56</v>
      </c>
      <c r="J5" s="2"/>
      <c r="K5" s="2"/>
      <c r="L5" s="3"/>
      <c r="M5" s="6"/>
    </row>
    <row r="6" spans="1:13">
      <c r="A6" s="4"/>
      <c r="B6" s="5" t="s">
        <v>0</v>
      </c>
      <c r="C6" s="5" t="s">
        <v>4</v>
      </c>
      <c r="D6" s="5">
        <v>3</v>
      </c>
      <c r="E6" s="5">
        <f>IF(E12&lt;$J$8,D6,CEILING(E12/$J$8,0)*D6)</f>
        <v>3</v>
      </c>
      <c r="F6" s="17">
        <v>6.7000000000000004E-2</v>
      </c>
      <c r="G6" s="17">
        <f>30*24*F6*E6</f>
        <v>144.72</v>
      </c>
      <c r="H6" s="5"/>
      <c r="I6" s="4" t="s">
        <v>30</v>
      </c>
      <c r="J6" s="5" t="s">
        <v>31</v>
      </c>
      <c r="K6" s="5"/>
      <c r="L6" s="6"/>
      <c r="M6" s="6"/>
    </row>
    <row r="7" spans="1:13">
      <c r="A7" s="4"/>
      <c r="B7" s="5" t="s">
        <v>1</v>
      </c>
      <c r="C7" s="5" t="s">
        <v>8</v>
      </c>
      <c r="D7" s="5">
        <v>3</v>
      </c>
      <c r="E7" s="5">
        <f>IF(E13&lt;$J$8,D7,CEILING(E13/$J$8,0)*D7)</f>
        <v>3</v>
      </c>
      <c r="F7" s="17">
        <v>0.26600000000000001</v>
      </c>
      <c r="G7" s="17">
        <f>30*24*F7*E7</f>
        <v>574.56000000000006</v>
      </c>
      <c r="H7" s="5"/>
      <c r="I7" s="4" t="s">
        <v>32</v>
      </c>
      <c r="J7" s="5"/>
      <c r="K7" s="5"/>
      <c r="L7" s="6"/>
      <c r="M7" s="6"/>
    </row>
    <row r="8" spans="1:13">
      <c r="A8" s="4"/>
      <c r="B8" s="5" t="s">
        <v>2</v>
      </c>
      <c r="C8" s="5" t="s">
        <v>9</v>
      </c>
      <c r="D8" s="5">
        <f>D7*2</f>
        <v>6</v>
      </c>
      <c r="E8" s="5">
        <f>IF(E14&lt;$J$8,D8,CEILING(E14/$J$8,1)*D8)</f>
        <v>6</v>
      </c>
      <c r="F8" s="17">
        <v>0.47899999999999998</v>
      </c>
      <c r="G8" s="17">
        <f>30*24*F8*E8</f>
        <v>2069.2799999999997</v>
      </c>
      <c r="H8" s="5"/>
      <c r="I8" s="37" t="s">
        <v>65</v>
      </c>
      <c r="J8" s="11">
        <v>1000</v>
      </c>
      <c r="K8" s="11" t="s">
        <v>66</v>
      </c>
      <c r="L8" s="12">
        <v>20</v>
      </c>
      <c r="M8" s="6"/>
    </row>
    <row r="9" spans="1:13">
      <c r="A9" s="25" t="s">
        <v>37</v>
      </c>
      <c r="B9" s="26"/>
      <c r="C9" s="26"/>
      <c r="D9" s="26"/>
      <c r="E9" s="26"/>
      <c r="F9" s="26"/>
      <c r="G9" s="28">
        <f>SUM(G6:G8)</f>
        <v>2788.56</v>
      </c>
      <c r="H9" s="5"/>
      <c r="I9" s="5"/>
      <c r="J9" s="5"/>
      <c r="K9" s="5"/>
      <c r="L9" s="5"/>
      <c r="M9" s="6"/>
    </row>
    <row r="10" spans="1:13">
      <c r="A10" s="4"/>
      <c r="B10" s="5"/>
      <c r="C10" s="5"/>
      <c r="D10" s="5"/>
      <c r="E10" s="5"/>
      <c r="F10" s="5"/>
      <c r="G10" s="5"/>
      <c r="H10" s="1" t="s">
        <v>55</v>
      </c>
      <c r="I10" s="1" t="s">
        <v>56</v>
      </c>
      <c r="J10" s="3"/>
      <c r="K10" s="5"/>
      <c r="L10" s="5"/>
      <c r="M10" s="6"/>
    </row>
    <row r="11" spans="1:13">
      <c r="A11" s="25" t="s">
        <v>10</v>
      </c>
      <c r="B11" s="26"/>
      <c r="C11" s="26" t="s">
        <v>11</v>
      </c>
      <c r="D11" s="26" t="s">
        <v>12</v>
      </c>
      <c r="E11" s="26" t="s">
        <v>61</v>
      </c>
      <c r="F11" s="26" t="s">
        <v>15</v>
      </c>
      <c r="G11" s="28" t="s">
        <v>62</v>
      </c>
      <c r="H11" s="4" t="s">
        <v>16</v>
      </c>
      <c r="I11" s="4" t="s">
        <v>29</v>
      </c>
      <c r="J11" s="6"/>
      <c r="K11" s="5"/>
      <c r="L11" s="5"/>
      <c r="M11" s="6"/>
    </row>
    <row r="12" spans="1:13">
      <c r="A12" s="4"/>
      <c r="B12" s="5" t="s">
        <v>0</v>
      </c>
      <c r="C12" s="9">
        <v>27000</v>
      </c>
      <c r="D12" s="9">
        <f>C12*2</f>
        <v>54000</v>
      </c>
      <c r="E12" s="38">
        <f>C12/24/60/60*($L$8)</f>
        <v>6.25</v>
      </c>
      <c r="F12" s="9">
        <f>(D12+C12)*30</f>
        <v>2430000</v>
      </c>
      <c r="G12" s="17">
        <f>C12*($I$12/1000)*$H$12</f>
        <v>2.3959799999999998</v>
      </c>
      <c r="H12" s="10">
        <f>88.74/1000</f>
        <v>8.8739999999999999E-2</v>
      </c>
      <c r="I12" s="10">
        <v>1</v>
      </c>
      <c r="J12" s="12"/>
      <c r="K12" s="5"/>
      <c r="L12" s="5"/>
      <c r="M12" s="6"/>
    </row>
    <row r="13" spans="1:13">
      <c r="A13" s="4"/>
      <c r="B13" s="5" t="s">
        <v>1</v>
      </c>
      <c r="C13" s="9">
        <f>C12*10</f>
        <v>270000</v>
      </c>
      <c r="D13" s="9">
        <f>C13*2</f>
        <v>540000</v>
      </c>
      <c r="E13" s="38">
        <f>C13/24/60/60*($L$8)</f>
        <v>62.5</v>
      </c>
      <c r="F13" s="9">
        <f>(D13+C13)*30</f>
        <v>24300000</v>
      </c>
      <c r="G13" s="17">
        <f>C13*($I$12/1000)*$H$12</f>
        <v>23.959800000000001</v>
      </c>
      <c r="H13" s="5"/>
      <c r="I13" s="5"/>
      <c r="J13" s="5"/>
      <c r="K13" s="5"/>
      <c r="L13" s="5"/>
      <c r="M13" s="6"/>
    </row>
    <row r="14" spans="1:13">
      <c r="A14" s="4"/>
      <c r="B14" s="5" t="s">
        <v>2</v>
      </c>
      <c r="C14" s="9">
        <f>C13*10</f>
        <v>2700000</v>
      </c>
      <c r="D14" s="9">
        <f>C14*2</f>
        <v>5400000</v>
      </c>
      <c r="E14" s="38">
        <f>C14/24/60/60*($L$8)</f>
        <v>625</v>
      </c>
      <c r="F14" s="9">
        <f>(D14+C14)*30</f>
        <v>243000000</v>
      </c>
      <c r="G14" s="17">
        <f>C14*($I$12/1000)*$H$12</f>
        <v>239.59799999999998</v>
      </c>
      <c r="H14" s="5"/>
      <c r="I14" s="5"/>
      <c r="J14" s="5"/>
      <c r="K14" s="5"/>
      <c r="L14" s="5"/>
      <c r="M14" s="6"/>
    </row>
    <row r="15" spans="1:13">
      <c r="A15" s="25" t="s">
        <v>38</v>
      </c>
      <c r="B15" s="26"/>
      <c r="C15" s="26"/>
      <c r="D15" s="26"/>
      <c r="E15" s="26"/>
      <c r="F15" s="26"/>
      <c r="G15" s="30">
        <f>SUM(G12:G14)</f>
        <v>265.95377999999999</v>
      </c>
      <c r="H15" s="5"/>
      <c r="I15" s="5"/>
      <c r="J15" s="5"/>
      <c r="K15" s="5"/>
      <c r="L15" s="5"/>
      <c r="M15" s="6"/>
    </row>
    <row r="16" spans="1:1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6" s="13" customFormat="1">
      <c r="A17" s="18" t="s">
        <v>18</v>
      </c>
      <c r="B17" s="19"/>
      <c r="C17" s="19"/>
      <c r="D17" s="19"/>
      <c r="E17" s="19"/>
      <c r="F17" s="19"/>
      <c r="G17" s="20">
        <f>G15+G9</f>
        <v>3054.5137799999998</v>
      </c>
      <c r="H17" s="19"/>
      <c r="I17" s="19"/>
      <c r="J17" s="19"/>
      <c r="K17" s="19"/>
      <c r="L17" s="19"/>
      <c r="M17" s="21"/>
    </row>
    <row r="19" spans="1:16" s="13" customFormat="1">
      <c r="A19" s="14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6"/>
    </row>
    <row r="20" spans="1:1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>
      <c r="A21" s="25" t="s">
        <v>3</v>
      </c>
      <c r="B21" s="26"/>
      <c r="C21" s="26" t="s">
        <v>5</v>
      </c>
      <c r="D21" s="26" t="s">
        <v>6</v>
      </c>
      <c r="E21" s="26"/>
      <c r="F21" s="26" t="s">
        <v>7</v>
      </c>
      <c r="G21" s="26" t="s">
        <v>14</v>
      </c>
      <c r="H21" s="5"/>
      <c r="I21" s="5"/>
      <c r="J21" s="5"/>
      <c r="K21" s="5"/>
      <c r="L21" s="5"/>
      <c r="M21" s="5"/>
      <c r="N21" s="5"/>
      <c r="O21" s="5"/>
      <c r="P21" s="6"/>
    </row>
    <row r="22" spans="1:16">
      <c r="A22" s="4"/>
      <c r="B22" s="5" t="s">
        <v>0</v>
      </c>
      <c r="C22" s="32" t="s">
        <v>43</v>
      </c>
      <c r="D22" s="32">
        <v>2</v>
      </c>
      <c r="E22" s="32"/>
      <c r="F22" s="32">
        <v>2.5999999999999999E-2</v>
      </c>
      <c r="G22" s="17">
        <f>30*24*F22*D22</f>
        <v>37.44</v>
      </c>
      <c r="H22" s="5"/>
      <c r="I22" s="5"/>
      <c r="J22" s="5"/>
      <c r="K22" s="5"/>
      <c r="L22" s="5"/>
      <c r="M22" s="5"/>
      <c r="N22" s="5"/>
      <c r="O22" s="5"/>
      <c r="P22" s="6"/>
    </row>
    <row r="23" spans="1:16">
      <c r="A23" s="4"/>
      <c r="B23" s="5" t="s">
        <v>1</v>
      </c>
      <c r="C23" s="32" t="s">
        <v>41</v>
      </c>
      <c r="D23" s="32">
        <v>2</v>
      </c>
      <c r="E23" s="32"/>
      <c r="F23" s="32">
        <v>5.1999999999999998E-2</v>
      </c>
      <c r="G23" s="17">
        <f>30*24*F23*D23</f>
        <v>74.88</v>
      </c>
      <c r="H23" s="5"/>
      <c r="I23" s="5"/>
      <c r="J23" s="5"/>
      <c r="K23" s="5"/>
      <c r="L23" s="5"/>
      <c r="M23" s="5"/>
      <c r="N23" s="5"/>
      <c r="O23" s="5"/>
      <c r="P23" s="6"/>
    </row>
    <row r="24" spans="1:16">
      <c r="A24" s="4"/>
      <c r="B24" s="5" t="s">
        <v>2</v>
      </c>
      <c r="C24" s="32" t="s">
        <v>42</v>
      </c>
      <c r="D24" s="32">
        <v>2</v>
      </c>
      <c r="E24" s="32"/>
      <c r="F24" s="32">
        <v>0.104</v>
      </c>
      <c r="G24" s="17">
        <f>30*24*F24*D24</f>
        <v>149.76</v>
      </c>
      <c r="H24" s="5"/>
      <c r="I24" s="5"/>
      <c r="J24" s="5"/>
      <c r="K24" s="5"/>
      <c r="L24" s="5"/>
      <c r="M24" s="5"/>
      <c r="N24" s="5"/>
      <c r="O24" s="5"/>
      <c r="P24" s="6"/>
    </row>
    <row r="25" spans="1:16">
      <c r="A25" s="25" t="s">
        <v>37</v>
      </c>
      <c r="B25" s="26"/>
      <c r="C25" s="26"/>
      <c r="D25" s="26"/>
      <c r="E25" s="26"/>
      <c r="F25" s="26"/>
      <c r="G25" s="28">
        <f>SUM(G22:G24)</f>
        <v>262.08</v>
      </c>
      <c r="H25" s="5"/>
      <c r="I25" s="5"/>
      <c r="J25" s="5"/>
      <c r="K25" s="5"/>
      <c r="L25" s="5"/>
      <c r="M25" s="5"/>
      <c r="N25" s="5"/>
      <c r="O25" s="5"/>
      <c r="P25" s="6"/>
    </row>
    <row r="26" spans="1:1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>
      <c r="A27" s="25" t="str">
        <f>A11</f>
        <v>Traffic</v>
      </c>
      <c r="B27" s="26"/>
      <c r="C27" s="26" t="str">
        <f t="shared" ref="B27:H27" si="0">C11</f>
        <v>hits/day</v>
      </c>
      <c r="D27" s="26" t="str">
        <f t="shared" si="0"/>
        <v>mid tier/day</v>
      </c>
      <c r="E27" s="26"/>
      <c r="F27" s="26" t="str">
        <f t="shared" si="0"/>
        <v>calls/month</v>
      </c>
      <c r="G27" s="26" t="str">
        <f t="shared" si="0"/>
        <v>$monthly (edge)</v>
      </c>
      <c r="H27" s="26" t="str">
        <f t="shared" si="0"/>
        <v>$/gb/mo</v>
      </c>
      <c r="I27" s="5"/>
      <c r="J27" s="5"/>
      <c r="K27" s="24"/>
      <c r="L27" s="5"/>
      <c r="M27" s="5"/>
      <c r="N27" s="5"/>
      <c r="O27" s="5"/>
      <c r="P27" s="6"/>
    </row>
    <row r="28" spans="1:16">
      <c r="A28" s="4"/>
      <c r="B28" s="5" t="str">
        <f>B12</f>
        <v>dev</v>
      </c>
      <c r="C28" s="9">
        <f>C12</f>
        <v>27000</v>
      </c>
      <c r="D28" s="9">
        <f>D12*$N$38</f>
        <v>135000</v>
      </c>
      <c r="E28" s="9"/>
      <c r="F28" s="9">
        <f>(D28+C28)*30</f>
        <v>4860000</v>
      </c>
      <c r="G28" s="17">
        <f>C28*($I$12/1000)*$H$12</f>
        <v>2.3959799999999998</v>
      </c>
      <c r="H28" s="5">
        <f>H12</f>
        <v>8.8739999999999999E-2</v>
      </c>
      <c r="I28" s="5"/>
      <c r="J28" s="5"/>
      <c r="K28" s="5"/>
      <c r="L28" s="5"/>
      <c r="M28" s="5"/>
      <c r="N28" s="5"/>
      <c r="O28" s="5"/>
      <c r="P28" s="6"/>
    </row>
    <row r="29" spans="1:16">
      <c r="A29" s="4"/>
      <c r="B29" s="5" t="str">
        <f>B13</f>
        <v>test</v>
      </c>
      <c r="C29" s="9">
        <f>C13</f>
        <v>270000</v>
      </c>
      <c r="D29" s="9">
        <f>D13*$N$38</f>
        <v>1350000</v>
      </c>
      <c r="E29" s="9"/>
      <c r="F29" s="9">
        <f>(D29+C29)*30</f>
        <v>48600000</v>
      </c>
      <c r="G29" s="17">
        <f>C29*($I$12/1000)*$H$12</f>
        <v>23.959800000000001</v>
      </c>
      <c r="H29" s="5"/>
      <c r="I29" s="5"/>
      <c r="J29" s="5"/>
      <c r="K29" s="5"/>
      <c r="L29" s="5"/>
      <c r="M29" s="5"/>
      <c r="N29" s="5"/>
      <c r="O29" s="5"/>
      <c r="P29" s="6"/>
    </row>
    <row r="30" spans="1:16">
      <c r="A30" s="4"/>
      <c r="B30" s="5" t="str">
        <f>B14</f>
        <v>prod</v>
      </c>
      <c r="C30" s="9">
        <f>C14</f>
        <v>2700000</v>
      </c>
      <c r="D30" s="9">
        <f>D14*$N$38</f>
        <v>13500000</v>
      </c>
      <c r="E30" s="9"/>
      <c r="F30" s="9">
        <f>(D30+C30)*30</f>
        <v>486000000</v>
      </c>
      <c r="G30" s="17">
        <f>C30*($I$12/1000)*$H$12</f>
        <v>239.59799999999998</v>
      </c>
      <c r="H30" s="5"/>
      <c r="I30" s="5"/>
      <c r="J30" s="5"/>
      <c r="K30" s="5"/>
      <c r="L30" s="5"/>
      <c r="M30" s="5"/>
      <c r="N30" s="5"/>
      <c r="O30" s="5"/>
      <c r="P30" s="6"/>
    </row>
    <row r="31" spans="1:16">
      <c r="A31" s="25" t="str">
        <f t="shared" ref="A31:H31" si="1">A15</f>
        <v>Subtotal Traffic</v>
      </c>
      <c r="B31" s="26"/>
      <c r="C31" s="26"/>
      <c r="D31" s="26"/>
      <c r="E31" s="26"/>
      <c r="F31" s="26"/>
      <c r="G31" s="29">
        <f t="shared" si="1"/>
        <v>265.95377999999999</v>
      </c>
      <c r="H31" s="5"/>
      <c r="I31" s="5"/>
      <c r="J31" s="5"/>
      <c r="K31" s="5"/>
      <c r="L31" s="5"/>
      <c r="M31" s="5"/>
      <c r="N31" s="5"/>
      <c r="O31" s="5"/>
      <c r="P31" s="6"/>
    </row>
    <row r="32" spans="1:1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>
      <c r="A33" s="25" t="s">
        <v>63</v>
      </c>
      <c r="B33" s="26"/>
      <c r="C33" s="26" t="s">
        <v>48</v>
      </c>
      <c r="D33" s="26" t="s">
        <v>12</v>
      </c>
      <c r="E33" s="26"/>
      <c r="F33" s="26" t="s">
        <v>64</v>
      </c>
      <c r="G33" s="26" t="s">
        <v>21</v>
      </c>
      <c r="H33" s="26" t="s">
        <v>22</v>
      </c>
      <c r="I33" s="26" t="s">
        <v>23</v>
      </c>
      <c r="J33" s="1" t="s">
        <v>55</v>
      </c>
      <c r="K33" s="2"/>
      <c r="L33" s="2"/>
      <c r="M33" s="1" t="s">
        <v>56</v>
      </c>
      <c r="N33" s="2"/>
      <c r="O33" s="3"/>
      <c r="P33" s="6"/>
    </row>
    <row r="34" spans="1:16">
      <c r="A34" s="4"/>
      <c r="B34" s="5" t="str">
        <f>B28</f>
        <v>dev</v>
      </c>
      <c r="C34" s="9">
        <f t="shared" ref="C34:F34" si="2">C28</f>
        <v>27000</v>
      </c>
      <c r="D34" s="9">
        <f>D28</f>
        <v>135000</v>
      </c>
      <c r="E34" s="9"/>
      <c r="F34" s="9">
        <f>30*(D34+C34)</f>
        <v>4860000</v>
      </c>
      <c r="G34" s="9">
        <f>((C34+(D34*(1-$N$35)))*30*($M$35/1000)*($M$37/1000))+((D34*$N$35)*30*($O$35/1000)*($O$37/1000))</f>
        <v>1091232</v>
      </c>
      <c r="H34" s="17">
        <f>(F34/1000000)*$J$35</f>
        <v>0.97200000000000009</v>
      </c>
      <c r="I34" s="22">
        <f>G34*$K$35</f>
        <v>18.190837440000003</v>
      </c>
      <c r="J34" s="4" t="s">
        <v>34</v>
      </c>
      <c r="K34" s="5" t="s">
        <v>19</v>
      </c>
      <c r="L34" s="5"/>
      <c r="M34" s="4" t="s">
        <v>24</v>
      </c>
      <c r="N34" s="5" t="s">
        <v>26</v>
      </c>
      <c r="O34" s="6" t="s">
        <v>25</v>
      </c>
      <c r="P34" s="6"/>
    </row>
    <row r="35" spans="1:16">
      <c r="A35" s="4"/>
      <c r="B35" s="5" t="str">
        <f t="shared" ref="B35:F35" si="3">B29</f>
        <v>test</v>
      </c>
      <c r="C35" s="9">
        <f t="shared" si="3"/>
        <v>270000</v>
      </c>
      <c r="D35" s="9">
        <f>D29</f>
        <v>1350000</v>
      </c>
      <c r="E35" s="9"/>
      <c r="F35" s="9">
        <f>30*(D35+C35)</f>
        <v>48600000</v>
      </c>
      <c r="G35" s="9">
        <f>((C35+(D35*(1-$N$35)))*30*($M$35/1000)*($M$37/1000))+((D35*$N$35)*30*($O$35/1000)*($O$37/1000))</f>
        <v>10912320</v>
      </c>
      <c r="H35" s="17">
        <f>(F35/1000000)*$J$35</f>
        <v>9.7200000000000006</v>
      </c>
      <c r="I35" s="22">
        <f>G35*$K$35</f>
        <v>181.90837440000001</v>
      </c>
      <c r="J35" s="7">
        <v>0.2</v>
      </c>
      <c r="K35" s="5">
        <v>1.6670000000000001E-5</v>
      </c>
      <c r="L35" s="5"/>
      <c r="M35" s="4">
        <v>100</v>
      </c>
      <c r="N35" s="5">
        <f>1/2</f>
        <v>0.5</v>
      </c>
      <c r="O35" s="6">
        <v>1000</v>
      </c>
      <c r="P35" s="6"/>
    </row>
    <row r="36" spans="1:16">
      <c r="A36" s="4"/>
      <c r="B36" s="5" t="str">
        <f t="shared" ref="B36:F36" si="4">B30</f>
        <v>prod</v>
      </c>
      <c r="C36" s="9">
        <f t="shared" si="4"/>
        <v>2700000</v>
      </c>
      <c r="D36" s="9">
        <f>D30</f>
        <v>13500000</v>
      </c>
      <c r="E36" s="9"/>
      <c r="F36" s="9">
        <f>30*(D36+C36)</f>
        <v>486000000</v>
      </c>
      <c r="G36" s="9">
        <f>((C36+(D36*(1-$N$35)))*30*($M$35/1000)*($M$37/1000))+((D36*$N$35)*30*($O$35/1000)*($O$37/1000))</f>
        <v>109123200</v>
      </c>
      <c r="H36" s="17">
        <f>(F36/1000000)*$J$35</f>
        <v>97.2</v>
      </c>
      <c r="I36" s="22">
        <f>G36*$K$35</f>
        <v>1819.0837440000003</v>
      </c>
      <c r="J36" s="4" t="s">
        <v>35</v>
      </c>
      <c r="K36" s="5" t="s">
        <v>20</v>
      </c>
      <c r="L36" s="5"/>
      <c r="M36" s="4" t="s">
        <v>27</v>
      </c>
      <c r="N36" s="5"/>
      <c r="O36" s="6" t="s">
        <v>28</v>
      </c>
      <c r="P36" s="6"/>
    </row>
    <row r="37" spans="1:16">
      <c r="A37" s="4" t="s">
        <v>39</v>
      </c>
      <c r="B37" s="5"/>
      <c r="C37" s="9"/>
      <c r="D37" s="9"/>
      <c r="E37" s="9"/>
      <c r="F37" s="9">
        <f>SUM(F34:F36)</f>
        <v>539460000</v>
      </c>
      <c r="G37" s="9">
        <f>SUM(G34:G36)</f>
        <v>121126752</v>
      </c>
      <c r="H37" s="17">
        <f>(F37/1000000)*$J$35</f>
        <v>107.89200000000001</v>
      </c>
      <c r="I37" s="22">
        <f>G37*$K$35</f>
        <v>2019.1829558400002</v>
      </c>
      <c r="J37" s="8">
        <v>1000000</v>
      </c>
      <c r="K37" s="9">
        <v>1600000</v>
      </c>
      <c r="L37" s="5"/>
      <c r="M37" s="4">
        <v>192</v>
      </c>
      <c r="N37" s="5"/>
      <c r="O37" s="6">
        <v>512</v>
      </c>
      <c r="P37" s="6"/>
    </row>
    <row r="38" spans="1:16">
      <c r="A38" s="25" t="s">
        <v>40</v>
      </c>
      <c r="B38" s="26"/>
      <c r="C38" s="27"/>
      <c r="D38" s="27"/>
      <c r="E38" s="27"/>
      <c r="F38" s="27">
        <f>IF(F37&gt;J37,F37-J37,0)</f>
        <v>538460000</v>
      </c>
      <c r="G38" s="27">
        <f>IF(G37&gt;K37,G37-K37,0)</f>
        <v>119526752</v>
      </c>
      <c r="H38" s="28">
        <f>(F38/1000000)*$J$35</f>
        <v>107.69200000000001</v>
      </c>
      <c r="I38" s="29">
        <f>G38*$K$35</f>
        <v>1992.5109558400002</v>
      </c>
      <c r="J38" s="10"/>
      <c r="K38" s="11"/>
      <c r="L38" s="11"/>
      <c r="M38" s="34" t="s">
        <v>36</v>
      </c>
      <c r="N38" s="31">
        <v>2.5</v>
      </c>
      <c r="O38" s="12"/>
      <c r="P38" s="6"/>
    </row>
    <row r="39" spans="1:1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</row>
    <row r="40" spans="1:16">
      <c r="A40" s="25" t="s">
        <v>45</v>
      </c>
      <c r="B40" s="26"/>
      <c r="C40" s="26"/>
      <c r="D40" s="26" t="s">
        <v>47</v>
      </c>
      <c r="E40" s="26"/>
      <c r="F40" s="26" t="s">
        <v>46</v>
      </c>
      <c r="G40" s="36" t="s">
        <v>49</v>
      </c>
      <c r="H40" s="36" t="s">
        <v>52</v>
      </c>
      <c r="I40" s="36" t="s">
        <v>53</v>
      </c>
      <c r="J40" s="33" t="s">
        <v>55</v>
      </c>
      <c r="K40" s="3"/>
      <c r="L40" s="33" t="s">
        <v>56</v>
      </c>
      <c r="M40" s="2"/>
      <c r="N40" s="3"/>
      <c r="O40" s="5"/>
      <c r="P40" s="6"/>
    </row>
    <row r="41" spans="1:16">
      <c r="A41" s="4"/>
      <c r="B41" s="5" t="str">
        <f>B34</f>
        <v>dev</v>
      </c>
      <c r="C41" s="5"/>
      <c r="D41" s="24">
        <f>D34+C34</f>
        <v>162000</v>
      </c>
      <c r="E41" s="24"/>
      <c r="F41" s="24">
        <f>D41*30</f>
        <v>4860000</v>
      </c>
      <c r="G41" s="5">
        <f>IF(D41 &lt;(24*60*60)*1000,24,D41/60/60/1000)*$N$42</f>
        <v>120</v>
      </c>
      <c r="H41" s="22">
        <f>F41/100000*$J$42*($I$12/0.25)</f>
        <v>2.7216</v>
      </c>
      <c r="I41" s="22">
        <f>G41*$K$42*30</f>
        <v>53.999999999999993</v>
      </c>
      <c r="J41" s="4" t="s">
        <v>51</v>
      </c>
      <c r="K41" s="6" t="s">
        <v>50</v>
      </c>
      <c r="L41" s="4" t="s">
        <v>57</v>
      </c>
      <c r="M41" s="5"/>
      <c r="N41" s="6"/>
      <c r="O41" s="5"/>
      <c r="P41" s="6"/>
    </row>
    <row r="42" spans="1:16">
      <c r="A42" s="4"/>
      <c r="B42" s="5" t="str">
        <f t="shared" ref="B42" si="5">B35</f>
        <v>test</v>
      </c>
      <c r="C42" s="5"/>
      <c r="D42" s="24">
        <f>D35+C35</f>
        <v>1620000</v>
      </c>
      <c r="E42" s="24"/>
      <c r="F42" s="24">
        <f>D42*30</f>
        <v>48600000</v>
      </c>
      <c r="G42" s="5">
        <f>IF(D42 &lt;(24*60*60)*1000,24,D42/60/60/1000)*$N$42</f>
        <v>120</v>
      </c>
      <c r="H42" s="22">
        <f>F42/100000*$J$42*($I$12/0.25)</f>
        <v>27.216000000000001</v>
      </c>
      <c r="I42" s="22">
        <f>G42*$K$42*30</f>
        <v>53.999999999999993</v>
      </c>
      <c r="J42" s="10">
        <v>1.4E-2</v>
      </c>
      <c r="K42" s="12">
        <v>1.4999999999999999E-2</v>
      </c>
      <c r="L42" s="10" t="s">
        <v>58</v>
      </c>
      <c r="M42" s="11"/>
      <c r="N42" s="35">
        <v>5</v>
      </c>
      <c r="O42" s="5"/>
      <c r="P42" s="6"/>
    </row>
    <row r="43" spans="1:16">
      <c r="A43" s="4"/>
      <c r="B43" s="5" t="str">
        <f t="shared" ref="B43" si="6">B36</f>
        <v>prod</v>
      </c>
      <c r="C43" s="5"/>
      <c r="D43" s="24">
        <f>D36+C36</f>
        <v>16200000</v>
      </c>
      <c r="E43" s="24"/>
      <c r="F43" s="24">
        <f>D43*30</f>
        <v>486000000</v>
      </c>
      <c r="G43" s="5">
        <f>IF(D43 &lt;(24*60*60)*1000,24,D43/60/60/1000)*$N$42</f>
        <v>120</v>
      </c>
      <c r="H43" s="22">
        <f>F43/100000*$J$42*($I$12/0.25)</f>
        <v>272.16000000000003</v>
      </c>
      <c r="I43" s="22">
        <f>G43*$K$42*30</f>
        <v>53.999999999999993</v>
      </c>
      <c r="J43" s="5"/>
      <c r="K43" s="5"/>
      <c r="L43" s="5"/>
      <c r="M43" s="5"/>
      <c r="N43" s="5"/>
      <c r="O43" s="5"/>
      <c r="P43" s="6"/>
    </row>
    <row r="44" spans="1:16">
      <c r="A44" s="25" t="s">
        <v>54</v>
      </c>
      <c r="B44" s="26"/>
      <c r="C44" s="26"/>
      <c r="D44" s="26"/>
      <c r="E44" s="26"/>
      <c r="F44" s="26"/>
      <c r="G44" s="26"/>
      <c r="H44" s="29">
        <f>SUM(H41:H43)</f>
        <v>302.0976</v>
      </c>
      <c r="I44" s="29">
        <f>SUM(I41:I43)</f>
        <v>161.99999999999997</v>
      </c>
      <c r="J44" s="5"/>
      <c r="K44" s="5"/>
      <c r="L44" s="5"/>
      <c r="M44" s="5"/>
      <c r="N44" s="5"/>
      <c r="O44" s="5"/>
      <c r="P44" s="6"/>
    </row>
    <row r="45" spans="1:16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</row>
    <row r="46" spans="1:16" s="13" customFormat="1">
      <c r="A46" s="18" t="s">
        <v>33</v>
      </c>
      <c r="B46" s="19"/>
      <c r="C46" s="19"/>
      <c r="D46" s="19"/>
      <c r="E46" s="19"/>
      <c r="F46" s="19"/>
      <c r="G46" s="23">
        <f>H38+I38+G31+G25+H44+I44</f>
        <v>3092.3343358399998</v>
      </c>
      <c r="H46" s="19"/>
      <c r="I46" s="19"/>
      <c r="J46" s="19"/>
      <c r="K46" s="19"/>
      <c r="L46" s="19"/>
      <c r="M46" s="19"/>
      <c r="N46" s="19"/>
      <c r="O46" s="19"/>
      <c r="P46" s="21"/>
    </row>
    <row r="49" spans="1:10" s="13" customFormat="1">
      <c r="A49" s="13" t="s">
        <v>44</v>
      </c>
    </row>
    <row r="58" spans="1:10">
      <c r="J58" s="5"/>
    </row>
    <row r="59" spans="1:10">
      <c r="J5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EC2 vs Lambda</vt:lpstr>
      <vt:lpstr>Complex EC2 vs Lambda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A Dobyns</dc:creator>
  <cp:lastModifiedBy>Barry A Dobyns</cp:lastModifiedBy>
  <dcterms:created xsi:type="dcterms:W3CDTF">2016-04-29T17:12:24Z</dcterms:created>
  <dcterms:modified xsi:type="dcterms:W3CDTF">2016-04-29T21:24:43Z</dcterms:modified>
</cp:coreProperties>
</file>