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giovanniantonioni/Desktop/Università/Lavoro/p2k2_converter/test/data/moderna/"/>
    </mc:Choice>
  </mc:AlternateContent>
  <xr:revisionPtr revIDLastSave="0" documentId="13_ncr:1_{9B0EC236-7954-E74B-8AA2-0BA5A87305B5}" xr6:coauthVersionLast="47" xr6:coauthVersionMax="47" xr10:uidLastSave="{00000000-0000-0000-0000-000000000000}"/>
  <bookViews>
    <workbookView xWindow="0" yWindow="500" windowWidth="33600" windowHeight="18740" xr2:uid="{E2FC03E3-0234-3A4A-B245-B88B89ADB7B8}"/>
  </bookViews>
  <sheets>
    <sheet name="prod MODERNA" sheetId="1" r:id="rId1"/>
  </sheets>
  <externalReferences>
    <externalReference r:id="rId2"/>
    <externalReference r:id="rId3"/>
    <externalReference r:id="rId4"/>
  </externalReferences>
  <definedNames>
    <definedName name="ALTCentroNOTTOLINOpartendoDALbassodellaDOGA">[1]CLOSE!$E$45</definedName>
    <definedName name="altezza1">'[1]IMMISSIONE DATI'!$L$64</definedName>
    <definedName name="altezza10">'[1]IMMISSIONE DATI'!$L$73</definedName>
    <definedName name="altezza11">'[1]IMMISSIONE DATI'!$L$74</definedName>
    <definedName name="altezza12">'[1]IMMISSIONE DATI'!$L$75</definedName>
    <definedName name="altezza13">'[1]IMMISSIONE DATI'!$L$76</definedName>
    <definedName name="altezza14">'[1]IMMISSIONE DATI'!$L$77</definedName>
    <definedName name="altezza15">'[1]IMMISSIONE DATI'!$L$78</definedName>
    <definedName name="altezza16">'[1]IMMISSIONE DATI'!$L$79</definedName>
    <definedName name="altezza2">'[1]IMMISSIONE DATI'!$L$65</definedName>
    <definedName name="altezza3">'[1]IMMISSIONE DATI'!$L$66</definedName>
    <definedName name="altezza4">'[1]IMMISSIONE DATI'!$L$67</definedName>
    <definedName name="altezza5">'[1]IMMISSIONE DATI'!$L$68</definedName>
    <definedName name="altezza6">'[1]IMMISSIONE DATI'!$L$69</definedName>
    <definedName name="altezza7">'[1]IMMISSIONE DATI'!$L$70</definedName>
    <definedName name="altezza8">'[1]IMMISSIONE DATI'!$L$71</definedName>
    <definedName name="altezza9">'[1]IMMISSIONE DATI'!$L$72</definedName>
    <definedName name="altezzaALAcanalinoDA35X35X2">'[1]tab fori cerniere close e gate'!$V$24</definedName>
    <definedName name="ALTEZZAcerNIERAcomMPOSTAdalle2aliMECHANICA">'[1]tab fori cerniere close e gate'!$V$22</definedName>
    <definedName name="ALTprofLATrich1">'[1]IMMISSIONE DATI'!$AN$64</definedName>
    <definedName name="ALTprofLATrich10">'[1]IMMISSIONE DATI'!$AN$73</definedName>
    <definedName name="ALTprofLATrich11">'[1]IMMISSIONE DATI'!$AN$74</definedName>
    <definedName name="ALTprofLATrich12">'[1]IMMISSIONE DATI'!$AN$75</definedName>
    <definedName name="ALTprofLATrich13">'[1]IMMISSIONE DATI'!$AN$76</definedName>
    <definedName name="ALTprofLATrich14">'[1]IMMISSIONE DATI'!$AN$77</definedName>
    <definedName name="ALTprofLATrich15">'[1]IMMISSIONE DATI'!$AN$78</definedName>
    <definedName name="ALTprofLATrich16">'[1]IMMISSIONE DATI'!$AN$79</definedName>
    <definedName name="ALTprofLATrich2">'[1]IMMISSIONE DATI'!$AN$65</definedName>
    <definedName name="ALTprofLATrich3">'[1]IMMISSIONE DATI'!$AN$66</definedName>
    <definedName name="ALTprofLATrich4">'[1]IMMISSIONE DATI'!$AN$67</definedName>
    <definedName name="ALTprofLATrich5">'[1]IMMISSIONE DATI'!$AN$68</definedName>
    <definedName name="ALTprofLATrich6">'[1]IMMISSIONE DATI'!$AN$69</definedName>
    <definedName name="ALTprofLATrich7">'[1]IMMISSIONE DATI'!$AN$70</definedName>
    <definedName name="ALTprofLATrich8">'[1]IMMISSIONE DATI'!$AN$71</definedName>
    <definedName name="ALTprofLATrich9">'[1]IMMISSIONE DATI'!$AN$72</definedName>
    <definedName name="ALTprofOtubRICHdx1">'[1]IMMISSIONE DATI'!$AI$64</definedName>
    <definedName name="ALTprofOtubRICHdx10">'[1]IMMISSIONE DATI'!$AI$73</definedName>
    <definedName name="ALTprofOtubRICHdx11">'[1]IMMISSIONE DATI'!$AI$74</definedName>
    <definedName name="ALTprofOtubRICHdx12">'[1]IMMISSIONE DATI'!$AI$75</definedName>
    <definedName name="ALTprofOtubRICHdx13">'[1]IMMISSIONE DATI'!$AI$76</definedName>
    <definedName name="ALTprofOtubRICHdx14">'[1]IMMISSIONE DATI'!$AI$77</definedName>
    <definedName name="ALTprofOtubRICHdx15">'[1]IMMISSIONE DATI'!$AI$78</definedName>
    <definedName name="ALTprofOtubRICHdx16">'[1]IMMISSIONE DATI'!$AI$79</definedName>
    <definedName name="ALTprofOtubRICHdx2">'[1]IMMISSIONE DATI'!$AI$65</definedName>
    <definedName name="ALTprofOtubRICHdx3">'[1]IMMISSIONE DATI'!$AI$66</definedName>
    <definedName name="ALTprofOtubRICHdx4">'[1]IMMISSIONE DATI'!$AI$67</definedName>
    <definedName name="ALTprofOtubRICHdx5">'[1]IMMISSIONE DATI'!$AI$68</definedName>
    <definedName name="ALTprofOtubRICHdx6">'[1]IMMISSIONE DATI'!$AI$69</definedName>
    <definedName name="ALTprofOtubRICHdx7">'[1]IMMISSIONE DATI'!$AI$70</definedName>
    <definedName name="ALTprofOtubRICHdx8">'[1]IMMISSIONE DATI'!$AI$71</definedName>
    <definedName name="ALTprofOtubRICHdx9">'[1]IMMISSIONE DATI'!$AI$72</definedName>
    <definedName name="ALTprofOtubRICHsx1">'[1]IMMISSIONE DATI'!$Z$64</definedName>
    <definedName name="ALTprofOtubRICHsx10">'[1]IMMISSIONE DATI'!$Z$73</definedName>
    <definedName name="ALTprofOtubRICHsx11">'[1]IMMISSIONE DATI'!$Z$74</definedName>
    <definedName name="ALTprofOtubRICHsx12">'[1]IMMISSIONE DATI'!$Z$75</definedName>
    <definedName name="ALTprofOtubRICHsx13">'[1]IMMISSIONE DATI'!$Z$76</definedName>
    <definedName name="ALTprofOtubRICHsx14">'[1]IMMISSIONE DATI'!$Z$77</definedName>
    <definedName name="ALTprofOtubRICHsx15">'[1]IMMISSIONE DATI'!$Z$78</definedName>
    <definedName name="ALTprofOtubRICHsx16">'[1]IMMISSIONE DATI'!$Z$79</definedName>
    <definedName name="ALTprofOtubRICHsx2">'[1]IMMISSIONE DATI'!$Z$65</definedName>
    <definedName name="ALTprofOtubRICHsx3">'[1]IMMISSIONE DATI'!$Z$66</definedName>
    <definedName name="ALTprofOtubRICHsx4">'[1]IMMISSIONE DATI'!$Z$67</definedName>
    <definedName name="ALTprofOtubRICHsx5">'[1]IMMISSIONE DATI'!$Z$68</definedName>
    <definedName name="ALTprofOtubRICHsx6">'[1]IMMISSIONE DATI'!$Z$69</definedName>
    <definedName name="ALTprofOtubRICHsx7">'[1]IMMISSIONE DATI'!$Z$70</definedName>
    <definedName name="ALTprofOtubRICHsx8">'[1]IMMISSIONE DATI'!$Z$71</definedName>
    <definedName name="ALTprofOtubRICHsx9">'[1]IMMISSIONE DATI'!$Z$72</definedName>
    <definedName name="CATENACCIOLOorizzontaleINGOMBROclick_rapid">[1]MATERIALI!$D$37</definedName>
    <definedName name="CENTO">[1]DATI!$D$25</definedName>
    <definedName name="CERNIERA_APERTA_MODERNA">[1]MODERNA!$E$134</definedName>
    <definedName name="CERNIERA_TUBOLARE_MODERNA">[1]MODERNA!$E$133</definedName>
    <definedName name="CLICK_RAPID">[1]DATI!$C$151</definedName>
    <definedName name="CLICK_RAPIDxPRIVATO">[1]DATI!$C$152</definedName>
    <definedName name="CLIENTE_NOME">'[1]IMMISSIONE DATI'!$F$11</definedName>
    <definedName name="CODpiantCENTRdiAPPOGGIOrich1">'[1]IMMISSIONE DATI'!$BF$64</definedName>
    <definedName name="CODpiantCENTRdiAPPOGGIOrich10">'[1]IMMISSIONE DATI'!$BF$73</definedName>
    <definedName name="CODpiantCENTRdiAPPOGGIOrich11">'[1]IMMISSIONE DATI'!$BF$74</definedName>
    <definedName name="CODpiantCENTRdiAPPOGGIOrich12">'[1]IMMISSIONE DATI'!$BF$75</definedName>
    <definedName name="CODpiantCENTRdiAPPOGGIOrich13">'[1]IMMISSIONE DATI'!$BF$76</definedName>
    <definedName name="CODpiantCENTRdiAPPOGGIOrich14">'[1]IMMISSIONE DATI'!$BF$77</definedName>
    <definedName name="CODpiantCENTRdiAPPOGGIOrich15">'[1]IMMISSIONE DATI'!$BF$78</definedName>
    <definedName name="CODpiantCENTRdiAPPOGGIOrich16">'[1]IMMISSIONE DATI'!$BF$79</definedName>
    <definedName name="CODpiantCENTRdiAPPOGGIOrich2">'[1]IMMISSIONE DATI'!$BF$65</definedName>
    <definedName name="CODpiantCENTRdiAPPOGGIOrich3">'[1]IMMISSIONE DATI'!$BF$66</definedName>
    <definedName name="CODpiantCENTRdiAPPOGGIOrich4">'[1]IMMISSIONE DATI'!$BF$67</definedName>
    <definedName name="CODpiantCENTRdiAPPOGGIOrich5">'[1]IMMISSIONE DATI'!$BF$68</definedName>
    <definedName name="CODpiantCENTRdiAPPOGGIOrich6">'[1]IMMISSIONE DATI'!$BF$69</definedName>
    <definedName name="CODpiantCENTRdiAPPOGGIOrich7">'[1]IMMISSIONE DATI'!$BF$70</definedName>
    <definedName name="CODpiantCENTRdiAPPOGGIOrich8">'[1]IMMISSIONE DATI'!$BF$71</definedName>
    <definedName name="CODpiantCENTRdiAPPOGGIOrich9">'[1]IMMISSIONE DATI'!$BF$72</definedName>
    <definedName name="CODpiantCENTRsugg1">'[1]IMMISSIONE DATI'!$BD$64</definedName>
    <definedName name="CODpiantCENTRsugg10">'[1]IMMISSIONE DATI'!$BD$73</definedName>
    <definedName name="CODpiantCENTRsugg11">'[1]IMMISSIONE DATI'!$BD$74</definedName>
    <definedName name="CODpiantCENTRsugg12">'[1]IMMISSIONE DATI'!$BD$75</definedName>
    <definedName name="CODpiantCENTRsugg13">'[1]IMMISSIONE DATI'!$BD$76</definedName>
    <definedName name="CODpiantCENTRsugg14">'[1]IMMISSIONE DATI'!$BD$77</definedName>
    <definedName name="CODpiantCENTRsugg15">'[1]IMMISSIONE DATI'!$BD$78</definedName>
    <definedName name="CODpiantCENTRsugg16">'[1]IMMISSIONE DATI'!$BD$79</definedName>
    <definedName name="CODpiantCENTRsugg2">'[1]IMMISSIONE DATI'!$BD$65</definedName>
    <definedName name="CODpiantCENTRsugg3">'[1]IMMISSIONE DATI'!$BD$66</definedName>
    <definedName name="CODpiantCENTRsugg4">'[1]IMMISSIONE DATI'!$BD$67</definedName>
    <definedName name="CODpiantCENTRsugg5">'[1]IMMISSIONE DATI'!$BD$68</definedName>
    <definedName name="CODpiantCENTRsugg6">'[1]IMMISSIONE DATI'!$BD$69</definedName>
    <definedName name="CODpiantCENTRsugg7">'[1]IMMISSIONE DATI'!$BD$70</definedName>
    <definedName name="CODpiantCENTRsugg8">'[1]IMMISSIONE DATI'!$BD$71</definedName>
    <definedName name="CODpiantCENTRsugg9">'[1]IMMISSIONE DATI'!$BD$72</definedName>
    <definedName name="CODpiantCENTRsuggAPPOG1">'[1]IMMISSIONE DATI'!$BG$64</definedName>
    <definedName name="CODpiantCENTRsuggAPPOG10">'[1]IMMISSIONE DATI'!$BG$73</definedName>
    <definedName name="CODpiantCENTRsuggAPPOG11">'[1]IMMISSIONE DATI'!$BG$74</definedName>
    <definedName name="CODpiantCENTRsuggAPPOG12">'[1]IMMISSIONE DATI'!$BG$75</definedName>
    <definedName name="CODpiantCENTRsuggAPPOG13">'[1]IMMISSIONE DATI'!$BG$76</definedName>
    <definedName name="CODpiantCENTRsuggAPPOG14">'[1]IMMISSIONE DATI'!$BG$77</definedName>
    <definedName name="CODpiantCENTRsuggAPPOG15">'[1]IMMISSIONE DATI'!$BG$78</definedName>
    <definedName name="CODpiantCENTRsuggAPPOG16">'[1]IMMISSIONE DATI'!$BG$79</definedName>
    <definedName name="CODpiantCENTRsuggAPPOG2">'[1]IMMISSIONE DATI'!$BG$65</definedName>
    <definedName name="CODpiantCENTRsuggAPPOG3">'[1]IMMISSIONE DATI'!$BG$66</definedName>
    <definedName name="CODpiantCENTRsuggAPPOG4">'[1]IMMISSIONE DATI'!$BG$67</definedName>
    <definedName name="CODpiantCENTRsuggAPPOG5">'[1]IMMISSIONE DATI'!$BG$68</definedName>
    <definedName name="CODpiantCENTRsuggAPPOG6">'[1]IMMISSIONE DATI'!$BG$69</definedName>
    <definedName name="CODpiantCENTRsuggAPPOG7">'[1]IMMISSIONE DATI'!$BG$70</definedName>
    <definedName name="CODpiantCENTRsuggAPPOG8">'[1]IMMISSIONE DATI'!$BG$71</definedName>
    <definedName name="CODpiantCENTRsuggAPPOG9">'[1]IMMISSIONE DATI'!$BG$72</definedName>
    <definedName name="CODpiattoORIZZsugg1">'[1]IMMISSIONE DATI'!$AV$64</definedName>
    <definedName name="CODpiattoORIZZsugg10">'[1]IMMISSIONE DATI'!$AV$73</definedName>
    <definedName name="CODpiattoORIZZsugg11">'[1]IMMISSIONE DATI'!$AV$74</definedName>
    <definedName name="CODpiattoORIZZsugg12">'[1]IMMISSIONE DATI'!$AV$75</definedName>
    <definedName name="CODpiattoORIZZsugg13">'[1]IMMISSIONE DATI'!$AV$76</definedName>
    <definedName name="CODpiattoORIZZsugg14">'[1]IMMISSIONE DATI'!$AV$77</definedName>
    <definedName name="CODpiattoORIZZsugg15">'[1]IMMISSIONE DATI'!$AV$78</definedName>
    <definedName name="CODpiattoORIZZsugg16">'[1]IMMISSIONE DATI'!$AV$79</definedName>
    <definedName name="CODpiattoORIZZsugg2">'[1]IMMISSIONE DATI'!$AV$65</definedName>
    <definedName name="CODpiattoORIZZsugg3">'[1]IMMISSIONE DATI'!$AV$66</definedName>
    <definedName name="CODpiattoORIZZsugg4">'[1]IMMISSIONE DATI'!$AV$67</definedName>
    <definedName name="CODpiattoORIZZsugg5">'[1]IMMISSIONE DATI'!$AV$68</definedName>
    <definedName name="CODpiattoORIZZsugg6">'[1]IMMISSIONE DATI'!$AV$69</definedName>
    <definedName name="CODpiattoORIZZsugg7">'[1]IMMISSIONE DATI'!$AV$70</definedName>
    <definedName name="CODpiattoORIZZsugg8">'[1]IMMISSIONE DATI'!$AV$71</definedName>
    <definedName name="CODpiattoORIZZsugg9">'[1]IMMISSIONE DATI'!$AV$72</definedName>
    <definedName name="COEFFdogaINSERITAnellaCERNIERAaertaFINOallaFINEdelGANCIO">[1]MATERIALI!$D$23</definedName>
    <definedName name="COEFFlargCOMPLESSIVAdelKITcerniere_GANCIOassemblato">[1]MATERIALI!$D$24</definedName>
    <definedName name="COEFFpesoSPEZZONEdiDOGArifilataEtub30x30">'prod MODERNA'!$FN$1</definedName>
    <definedName name="COLaccessorioANTIFURTO">[1]MATERIALI!$J$5</definedName>
    <definedName name="COLaccessorioANTIFURTO2">[1]MATERIALI!$K$5</definedName>
    <definedName name="colALTnominaleDOGAmm">[1]DATI!$AM$138</definedName>
    <definedName name="COLcodPROFILIlat">[1]DATI!$BP$138</definedName>
    <definedName name="COLcoefALTdogaREALEda200">[1]DATI!$G$138</definedName>
    <definedName name="COLcoefALTdogaSORMONTATAda200">[1]DATI!$H$138</definedName>
    <definedName name="COLcoefAUMaltBUSTApvc">[1]DATI!$AX$138</definedName>
    <definedName name="COLcoefAUMlargBUSTApvc">[1]DATI!$AV$138</definedName>
    <definedName name="COLcoefAUMlargXprofILIlateraliBUSTApvc">[1]DATI!$AW$138</definedName>
    <definedName name="COLcoeffALTguarnINFERIOREschiacciata">[1]DATI!$S$138</definedName>
    <definedName name="COLcoeffALTmorsetto">[1]DATI!$AE$138</definedName>
    <definedName name="colCOEFFaltPERmorsettoDItraversoQUANDOinTENSIONE">[1]DATI!$AK$138</definedName>
    <definedName name="COLcoeffALTprofiloSogliaRimanenteSOTTOalTELAIOperimetrale">[1]DATI!$K$138</definedName>
    <definedName name="COLcoeffAUMoCALOinALTpolistirolo">[1]DATI!$BD$138</definedName>
    <definedName name="COLcoeffAUMoCALOinLARGpolistirolo">[1]DATI!$BA$138</definedName>
    <definedName name="COLcoeffAUMoCALOinLARGprofiloAu">[1]DATI!$BB$138</definedName>
    <definedName name="COLcoeffBULLONEsenzaMORSETTOeSENZAcoeffFILETTOciecoPERincassoPOMOLOoDADOcieco">[1]DATI!$AH$138</definedName>
    <definedName name="COLcoeffCALOdoga">'[1]pulsanti E convalida dati'!$T$3</definedName>
    <definedName name="COLcoeffCALOtaglioPANNELLObarrieraMONOLITICOoASSEMBLATOInALT">[1]DATI!$J$138</definedName>
    <definedName name="colCOEFFdellaALTnelFIANCOpolistirolo">[1]DATI!$BF$138</definedName>
    <definedName name="colCOEFFdellaLARGnelFIANCOpolistirolo">[1]DATI!$BE$138</definedName>
    <definedName name="COLcoeffPELLICOLAadesivaLARG">[1]DATI!$BJ$138</definedName>
    <definedName name="COLcoeffPOSSIBILITApellicolaADESIVA">[1]DATI!$BL$138</definedName>
    <definedName name="COLcoeffSALDATURAinALTbustaPVC">[1]DATI!$AY$138</definedName>
    <definedName name="COLcoeffSALDATURAinLARGperTASCAbustaPVC">[1]DATI!$AZ$138</definedName>
    <definedName name="COLcoeffSPESSOREdelPRESSOREsottoALmorsetto">[1]DATI!$AI$138</definedName>
    <definedName name="COLcoeffSPESSUREdelPROFILOtraPRESSOREeDOGAalta">[1]DATI!$AJ$138</definedName>
    <definedName name="COLcoeffTAGLIOdogaOPPURElastraINlarg">[1]DATI!$E$138</definedName>
    <definedName name="COLcoeffTAGLIOPROFILIlateraliEverticaliAttaccatiALLAbarriera">[1]DATI!$L$138</definedName>
    <definedName name="COLcoeffTAGLIOPROFILOdiAGGANCIOsistemaMODERNA">[1]DATI!$N$138</definedName>
    <definedName name="colCORRIEREusuale">[1]rivenditori!$AY$3</definedName>
    <definedName name="COLdimstdSTRISCIAdelFIANCOxALT1polistirolo">[1]DATI!$BH$138</definedName>
    <definedName name="COLdimstdSTRISCIAdelFIANCOxALT2polistirolo">[1]DATI!$BI$138</definedName>
    <definedName name="COLdimStdSTRISCIAdelFIANCOxLARG1polistirolo">[1]DATI!$BG$138</definedName>
    <definedName name="COLlargPROFoTUBlat">'[1]pulsanti E convalida dati'!$R$24</definedName>
    <definedName name="COLlargPROFoTUBlatXimballaggio">'[1]pulsanti E convalida dati'!$U$24</definedName>
    <definedName name="COLlavorazioneXantifurto">[1]MATERIALI!$M$5</definedName>
    <definedName name="COLlucchetto">[1]MATERIALI!$I$5</definedName>
    <definedName name="COLnGUARNorizzINFERIOREbarriera">[1]DATI!$U$138</definedName>
    <definedName name="COLnGUARNorizzINTERMEDIEbarriera">[1]DATI!$V$138</definedName>
    <definedName name="COLnGUARNorizzPROFILOdiTENUTAlaterale">[1]DATI!$Y$138</definedName>
    <definedName name="COLnGUARNvertBARRIERA">[1]DATI!$X$138</definedName>
    <definedName name="COLnGUARNvertPROFILOdiTENUTAlaterale">[1]DATI!$Z$138</definedName>
    <definedName name="COLnMANIGLIAasportabile">[1]DATI!$AC$138</definedName>
    <definedName name="COLnPROFILIinNYLON">[1]DATI!$AB$138</definedName>
    <definedName name="COLnTAPPIdiGIUNZIONEguarnORIZZconVERT">[1]DATI!$AA$138</definedName>
    <definedName name="COLpesoALKGmlDOGA">[1]DATI!$AS$138</definedName>
    <definedName name="COLprofiliLATdiserie">[1]DATI!$BR$138</definedName>
    <definedName name="COLsfioroPROFtenLATrispettoALvano">'[1]pulsanti E convalida dati'!$V$3</definedName>
    <definedName name="COLstato">[1]rivenditori!$H$3</definedName>
    <definedName name="COLusoVITEdISERIE">[1]MATERIALI!$N$5</definedName>
    <definedName name="COLviteSPECIALExANTIFURTO">[1]MATERIALI!$L$5</definedName>
    <definedName name="copertina1">'[1]IMMISSIONE DATI'!$AO$64</definedName>
    <definedName name="copertina10">'[1]IMMISSIONE DATI'!$AO$73</definedName>
    <definedName name="copertina11">'[1]IMMISSIONE DATI'!$AO$74</definedName>
    <definedName name="copertina12">'[1]IMMISSIONE DATI'!$AO$75</definedName>
    <definedName name="copertina13">'[1]IMMISSIONE DATI'!$AO$76</definedName>
    <definedName name="copertina14">'[1]IMMISSIONE DATI'!$AO$77</definedName>
    <definedName name="copertina15">'[1]IMMISSIONE DATI'!$AO$78</definedName>
    <definedName name="copertina16">'[1]IMMISSIONE DATI'!$AO$79</definedName>
    <definedName name="copertina2">'[1]IMMISSIONE DATI'!$AO$65</definedName>
    <definedName name="copertina3">'[1]IMMISSIONE DATI'!$AO$66</definedName>
    <definedName name="copertina4">'[1]IMMISSIONE DATI'!$AO$67</definedName>
    <definedName name="copertina5">'[1]IMMISSIONE DATI'!$AO$68</definedName>
    <definedName name="copertina6">'[1]IMMISSIONE DATI'!$AO$69</definedName>
    <definedName name="copertina7">'[1]IMMISSIONE DATI'!$AO$70</definedName>
    <definedName name="copertina8">'[1]IMMISSIONE DATI'!$AO$71</definedName>
    <definedName name="copertina9">'[1]IMMISSIONE DATI'!$AO$72</definedName>
    <definedName name="COPERTINAauto1">'[1]IMMISSIONE DATI'!$AP$64</definedName>
    <definedName name="COPERTINAauto10">'[1]IMMISSIONE DATI'!$AP$73</definedName>
    <definedName name="COPERTINAauto11">'[1]IMMISSIONE DATI'!$AP$74</definedName>
    <definedName name="COPERTINAauto12">'[1]IMMISSIONE DATI'!$AP$75</definedName>
    <definedName name="COPERTINAauto13">'[1]IMMISSIONE DATI'!$AP$76</definedName>
    <definedName name="COPERTINAauto14">'[1]IMMISSIONE DATI'!$AP$77</definedName>
    <definedName name="COPERTINAauto15">'[1]IMMISSIONE DATI'!$AP$78</definedName>
    <definedName name="COPERTINAauto16">'[1]IMMISSIONE DATI'!$AP$79</definedName>
    <definedName name="COPERTINAauto2">'[1]IMMISSIONE DATI'!$AP$65</definedName>
    <definedName name="COPERTINAauto3">'[1]IMMISSIONE DATI'!$AP$66</definedName>
    <definedName name="COPERTINAauto4">'[1]IMMISSIONE DATI'!$AP$67</definedName>
    <definedName name="COPERTINAauto5">'[1]IMMISSIONE DATI'!$AP$68</definedName>
    <definedName name="COPERTINAauto6">'[1]IMMISSIONE DATI'!$AP$69</definedName>
    <definedName name="COPERTINAauto7">'[1]IMMISSIONE DATI'!$AP$70</definedName>
    <definedName name="COPERTINAauto8">'[1]IMMISSIONE DATI'!$AP$71</definedName>
    <definedName name="COPERTINAauto9">'[1]IMMISSIONE DATI'!$AP$72</definedName>
    <definedName name="COSTOcorriere">'[1]IMMISSIONE DATI'!$K$91</definedName>
    <definedName name="dataCONTRATTO">[1]CONTRATTO!$K$1</definedName>
    <definedName name="DIECI">[1]DATI!$D$13</definedName>
    <definedName name="DIMENSIONE_DOGA_FINO_ALL_UNCINO">'prod MODERNA'!$CG$86</definedName>
    <definedName name="DIMprimoFOROdalPAVIMENTOperFISSAGGIOprofiloDItenutaLATERALE">[1]DATI!$D$66</definedName>
    <definedName name="DODICI">[1]DATI!$D$14</definedName>
    <definedName name="DOGA_MODERNA_200">[1]MODERNA!$E$135</definedName>
    <definedName name="DUE">[1]DATI!$D$8</definedName>
    <definedName name="DUECENTO">[1]DATI!$D$27</definedName>
    <definedName name="elenco_fornitori">'[1]Tab Ordini'!$E$6:$M$205</definedName>
    <definedName name="ElencoRivenditori">[1]rivenditori!$A$5:$BF$2791</definedName>
    <definedName name="fornPIANTcentr1">'[1]IMMISSIONE DATI'!$BC$64</definedName>
    <definedName name="fornPIANTcentr10">'[1]IMMISSIONE DATI'!$BC$73</definedName>
    <definedName name="fornPIANTcentr11">'[1]IMMISSIONE DATI'!$BC$74</definedName>
    <definedName name="fornPIANTcentr12">'[1]IMMISSIONE DATI'!$BC$75</definedName>
    <definedName name="fornPIANTcentr13">'[1]IMMISSIONE DATI'!$BC$76</definedName>
    <definedName name="fornPIANTcentr14">'[1]IMMISSIONE DATI'!$BC$77</definedName>
    <definedName name="fornPIANTcentr15">'[1]IMMISSIONE DATI'!$BC$78</definedName>
    <definedName name="fornPIANTcentr16">'[1]IMMISSIONE DATI'!$BC$79</definedName>
    <definedName name="fornPIANTcentr2">'[1]IMMISSIONE DATI'!$BC$65</definedName>
    <definedName name="fornPIANTcentr3">'[1]IMMISSIONE DATI'!$BC$66</definedName>
    <definedName name="fornPIANTcentr4">'[1]IMMISSIONE DATI'!$BC$67</definedName>
    <definedName name="fornPIANTcentr5">'[1]IMMISSIONE DATI'!$BC$68</definedName>
    <definedName name="fornPIANTcentr6">'[1]IMMISSIONE DATI'!$BC$69</definedName>
    <definedName name="fornPIANTcentr7">'[1]IMMISSIONE DATI'!$BC$70</definedName>
    <definedName name="fornPIANTcentr8">'[1]IMMISSIONE DATI'!$BC$71</definedName>
    <definedName name="fornPIANTcentr9">'[1]IMMISSIONE DATI'!$BC$72</definedName>
    <definedName name="H_classic25">[1]MODERNA!$F$137</definedName>
    <definedName name="H_MODERNA">[1]MODERNA!$E$137</definedName>
    <definedName name="int_elenco_fornitori">'[1]Tab Ordini'!$E$5:$M$5</definedName>
    <definedName name="INTERASSEforoPERnottolinoDIcomandoMANIGLIAdiCHIUSURAaLEVAclose">'[1]tab fori cerniere close e gate'!$V$17</definedName>
    <definedName name="INTERASSSEforiANTAcernieraSAVIOmechanica">'[1]tab fori cerniere close e gate'!$V$23</definedName>
    <definedName name="LargALT1">'[1]IMMISSIONE DATI'!$R$64</definedName>
    <definedName name="LargALT2">'[1]IMMISSIONE DATI'!$R$65</definedName>
    <definedName name="LargALT3">'[1]IMMISSIONE DATI'!$R$66</definedName>
    <definedName name="LargALT4">'[1]IMMISSIONE DATI'!$R$67</definedName>
    <definedName name="LargALT5">'[1]IMMISSIONE DATI'!$R$68</definedName>
    <definedName name="LargALT6">'[1]IMMISSIONE DATI'!$R$69</definedName>
    <definedName name="LargALT7">'[1]IMMISSIONE DATI'!$R$70</definedName>
    <definedName name="LargALT8">'[1]IMMISSIONE DATI'!$R$71</definedName>
    <definedName name="LargALT9">'[1]IMMISSIONE DATI'!$R$72</definedName>
    <definedName name="larghezza1">'[1]IMMISSIONE DATI'!$K$64</definedName>
    <definedName name="larghezza10">'[1]IMMISSIONE DATI'!$K$73</definedName>
    <definedName name="larghezza11">'[1]IMMISSIONE DATI'!$K$74</definedName>
    <definedName name="larghezza12">'[1]IMMISSIONE DATI'!$K$75</definedName>
    <definedName name="larghezza13">'[1]IMMISSIONE DATI'!$K$76</definedName>
    <definedName name="larghezza14">'[1]IMMISSIONE DATI'!$K$77</definedName>
    <definedName name="larghezza15">'[1]IMMISSIONE DATI'!$K$78</definedName>
    <definedName name="larghezza16">'[1]IMMISSIONE DATI'!$K$79</definedName>
    <definedName name="larghezza2">'[1]IMMISSIONE DATI'!$K$65</definedName>
    <definedName name="larghezza3">'[1]IMMISSIONE DATI'!$K$66</definedName>
    <definedName name="larghezza4">'[1]IMMISSIONE DATI'!$K$67</definedName>
    <definedName name="larghezza5">'[1]IMMISSIONE DATI'!$K$68</definedName>
    <definedName name="larghezza6">'[1]IMMISSIONE DATI'!$K$69</definedName>
    <definedName name="larghezza7">'[1]IMMISSIONE DATI'!$K$70</definedName>
    <definedName name="larghezza8">'[1]IMMISSIONE DATI'!$K$71</definedName>
    <definedName name="larghezza9">'[1]IMMISSIONE DATI'!$K$72</definedName>
    <definedName name="LARGortogonalitaADEGUATA1">'[1]IMMISSIONE DATI'!$S$64</definedName>
    <definedName name="LARGortogonalitaADEGUATA10">'[1]IMMISSIONE DATI'!$S$73</definedName>
    <definedName name="LARGortogonalitaADEGUATA11">'[1]IMMISSIONE DATI'!$S$74</definedName>
    <definedName name="LARGortogonalitaADEGUATA12">'[1]IMMISSIONE DATI'!$S$75</definedName>
    <definedName name="LARGortogonalitaADEGUATA13">'[1]IMMISSIONE DATI'!$S$76</definedName>
    <definedName name="LARGortogonalitaADEGUATA14">'[1]IMMISSIONE DATI'!$S$77</definedName>
    <definedName name="LARGortogonalitaADEGUATA15">'[1]IMMISSIONE DATI'!$S$78</definedName>
    <definedName name="LARGortogonalitaADEGUATA16">'[1]IMMISSIONE DATI'!$S$79</definedName>
    <definedName name="LARGortogonalitaADEGUATA2">'[1]IMMISSIONE DATI'!$S$65</definedName>
    <definedName name="LARGortogonalitaADEGUATA3">'[1]IMMISSIONE DATI'!$S$66</definedName>
    <definedName name="LARGortogonalitaADEGUATA4">'[1]IMMISSIONE DATI'!$S$67</definedName>
    <definedName name="LARGortogonalitaADEGUATA5">'[1]IMMISSIONE DATI'!$S$68</definedName>
    <definedName name="LARGortogonalitaADEGUATA6">'[1]IMMISSIONE DATI'!$S$69</definedName>
    <definedName name="LARGortogonalitaADEGUATA7">'[1]IMMISSIONE DATI'!$S$70</definedName>
    <definedName name="LARGortogonalitaADEGUATA8">'[1]IMMISSIONE DATI'!$S$71</definedName>
    <definedName name="LARGortogonalitaADEGUATA9">'[1]IMMISSIONE DATI'!$S$72</definedName>
    <definedName name="LATOcomAUTO1">'[1]IMMISSIONE DATI'!$M$64</definedName>
    <definedName name="LATOcomAUTO10">'[1]IMMISSIONE DATI'!$M$73</definedName>
    <definedName name="LATOcomAUTO11">'[1]IMMISSIONE DATI'!$M$74</definedName>
    <definedName name="LATOcomAUTO12">'[1]IMMISSIONE DATI'!$M$75</definedName>
    <definedName name="LATOcomAUTO13">'[1]IMMISSIONE DATI'!$M$76</definedName>
    <definedName name="LATOcomAUTO14">'[1]IMMISSIONE DATI'!$M$77</definedName>
    <definedName name="LATOcomAUTO15">'[1]IMMISSIONE DATI'!$M$78</definedName>
    <definedName name="LATOcomAUTO16">'[1]IMMISSIONE DATI'!$M$79</definedName>
    <definedName name="LATOcomAUTO2">'[1]IMMISSIONE DATI'!$M$65</definedName>
    <definedName name="LATOcomAUTO3">'[1]IMMISSIONE DATI'!$M$66</definedName>
    <definedName name="LATOcomAUTO4">'[1]IMMISSIONE DATI'!$M$67</definedName>
    <definedName name="LATOcomAUTO5">'[1]IMMISSIONE DATI'!$M$68</definedName>
    <definedName name="LATOcomAUTO6">'[1]IMMISSIONE DATI'!$M$69</definedName>
    <definedName name="LATOcomAUTO7">'[1]IMMISSIONE DATI'!$M$70</definedName>
    <definedName name="LATOcomAUTO8">'[1]IMMISSIONE DATI'!$M$71</definedName>
    <definedName name="LATOcomAUTO9">'[1]IMMISSIONE DATI'!$M$72</definedName>
    <definedName name="MANIGLIAoptional1">'[1]IMMISSIONE DATI'!$O$64</definedName>
    <definedName name="MILLE">[1]DATI!$D$32</definedName>
    <definedName name="modello1">'[1]IMMISSIONE DATI'!$I$64</definedName>
    <definedName name="modello10">'[1]IMMISSIONE DATI'!$I$73</definedName>
    <definedName name="modello11">'[1]IMMISSIONE DATI'!$I$74</definedName>
    <definedName name="modello12">'[1]IMMISSIONE DATI'!$I$75</definedName>
    <definedName name="modello13">'[1]IMMISSIONE DATI'!$I$76</definedName>
    <definedName name="modello14">'[1]IMMISSIONE DATI'!$I$77</definedName>
    <definedName name="modello15">'[1]IMMISSIONE DATI'!$I$78</definedName>
    <definedName name="modello16">'[1]IMMISSIONE DATI'!$I$79</definedName>
    <definedName name="modello2">'[1]IMMISSIONE DATI'!$I$65</definedName>
    <definedName name="modello3">'[1]IMMISSIONE DATI'!$I$66</definedName>
    <definedName name="modello4">'[1]IMMISSIONE DATI'!$I$67</definedName>
    <definedName name="modello5">'[1]IMMISSIONE DATI'!$I$68</definedName>
    <definedName name="modello6">'[1]IMMISSIONE DATI'!$I$69</definedName>
    <definedName name="modello7">'[1]IMMISSIONE DATI'!$I$70</definedName>
    <definedName name="modello8">'[1]IMMISSIONE DATI'!$I$71</definedName>
    <definedName name="modello9">'[1]IMMISSIONE DATI'!$I$72</definedName>
    <definedName name="modelloAUTO1">'[1]IMMISSIONE DATI'!$J$64</definedName>
    <definedName name="modelloAUTO10">'[1]IMMISSIONE DATI'!$J$73</definedName>
    <definedName name="modelloAUTO11">'[1]IMMISSIONE DATI'!$J$74</definedName>
    <definedName name="modelloAUTO12">'[1]IMMISSIONE DATI'!$J$75</definedName>
    <definedName name="modelloAUTO13">'[1]IMMISSIONE DATI'!$J$76</definedName>
    <definedName name="modelloAUTO14">'[1]IMMISSIONE DATI'!$J$77</definedName>
    <definedName name="modelloAUTO15">'[1]IMMISSIONE DATI'!$J$78</definedName>
    <definedName name="modelloAUTO16">'[1]IMMISSIONE DATI'!$J$79</definedName>
    <definedName name="modelloAUTO2">'[1]IMMISSIONE DATI'!$J$65</definedName>
    <definedName name="modelloAUTO3">'[1]IMMISSIONE DATI'!$J$66</definedName>
    <definedName name="modelloAUTO4">'[1]IMMISSIONE DATI'!$J$67</definedName>
    <definedName name="modelloAUTO5">'[1]IMMISSIONE DATI'!$J$68</definedName>
    <definedName name="modelloAUTO6">'[1]IMMISSIONE DATI'!$J$69</definedName>
    <definedName name="modelloAUTO7">'[1]IMMISSIONE DATI'!$J$70</definedName>
    <definedName name="modelloAUTO8">'[1]IMMISSIONE DATI'!$J$71</definedName>
    <definedName name="modelloAUTO9">'[1]IMMISSIONE DATI'!$J$72</definedName>
    <definedName name="MODERNA">[3]DATI!$C$153</definedName>
    <definedName name="nCatenacci1">'[1]prod CLICK_RAPID'!$EZ$8</definedName>
    <definedName name="nCatenacci10">'[1]prod CLICK_RAPID'!$EZ$17</definedName>
    <definedName name="nCatenacci11">'[1]prod CLICK_RAPID'!$EZ$18</definedName>
    <definedName name="nCatenacci12">'[1]prod CLICK_RAPID'!$EZ$19</definedName>
    <definedName name="nCatenacci13">'[1]prod CLICK_RAPID'!$EZ$20</definedName>
    <definedName name="nCatenacci14">'[1]prod CLICK_RAPID'!$EZ$21</definedName>
    <definedName name="nCatenacci15">'[1]prod CLICK_RAPID'!$EZ$22</definedName>
    <definedName name="nCatenacci16">'[1]prod CLICK_RAPID'!$EZ$23</definedName>
    <definedName name="nCatenacci2">'[1]prod CLICK_RAPID'!$EZ$9</definedName>
    <definedName name="nCatenacci3">'[1]prod CLICK_RAPID'!$EZ$10</definedName>
    <definedName name="nCatenacci4">'[1]prod CLICK_RAPID'!$EZ$11</definedName>
    <definedName name="nCatenacci5">'[1]prod CLICK_RAPID'!$EZ$12</definedName>
    <definedName name="nCatenacci6">'[1]prod CLICK_RAPID'!$EZ$13</definedName>
    <definedName name="nCatenacci7">'[1]prod CLICK_RAPID'!$EZ$14</definedName>
    <definedName name="nCatenacci8">'[1]prod CLICK_RAPID'!$EZ$15</definedName>
    <definedName name="nCatenacci9">'[1]prod CLICK_RAPID'!$EZ$16</definedName>
    <definedName name="NmaniglieDItrasporto1">'[1]IMMISSIONE DATI'!$BL$64</definedName>
    <definedName name="NmaniglieDItrasporto10">'[1]IMMISSIONE DATI'!$BL$73</definedName>
    <definedName name="NmaniglieDItrasporto11">'[1]IMMISSIONE DATI'!$BL$74</definedName>
    <definedName name="NmaniglieDItrasporto12">'[1]IMMISSIONE DATI'!$BL$75</definedName>
    <definedName name="NmaniglieDItrasporto13">'[1]IMMISSIONE DATI'!$BL$76</definedName>
    <definedName name="NmaniglieDItrasporto14">'[1]IMMISSIONE DATI'!$BL$77</definedName>
    <definedName name="NmaniglieDItrasporto15">'[1]IMMISSIONE DATI'!$BL$78</definedName>
    <definedName name="NmaniglieDItrasporto16">'[1]IMMISSIONE DATI'!$BL$79</definedName>
    <definedName name="NmaniglieDItrasporto2">'[1]IMMISSIONE DATI'!$BL$65</definedName>
    <definedName name="NmaniglieDItrasporto3">'[1]IMMISSIONE DATI'!$BL$66</definedName>
    <definedName name="NmaniglieDItrasporto4">'[1]IMMISSIONE DATI'!$BL$67</definedName>
    <definedName name="NmaniglieDItrasporto5">'[1]IMMISSIONE DATI'!$BL$68</definedName>
    <definedName name="NmaniglieDItrasporto6">'[1]IMMISSIONE DATI'!$BL$69</definedName>
    <definedName name="NmaniglieDItrasporto7">'[1]IMMISSIONE DATI'!$BL$70</definedName>
    <definedName name="NmaniglieDItrasporto8">'[1]IMMISSIONE DATI'!$BL$71</definedName>
    <definedName name="NmaniglieDItrasporto9">'[1]IMMISSIONE DATI'!$BL$72</definedName>
    <definedName name="nota_tubolare">'[1]IMMISSIONE DATI'!$F$45</definedName>
    <definedName name="note_cliente1">'[1]IMMISSIONE DATI'!$BH$64</definedName>
    <definedName name="note_cliente10">'[1]IMMISSIONE DATI'!$BH$73</definedName>
    <definedName name="note_cliente11">'[1]IMMISSIONE DATI'!$BH$74</definedName>
    <definedName name="note_cliente12">'[1]IMMISSIONE DATI'!$BH$75</definedName>
    <definedName name="note_cliente13">'[1]IMMISSIONE DATI'!$BH$76</definedName>
    <definedName name="note_cliente14">'[1]IMMISSIONE DATI'!$BH$77</definedName>
    <definedName name="note_cliente15">'[1]IMMISSIONE DATI'!$BH$78</definedName>
    <definedName name="note_cliente16">'[1]IMMISSIONE DATI'!$BH$79</definedName>
    <definedName name="note_cliente2">'[1]IMMISSIONE DATI'!$BH$65</definedName>
    <definedName name="note_cliente3">'[1]IMMISSIONE DATI'!$BH$66</definedName>
    <definedName name="note_cliente4">'[1]IMMISSIONE DATI'!$BH$67</definedName>
    <definedName name="note_cliente5">'[1]IMMISSIONE DATI'!$BH$68</definedName>
    <definedName name="note_cliente6">'[1]IMMISSIONE DATI'!$BH$69</definedName>
    <definedName name="note_cliente7">'[1]IMMISSIONE DATI'!$BH$70</definedName>
    <definedName name="note_cliente8">'[1]IMMISSIONE DATI'!$BH$71</definedName>
    <definedName name="note_cliente9">'[1]IMMISSIONE DATI'!$BH$72</definedName>
    <definedName name="ns_sede">'[1]IMMISSIONE DATI'!$F$1</definedName>
    <definedName name="ordine_n">#REF!</definedName>
    <definedName name="PELLICOLA1">'[1]IMMISSIONE DATI'!$BA$64</definedName>
    <definedName name="PELLICOLA10">'[1]IMMISSIONE DATI'!$BA$73</definedName>
    <definedName name="PELLICOLA11">'[1]IMMISSIONE DATI'!$BA$74</definedName>
    <definedName name="PELLICOLA12">'[1]IMMISSIONE DATI'!$BA$75</definedName>
    <definedName name="PELLICOLA13">'[1]IMMISSIONE DATI'!$BA$76</definedName>
    <definedName name="PELLICOLA14">'[1]IMMISSIONE DATI'!$BA$77</definedName>
    <definedName name="PELLICOLA15">'[1]IMMISSIONE DATI'!$BA$78</definedName>
    <definedName name="PELLICOLA16">'[1]IMMISSIONE DATI'!$BA$79</definedName>
    <definedName name="PELLICOLA2">'[1]IMMISSIONE DATI'!$BA$65</definedName>
    <definedName name="PELLICOLA3">'[1]IMMISSIONE DATI'!$BA$66</definedName>
    <definedName name="PELLICOLA4">'[1]IMMISSIONE DATI'!$BA$67</definedName>
    <definedName name="PELLICOLA5">'[1]IMMISSIONE DATI'!$BA$68</definedName>
    <definedName name="PELLICOLA6">'[1]IMMISSIONE DATI'!$BA$69</definedName>
    <definedName name="PELLICOLA7">'[1]IMMISSIONE DATI'!$BA$70</definedName>
    <definedName name="PELLICOLA8">'[1]IMMISSIONE DATI'!$BA$71</definedName>
    <definedName name="PELLICOLA9">'[1]IMMISSIONE DATI'!$BA$72</definedName>
    <definedName name="pesoALmlDOPPIAsiliconaturaINunaDOGA">'prod MODERNA'!$FM$4</definedName>
    <definedName name="PESOguarnORIZZmodernaKG\ML">'prod MODERNA'!$FM$3</definedName>
    <definedName name="pesoMANIGLIAmoderna">[1]MATERIALI!$D$22</definedName>
    <definedName name="PesoTEORICOparatia1">'[1]IMMISSIONE DATI'!$BM$64</definedName>
    <definedName name="PesoTEORICOparatia10">'[1]IMMISSIONE DATI'!$BM$73</definedName>
    <definedName name="PesoTEORICOparatia11">'[1]IMMISSIONE DATI'!$BM$74</definedName>
    <definedName name="PesoTEORICOparatia12">'[1]IMMISSIONE DATI'!$BM$75</definedName>
    <definedName name="PesoTEORICOparatia13">'[1]IMMISSIONE DATI'!$BM$76</definedName>
    <definedName name="PesoTEORICOparatia14">'[1]IMMISSIONE DATI'!$BM$77</definedName>
    <definedName name="PesoTEORICOparatia15">'[1]IMMISSIONE DATI'!$BM$78</definedName>
    <definedName name="PesoTEORICOparatia16">'[1]IMMISSIONE DATI'!$BM$79</definedName>
    <definedName name="PesoTEORICOparatia2">'[1]IMMISSIONE DATI'!$BM$65</definedName>
    <definedName name="PesoTEORICOparatia3">'[1]IMMISSIONE DATI'!$BM$66</definedName>
    <definedName name="PesoTEORICOparatia4">'[1]IMMISSIONE DATI'!$BM$67</definedName>
    <definedName name="PesoTEORICOparatia5">'[1]IMMISSIONE DATI'!$BM$68</definedName>
    <definedName name="PesoTEORICOparatia6">'[1]IMMISSIONE DATI'!$BM$69</definedName>
    <definedName name="PesoTEORICOparatia7">'[1]IMMISSIONE DATI'!$BM$70</definedName>
    <definedName name="PesoTEORICOparatia8">'[1]IMMISSIONE DATI'!$BM$71</definedName>
    <definedName name="PesoTEORICOparatia9">'[1]IMMISSIONE DATI'!$BM$72</definedName>
    <definedName name="pezzi1">'[1]IMMISSIONE DATI'!$BO$64</definedName>
    <definedName name="pezzi10">'[1]IMMISSIONE DATI'!$BO$73</definedName>
    <definedName name="pezzi11">'[1]IMMISSIONE DATI'!$BO$74</definedName>
    <definedName name="pezzi12">'[1]IMMISSIONE DATI'!$BO$75</definedName>
    <definedName name="pezzi13">'[1]IMMISSIONE DATI'!$BO$76</definedName>
    <definedName name="pezzi14">'[1]IMMISSIONE DATI'!$BO$77</definedName>
    <definedName name="pezzi15">'[1]IMMISSIONE DATI'!$BO$78</definedName>
    <definedName name="pezzi16">'[1]IMMISSIONE DATI'!$BO$79</definedName>
    <definedName name="pezzi2">'[1]IMMISSIONE DATI'!$BO$65</definedName>
    <definedName name="pezzi3">'[1]IMMISSIONE DATI'!$BO$66</definedName>
    <definedName name="pezzi4">'[1]IMMISSIONE DATI'!$BO$67</definedName>
    <definedName name="pezzi5">'[1]IMMISSIONE DATI'!$BO$68</definedName>
    <definedName name="pezzi6">'[1]IMMISSIONE DATI'!$BO$69</definedName>
    <definedName name="pezzi7">'[1]IMMISSIONE DATI'!$BO$70</definedName>
    <definedName name="pezzi8">'[1]IMMISSIONE DATI'!$BO$71</definedName>
    <definedName name="pezzi9">'[1]IMMISSIONE DATI'!$BO$72</definedName>
    <definedName name="PRIMOforoNELLantaPARTENDOdaLBASSOclose">'[1]tab fori cerniere close e gate'!$L$7</definedName>
    <definedName name="profELETTRODOsaldaturaPVC">[1]DATI!$D$59</definedName>
    <definedName name="PROFlatAUTO1">'[1]IMMISSIONE DATI'!$AM$64</definedName>
    <definedName name="PROFlatAUTO10">'[1]IMMISSIONE DATI'!$AM$73</definedName>
    <definedName name="PROFlatAUTO11">'[1]IMMISSIONE DATI'!$AM$74</definedName>
    <definedName name="PROFlatAUTO12">'[1]IMMISSIONE DATI'!$AM$75</definedName>
    <definedName name="PROFlatAUTO13">'[1]IMMISSIONE DATI'!$AM$76</definedName>
    <definedName name="PROFlatAUTO14">'[1]IMMISSIONE DATI'!$AM$77</definedName>
    <definedName name="PROFlatAUTO15">'[1]IMMISSIONE DATI'!$AM$78</definedName>
    <definedName name="PROFlatAUTO16">'[1]IMMISSIONE DATI'!$AM$79</definedName>
    <definedName name="PROFlatAUTO2">'[1]IMMISSIONE DATI'!$AM$65</definedName>
    <definedName name="PROFlatAUTO3">'[1]IMMISSIONE DATI'!$AM$66</definedName>
    <definedName name="PROFlatAUTO4">'[1]IMMISSIONE DATI'!$AM$67</definedName>
    <definedName name="PROFlatAUTO5">'[1]IMMISSIONE DATI'!$AM$68</definedName>
    <definedName name="PROFlatAUTO6">'[1]IMMISSIONE DATI'!$AM$69</definedName>
    <definedName name="PROFlatAUTO7">'[1]IMMISSIONE DATI'!$AM$70</definedName>
    <definedName name="PROFlatAUTO8">'[1]IMMISSIONE DATI'!$AM$71</definedName>
    <definedName name="PROFlatAUTO9">'[1]IMMISSIONE DATI'!$AM$72</definedName>
    <definedName name="PROFlatRICH1">'[1]IMMISSIONE DATI'!$AK$64</definedName>
    <definedName name="PROFlatRICH10">'[1]IMMISSIONE DATI'!$AK$73</definedName>
    <definedName name="PROFlatRICH11">'[1]IMMISSIONE DATI'!$AK$74</definedName>
    <definedName name="PROFlatRICH12">'[1]IMMISSIONE DATI'!$AK$75</definedName>
    <definedName name="PROFlatRICH13">'[1]IMMISSIONE DATI'!$AK$76</definedName>
    <definedName name="PROFlatRICH14">'[1]IMMISSIONE DATI'!$AK$77</definedName>
    <definedName name="PROFlatRICH15">'[1]IMMISSIONE DATI'!$AK$78</definedName>
    <definedName name="PROFlatRICH16">'[1]IMMISSIONE DATI'!$AK$79</definedName>
    <definedName name="PROFlatRICH2">'[1]IMMISSIONE DATI'!$AK$65</definedName>
    <definedName name="PROFlatRICH3">'[1]IMMISSIONE DATI'!$AK$66</definedName>
    <definedName name="PROFlatRICH4">'[1]IMMISSIONE DATI'!$AK$67</definedName>
    <definedName name="PROFlatRICH5">'[1]IMMISSIONE DATI'!$AK$68</definedName>
    <definedName name="PROFlatRICH6">'[1]IMMISSIONE DATI'!$AK$69</definedName>
    <definedName name="PROFlatRICH7">'[1]IMMISSIONE DATI'!$AK$70</definedName>
    <definedName name="PROFlatRICH8">'[1]IMMISSIONE DATI'!$AK$71</definedName>
    <definedName name="PROFlatRICH9">'[1]IMMISSIONE DATI'!$AK$72</definedName>
    <definedName name="profORIZZ1">'[1]IMMISSIONE DATI'!$AU$64</definedName>
    <definedName name="profORIZZ10">'[1]IMMISSIONE DATI'!$AU$73</definedName>
    <definedName name="profORIZZ11">'[1]IMMISSIONE DATI'!$AU$74</definedName>
    <definedName name="profORIZZ12">'[1]IMMISSIONE DATI'!$AU$75</definedName>
    <definedName name="profORIZZ13">'[1]IMMISSIONE DATI'!$AU$76</definedName>
    <definedName name="profORIZZ14">'[1]IMMISSIONE DATI'!$AU$77</definedName>
    <definedName name="profORIZZ15">'[1]IMMISSIONE DATI'!$AU$78</definedName>
    <definedName name="profORIZZ16">'[1]IMMISSIONE DATI'!$AU$79</definedName>
    <definedName name="profORIZZ2">'[1]IMMISSIONE DATI'!$AU$65</definedName>
    <definedName name="profORIZZ3">'[1]IMMISSIONE DATI'!$AU$66</definedName>
    <definedName name="profORIZZ4">'[1]IMMISSIONE DATI'!$AU$67</definedName>
    <definedName name="profORIZZ5">'[1]IMMISSIONE DATI'!$AU$68</definedName>
    <definedName name="profORIZZ6">'[1]IMMISSIONE DATI'!$AU$69</definedName>
    <definedName name="profORIZZ7">'[1]IMMISSIONE DATI'!$AU$70</definedName>
    <definedName name="profORIZZ8">'[1]IMMISSIONE DATI'!$AU$71</definedName>
    <definedName name="profORIZZ9">'[1]IMMISSIONE DATI'!$AU$72</definedName>
    <definedName name="PROFoTUBdxRICH1">'[1]IMMISSIONE DATI'!$AH$64</definedName>
    <definedName name="PROFoTUBdxRICH10">'[1]IMMISSIONE DATI'!$AH$73</definedName>
    <definedName name="PROFoTUBdxRICH11">'[1]IMMISSIONE DATI'!$AH$74</definedName>
    <definedName name="PROFoTUBdxRICH12">'[1]IMMISSIONE DATI'!$AH$75</definedName>
    <definedName name="PROFoTUBdxRICH13">'[1]IMMISSIONE DATI'!$AH$76</definedName>
    <definedName name="PROFoTUBdxRICH14">'[1]IMMISSIONE DATI'!$AH$77</definedName>
    <definedName name="PROFoTUBdxRICH15">'[1]IMMISSIONE DATI'!$AH$78</definedName>
    <definedName name="PROFoTUBdxRICH16">'[1]IMMISSIONE DATI'!$AH$79</definedName>
    <definedName name="PROFoTUBdxRICH2">'[1]IMMISSIONE DATI'!$AH$65</definedName>
    <definedName name="PROFoTUBdxRICH3">'[1]IMMISSIONE DATI'!$AH$66</definedName>
    <definedName name="PROFoTUBdxRICH4">'[1]IMMISSIONE DATI'!$AH$67</definedName>
    <definedName name="PROFoTUBdxRICH5">'[1]IMMISSIONE DATI'!$AH$68</definedName>
    <definedName name="PROFoTUBdxRICH6">'[1]IMMISSIONE DATI'!$AH$69</definedName>
    <definedName name="PROFoTUBdxRICH7">'[1]IMMISSIONE DATI'!$AH$70</definedName>
    <definedName name="PROFoTUBdxRICH8">'[1]IMMISSIONE DATI'!$AH$71</definedName>
    <definedName name="PROFoTUBdxRICH9">'[1]IMMISSIONE DATI'!$AH$72</definedName>
    <definedName name="PROFoTUBsxRICH1">'[1]IMMISSIONE DATI'!$Y$64</definedName>
    <definedName name="PROFoTUBsxRICH10">'[1]IMMISSIONE DATI'!$Y$73</definedName>
    <definedName name="PROFoTUBsxRICH11">'[1]IMMISSIONE DATI'!$Y$74</definedName>
    <definedName name="PROFoTUBsxRICH12">'[1]IMMISSIONE DATI'!$Y$75</definedName>
    <definedName name="PROFoTUBsxRICH13">'[1]IMMISSIONE DATI'!$Y$76</definedName>
    <definedName name="PROFoTUBsxRICH14">'[1]IMMISSIONE DATI'!$Y$77</definedName>
    <definedName name="PROFoTUBsxRICH15">'[1]IMMISSIONE DATI'!$Y$78</definedName>
    <definedName name="PROFoTUBsxRICH16">'[1]IMMISSIONE DATI'!$Y$79</definedName>
    <definedName name="PROFoTUBsxRICH2">'[1]IMMISSIONE DATI'!$Y$65</definedName>
    <definedName name="PROFoTUBsxRICH3">'[1]IMMISSIONE DATI'!$Y$66</definedName>
    <definedName name="PROFoTUBsxRICH4">'[1]IMMISSIONE DATI'!$Y$67</definedName>
    <definedName name="PROFoTUBsxRICH5">'[1]IMMISSIONE DATI'!$Y$68</definedName>
    <definedName name="PROFoTUBsxRICH6">'[1]IMMISSIONE DATI'!$Y$69</definedName>
    <definedName name="PROFoTUBsxRICH7">'[1]IMMISSIONE DATI'!$Y$70</definedName>
    <definedName name="PROFoTUBsxRICH8">'[1]IMMISSIONE DATI'!$Y$71</definedName>
    <definedName name="PROFoTUBsxRICH9">'[1]IMMISSIONE DATI'!$Y$72</definedName>
    <definedName name="PZCLICK_RAPID1">'[1]prod CLICK_RAPID'!$D$9</definedName>
    <definedName name="PZCLICK_RAPID10">'[1]prod CLICK_RAPID'!$D$17</definedName>
    <definedName name="PZCLICK_RAPID11">'[1]prod CLICK_RAPID'!$D$18</definedName>
    <definedName name="PZCLICK_RAPID12">'[1]prod CLICK_RAPID'!$D$19</definedName>
    <definedName name="PZCLICK_RAPID13">'[1]prod CLICK_RAPID'!$D$20</definedName>
    <definedName name="PZCLICK_RAPID14">'[1]prod CLICK_RAPID'!$D$21</definedName>
    <definedName name="PZCLICK_RAPID15">'[1]prod CLICK_RAPID'!$D$22</definedName>
    <definedName name="PZCLICK_RAPID16">'[1]prod CLICK_RAPID'!$D$23</definedName>
    <definedName name="PZCLICK_RAPID2">'[1]prod CLICK_RAPID'!$D$10</definedName>
    <definedName name="PZCLICK_RAPID3">'[1]prod CLICK_RAPID'!$D$11</definedName>
    <definedName name="PZCLICK_RAPID4">'[1]prod CLICK_RAPID'!$D$12</definedName>
    <definedName name="PZCLICK_RAPID5">'[1]prod CLICK_RAPID'!$D$13</definedName>
    <definedName name="PZCLICK_RAPID6">'[1]prod CLICK_RAPID'!$D$14</definedName>
    <definedName name="PZCLICK_RAPID7">'[1]prod CLICK_RAPID'!#REF!</definedName>
    <definedName name="PZCLICK_RAPID8">'[1]prod CLICK_RAPID'!#REF!</definedName>
    <definedName name="PZCLICK_RAPID9">'[1]prod CLICK_RAPID'!$D$16</definedName>
    <definedName name="QUATTRO">[1]DATI!$D$10</definedName>
    <definedName name="QUINDICI">[2]DATI!$D$15</definedName>
    <definedName name="rif_alt1">'[1]IMMISSIONE DATI'!$BR$64</definedName>
    <definedName name="rif_alt10">'[1]IMMISSIONE DATI'!$BR$73</definedName>
    <definedName name="rif_alt11">'[1]IMMISSIONE DATI'!$BR$74</definedName>
    <definedName name="rif_alt12">'[1]IMMISSIONE DATI'!$BR$75</definedName>
    <definedName name="rif_alt13">'[1]IMMISSIONE DATI'!$BR$76</definedName>
    <definedName name="rif_alt14">'[1]IMMISSIONE DATI'!$BR$77</definedName>
    <definedName name="rif_alt15">'[1]IMMISSIONE DATI'!$BR$78</definedName>
    <definedName name="rif_alt16">'[1]IMMISSIONE DATI'!$BR$79</definedName>
    <definedName name="rif_alt2">'[1]IMMISSIONE DATI'!$BR$65</definedName>
    <definedName name="rif_alt3">'[1]IMMISSIONE DATI'!$BR$66</definedName>
    <definedName name="rif_alt4">'[1]IMMISSIONE DATI'!$BR$67</definedName>
    <definedName name="rif_alt5">'[1]IMMISSIONE DATI'!$BR$68</definedName>
    <definedName name="rif_alt6">'[1]IMMISSIONE DATI'!$BR$69</definedName>
    <definedName name="rif_alt7">'[1]IMMISSIONE DATI'!$BR$70</definedName>
    <definedName name="rif_alt8">'[1]IMMISSIONE DATI'!$BR$71</definedName>
    <definedName name="rif_alt9">'[1]IMMISSIONE DATI'!$BR$72</definedName>
    <definedName name="rif_larg1">'[1]IMMISSIONE DATI'!$BP$64</definedName>
    <definedName name="rif_larg10">'[1]IMMISSIONE DATI'!$BP$73</definedName>
    <definedName name="rif_larg11">'[1]IMMISSIONE DATI'!$BP$74</definedName>
    <definedName name="rif_larg12">'[1]IMMISSIONE DATI'!$BP$75</definedName>
    <definedName name="rif_larg13">'[1]IMMISSIONE DATI'!$BP$76</definedName>
    <definedName name="rif_larg14">'[1]IMMISSIONE DATI'!$BP$77</definedName>
    <definedName name="rif_larg15">'[1]IMMISSIONE DATI'!$BP$78</definedName>
    <definedName name="rif_larg16">'[1]IMMISSIONE DATI'!$BP$79</definedName>
    <definedName name="rif_larg2">'[1]IMMISSIONE DATI'!$BP$65</definedName>
    <definedName name="rif_larg3">'[1]IMMISSIONE DATI'!$BP$66</definedName>
    <definedName name="rif_larg4">'[1]IMMISSIONE DATI'!$BP$67</definedName>
    <definedName name="rif_larg5">'[1]IMMISSIONE DATI'!$BP$68</definedName>
    <definedName name="rif_larg6">'[1]IMMISSIONE DATI'!$BP$69</definedName>
    <definedName name="rif_larg7">'[1]IMMISSIONE DATI'!$BP$70</definedName>
    <definedName name="rif_larg8">'[1]IMMISSIONE DATI'!$BP$71</definedName>
    <definedName name="rif_larg9">'[1]IMMISSIONE DATI'!$BP$72</definedName>
    <definedName name="rivenditore">'[1]IMMISSIONE DATI'!$F$9</definedName>
    <definedName name="SESSANTA">[1]DATI!$D$24</definedName>
    <definedName name="SETTECENTO">[1]DATI!$D$31</definedName>
    <definedName name="spessoreCATENACCIOverticale60X15X300">[1]DATI!$D$48</definedName>
    <definedName name="stanza1">'[1]IMMISSIONE DATI'!$B$64</definedName>
    <definedName name="stanza10">'[1]IMMISSIONE DATI'!$B$73</definedName>
    <definedName name="stanza11">'[1]IMMISSIONE DATI'!$B$74</definedName>
    <definedName name="stanza12">'[1]IMMISSIONE DATI'!$B$75</definedName>
    <definedName name="stanza13">'[1]IMMISSIONE DATI'!$B$76</definedName>
    <definedName name="stanza14">'[1]IMMISSIONE DATI'!$B$77</definedName>
    <definedName name="stanza15">'[1]IMMISSIONE DATI'!$B$78</definedName>
    <definedName name="stanza16">'[1]IMMISSIONE DATI'!$B$79</definedName>
    <definedName name="stanza2">'[1]IMMISSIONE DATI'!$B$65</definedName>
    <definedName name="stanza3">'[1]IMMISSIONE DATI'!$B$66</definedName>
    <definedName name="stanza4">'[1]IMMISSIONE DATI'!$B$67</definedName>
    <definedName name="stanza5">'[1]IMMISSIONE DATI'!$B$68</definedName>
    <definedName name="stanza6">'[1]IMMISSIONE DATI'!$B$69</definedName>
    <definedName name="stanza7">'[1]IMMISSIONE DATI'!$B$70</definedName>
    <definedName name="stanza8">'[1]IMMISSIONE DATI'!$B$71</definedName>
    <definedName name="stanza9">'[1]IMMISSIONE DATI'!$B$72</definedName>
    <definedName name="SYSTEMantiFURTO1">'[1]IMMISSIONE DATI'!$BB$64</definedName>
    <definedName name="SYSTEMantiFURTO10">'[1]IMMISSIONE DATI'!$BB$73</definedName>
    <definedName name="SYSTEMantiFURTO11">'[1]IMMISSIONE DATI'!$BB$74</definedName>
    <definedName name="SYSTEMantiFURTO12">'[1]IMMISSIONE DATI'!$BB$75</definedName>
    <definedName name="SYSTEMantiFURTO13">'[1]IMMISSIONE DATI'!$BB$76</definedName>
    <definedName name="SYSTEMantiFURTO14">'[1]IMMISSIONE DATI'!$BB$77</definedName>
    <definedName name="SYSTEMantiFURTO15">'[1]IMMISSIONE DATI'!$BB$78</definedName>
    <definedName name="SYSTEMantiFURTO16">'[1]IMMISSIONE DATI'!$BB$79</definedName>
    <definedName name="SYSTEMantiFURTO2">'[1]IMMISSIONE DATI'!$BB$65</definedName>
    <definedName name="SYSTEMantiFURTO3">'[1]IMMISSIONE DATI'!$BB$66</definedName>
    <definedName name="SYSTEMantiFURTO4">'[1]IMMISSIONE DATI'!$BB$67</definedName>
    <definedName name="SYSTEMantiFURTO5">'[1]IMMISSIONE DATI'!$BB$68</definedName>
    <definedName name="SYSTEMantiFURTO6">'[1]IMMISSIONE DATI'!$BB$69</definedName>
    <definedName name="SYSTEMantiFURTO7">'[1]IMMISSIONE DATI'!$BB$70</definedName>
    <definedName name="SYSTEMantiFURTO8">'[1]IMMISSIONE DATI'!$BB$71</definedName>
    <definedName name="SYSTEMantiFURTO9">'[1]IMMISSIONE DATI'!$BB$72</definedName>
    <definedName name="tabALTstdMODERNA">[1]MODERNA!$V$76:$V$93</definedName>
    <definedName name="TABforoBASSOcernieraNELLantaCONdogaCLICKRAPIDnellANTACONsavIOMECHANICA">'[1]tab fori cerniere close e gate'!$L$7:$AO$7</definedName>
    <definedName name="TABlargMODERNA">[1]MODERNA!$Y$73:$AX$73</definedName>
    <definedName name="tabMODELLI">[1]DATI!$C$140:$CN$170</definedName>
    <definedName name="tabPESOparatiaSENZAimballo">[1]CLICK!$CI$145:$DJ$159</definedName>
    <definedName name="TABprofLATten">'[1]pulsanti E convalida dati'!$Q$6:$W$21</definedName>
    <definedName name="TABprofOtubLATERALI">'[1]pulsanti E convalida dati'!$Q$26:$W$65</definedName>
    <definedName name="TABsistemaANTIFURTO">[1]MATERIALI!$C$7:$O$11</definedName>
    <definedName name="TIPOcopertina1">'[1]IMMISSIONE DATI'!$AQ$64</definedName>
    <definedName name="TIPOcopertina10">'[1]IMMISSIONE DATI'!$AQ$73</definedName>
    <definedName name="TIPOcopertina11">'[1]IMMISSIONE DATI'!$AQ$74</definedName>
    <definedName name="TIPOcopertina12">'[1]IMMISSIONE DATI'!$AQ$75</definedName>
    <definedName name="TIPOcopertina13">'[1]IMMISSIONE DATI'!$AQ$76</definedName>
    <definedName name="TIPOcopertina14">'[1]IMMISSIONE DATI'!$AQ$77</definedName>
    <definedName name="TIPOcopertina15">'[1]IMMISSIONE DATI'!$AQ$78</definedName>
    <definedName name="TIPOcopertina16">'[1]IMMISSIONE DATI'!$AQ$79</definedName>
    <definedName name="TIPOcopertina2">'[1]IMMISSIONE DATI'!$AQ$65</definedName>
    <definedName name="TIPOcopertina3">'[1]IMMISSIONE DATI'!$AQ$66</definedName>
    <definedName name="TIPOcopertina4">'[1]IMMISSIONE DATI'!$AQ$67</definedName>
    <definedName name="TIPOcopertina5">'[1]IMMISSIONE DATI'!$AQ$68</definedName>
    <definedName name="TIPOcopertina6">'[1]IMMISSIONE DATI'!$AQ$69</definedName>
    <definedName name="TIPOcopertina7">'[1]IMMISSIONE DATI'!$AQ$70</definedName>
    <definedName name="TIPOcopertina8">'[1]IMMISSIONE DATI'!$AQ$71</definedName>
    <definedName name="TIPOcopertina9">'[1]IMMISSIONE DATI'!$AQ$72</definedName>
    <definedName name="tiposaldo">'[1]IMMISSIONE DATI'!$M$125</definedName>
    <definedName name="TRE">[1]DATI!$D$9</definedName>
    <definedName name="TREDICI">[1]DATI!$D$15</definedName>
    <definedName name="TUBOLARE_30_30_2">[1]MODERNA!$E$142</definedName>
    <definedName name="TUBoPROFCLICK_RAPIDDX1">'[1]prod CLICK_RAPID'!$BE$8</definedName>
    <definedName name="TUBoPROFCLICK_RAPIDSX1">'[1]prod CLICK_RAPID'!$AY$8</definedName>
    <definedName name="UNCINO">[1]MODERNA!$E$140</definedName>
    <definedName name="UNO">[1]DATI!$D$7</definedName>
    <definedName name="vernBarriera1">'[1]IMMISSIONE DATI'!$AZ$64</definedName>
    <definedName name="vernBarriera10">'[1]IMMISSIONE DATI'!$AZ$73</definedName>
    <definedName name="vernBarriera11">'[1]IMMISSIONE DATI'!$AZ$74</definedName>
    <definedName name="vernBarriera12">'[1]IMMISSIONE DATI'!$AZ$75</definedName>
    <definedName name="vernBarriera13">'[1]IMMISSIONE DATI'!$AZ$76</definedName>
    <definedName name="vernBarriera14">'[1]IMMISSIONE DATI'!$AZ$77</definedName>
    <definedName name="vernBarriera15">'[1]IMMISSIONE DATI'!$AZ$78</definedName>
    <definedName name="vernBarriera16">'[1]IMMISSIONE DATI'!$AZ$79</definedName>
    <definedName name="vernBarriera2">'[1]IMMISSIONE DATI'!$AZ$65</definedName>
    <definedName name="vernBarriera3">'[1]IMMISSIONE DATI'!$AZ$66</definedName>
    <definedName name="vernBarriera4">'[1]IMMISSIONE DATI'!$AZ$67</definedName>
    <definedName name="vernBarriera5">'[1]IMMISSIONE DATI'!$AZ$68</definedName>
    <definedName name="vernBarriera6">'[1]IMMISSIONE DATI'!$AZ$69</definedName>
    <definedName name="vernBarriera7">'[1]IMMISSIONE DATI'!$AZ$70</definedName>
    <definedName name="vernBarriera8">'[1]IMMISSIONE DATI'!$AZ$71</definedName>
    <definedName name="vernBarriera9">'[1]IMMISSIONE DATI'!$AZ$72</definedName>
    <definedName name="vernPROFlatTEN1">'[1]IMMISSIONE DATI'!$AY$64</definedName>
    <definedName name="vernPROFlatTEN10">'[1]IMMISSIONE DATI'!$AY$73</definedName>
    <definedName name="vernPROFlatTEN11">'[1]IMMISSIONE DATI'!$AY$74</definedName>
    <definedName name="vernPROFlatTEN12">'[1]IMMISSIONE DATI'!$AY$75</definedName>
    <definedName name="vernPROFlatTEN13">'[1]IMMISSIONE DATI'!$AY$76</definedName>
    <definedName name="vernPROFlatTEN14">'[1]IMMISSIONE DATI'!$AY$77</definedName>
    <definedName name="vernPROFlatTEN15">'[1]IMMISSIONE DATI'!$AY$78</definedName>
    <definedName name="vernPROFlatTEN16">'[1]IMMISSIONE DATI'!$AY$79</definedName>
    <definedName name="vernPROFlatTEN2">'[1]IMMISSIONE DATI'!$AY$65</definedName>
    <definedName name="vernPROFlatTEN3">'[1]IMMISSIONE DATI'!$AY$66</definedName>
    <definedName name="vernPROFlatTEN4">'[1]IMMISSIONE DATI'!$AY$67</definedName>
    <definedName name="vernPROFlatTEN5">'[1]IMMISSIONE DATI'!$AY$68</definedName>
    <definedName name="vernPROFlatTEN6">'[1]IMMISSIONE DATI'!$AY$69</definedName>
    <definedName name="vernPROFlatTEN7">'[1]IMMISSIONE DATI'!$AY$70</definedName>
    <definedName name="vernPROFlatTEN8">'[1]IMMISSIONE DATI'!$AY$71</definedName>
    <definedName name="vernPROFlatTEN9">'[1]IMMISSIONE DATI'!$AY$72</definedName>
    <definedName name="vernPROFoTUBlatDX1">'[1]IMMISSIONE DATI'!$AX$64</definedName>
    <definedName name="vernPROFoTUBlatDX10">'[1]IMMISSIONE DATI'!$AX$73</definedName>
    <definedName name="vernPROFoTUBlatDX11">'[1]IMMISSIONE DATI'!$AX$74</definedName>
    <definedName name="vernPROFoTUBlatDX12">'[1]IMMISSIONE DATI'!$AX$75</definedName>
    <definedName name="vernPROFoTUBlatDX13">'[1]IMMISSIONE DATI'!$AX$76</definedName>
    <definedName name="vernPROFoTUBlatDX14">'[1]IMMISSIONE DATI'!$AX$77</definedName>
    <definedName name="vernPROFoTUBlatDX15">'[1]IMMISSIONE DATI'!$AX$78</definedName>
    <definedName name="vernPROFoTUBlatDX16">'[1]IMMISSIONE DATI'!$AX$79</definedName>
    <definedName name="vernPROFoTUBlatDX2">'[1]IMMISSIONE DATI'!$AX$65</definedName>
    <definedName name="vernPROFoTUBlatDX3">'[1]IMMISSIONE DATI'!$AX$66</definedName>
    <definedName name="vernPROFoTUBlatDX4">'[1]IMMISSIONE DATI'!$AX$67</definedName>
    <definedName name="vernPROFoTUBlatDX5">'[1]IMMISSIONE DATI'!$AX$68</definedName>
    <definedName name="vernPROFoTUBlatDX6">'[1]IMMISSIONE DATI'!$AX$69</definedName>
    <definedName name="vernPROFoTUBlatDX7">'[1]IMMISSIONE DATI'!$AX$70</definedName>
    <definedName name="vernPROFoTUBlatDX8">'[1]IMMISSIONE DATI'!$AX$71</definedName>
    <definedName name="vernPROFoTUBlatDX9">'[1]IMMISSIONE DATI'!$AX$72</definedName>
    <definedName name="vernPROFoTUBlatSX1">'[1]IMMISSIONE DATI'!$AW$64</definedName>
    <definedName name="vernPROFoTUBlatSX10">'[1]IMMISSIONE DATI'!$AW$73</definedName>
    <definedName name="vernPROFoTUBlatSX11">'[1]IMMISSIONE DATI'!$AW$74</definedName>
    <definedName name="vernPROFoTUBlatSX12">'[1]IMMISSIONE DATI'!$AW$75</definedName>
    <definedName name="vernPROFoTUBlatSX13">'[1]IMMISSIONE DATI'!$AW$76</definedName>
    <definedName name="vernPROFoTUBlatSX14">'[1]IMMISSIONE DATI'!$AW$77</definedName>
    <definedName name="vernPROFoTUBlatSX15">'[1]IMMISSIONE DATI'!$AW$78</definedName>
    <definedName name="vernPROFoTUBlatSX16">'[1]IMMISSIONE DATI'!$AW$79</definedName>
    <definedName name="vernPROFoTUBlatSX2">'[1]IMMISSIONE DATI'!$AW$65</definedName>
    <definedName name="vernPROFoTUBlatSX3">'[1]IMMISSIONE DATI'!$AW$66</definedName>
    <definedName name="vernPROFoTUBlatSX4">'[1]IMMISSIONE DATI'!$AW$67</definedName>
    <definedName name="vernPROFoTUBlatSX5">'[1]IMMISSIONE DATI'!$AW$68</definedName>
    <definedName name="vernPROFoTUBlatSX6">'[1]IMMISSIONE DATI'!$AW$69</definedName>
    <definedName name="vernPROFoTUBlatSX7">'[1]IMMISSIONE DATI'!$AW$70</definedName>
    <definedName name="vernPROFoTUBlatSX8">'[1]IMMISSIONE DATI'!$AW$71</definedName>
    <definedName name="vernPROFoTUBlatSX9">'[1]IMMISSIONE DATI'!$AW$72</definedName>
    <definedName name="x_cod_barre_or_prodottons">'[1]prod CLICK_RAPID'!$W$4</definedName>
    <definedName name="ZERO">[1]DATI!$D$3</definedName>
    <definedName name="zerovirgolatre">[1]DATI!$D$5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C105" i="1" l="1"/>
  <c r="CB105" i="1"/>
  <c r="CA105" i="1"/>
  <c r="FW104" i="1"/>
  <c r="EX104" i="1"/>
  <c r="CG104" i="1"/>
  <c r="CC104" i="1"/>
  <c r="CB104" i="1"/>
  <c r="CA104" i="1"/>
  <c r="FW103" i="1"/>
  <c r="EX103" i="1"/>
  <c r="CG103" i="1"/>
  <c r="CC103" i="1"/>
  <c r="CB103" i="1"/>
  <c r="CA103" i="1"/>
  <c r="FW102" i="1"/>
  <c r="EX102" i="1"/>
  <c r="CG102" i="1"/>
  <c r="CC102" i="1"/>
  <c r="CB102" i="1"/>
  <c r="CA102" i="1"/>
  <c r="FW101" i="1"/>
  <c r="EX101" i="1"/>
  <c r="CG101" i="1"/>
  <c r="CC101" i="1"/>
  <c r="CB101" i="1"/>
  <c r="CA101" i="1"/>
  <c r="FW100" i="1"/>
  <c r="EX100" i="1"/>
  <c r="CG100" i="1"/>
  <c r="CC100" i="1"/>
  <c r="CB100" i="1"/>
  <c r="CA100" i="1"/>
  <c r="FW99" i="1"/>
  <c r="EX99" i="1"/>
  <c r="CG99" i="1"/>
  <c r="CC99" i="1"/>
  <c r="CB99" i="1"/>
  <c r="CA99" i="1"/>
  <c r="FW98" i="1"/>
  <c r="EX98" i="1"/>
  <c r="CG98" i="1"/>
  <c r="CC98" i="1"/>
  <c r="CB98" i="1"/>
  <c r="CA98" i="1"/>
  <c r="FW97" i="1"/>
  <c r="EX97" i="1"/>
  <c r="CG97" i="1"/>
  <c r="CC97" i="1"/>
  <c r="CB97" i="1"/>
  <c r="CA97" i="1"/>
  <c r="GI96" i="1"/>
  <c r="FX96" i="1"/>
  <c r="FY96" i="1" s="1"/>
  <c r="FW96" i="1"/>
  <c r="FB96" i="1"/>
  <c r="EZ96" i="1"/>
  <c r="ES96" i="1" s="1"/>
  <c r="EX96" i="1"/>
  <c r="ER96" i="1"/>
  <c r="CJ96" i="1"/>
  <c r="CI96" i="1"/>
  <c r="CG96" i="1"/>
  <c r="CD96" i="1"/>
  <c r="CC96" i="1"/>
  <c r="CB96" i="1"/>
  <c r="CA96" i="1"/>
  <c r="GI95" i="1"/>
  <c r="FX95" i="1"/>
  <c r="FY95" i="1" s="1"/>
  <c r="FW95" i="1"/>
  <c r="FB95" i="1"/>
  <c r="EZ95" i="1"/>
  <c r="ES95" i="1" s="1"/>
  <c r="EX95" i="1"/>
  <c r="ER95" i="1"/>
  <c r="CJ95" i="1"/>
  <c r="CI95" i="1"/>
  <c r="CG95" i="1"/>
  <c r="CD95" i="1"/>
  <c r="CC95" i="1"/>
  <c r="CB95" i="1"/>
  <c r="CA95" i="1"/>
  <c r="FW94" i="1"/>
  <c r="EX94" i="1"/>
  <c r="CG94" i="1"/>
  <c r="CC94" i="1"/>
  <c r="CB94" i="1"/>
  <c r="CA94" i="1"/>
  <c r="FW93" i="1"/>
  <c r="EX93" i="1"/>
  <c r="CG93" i="1"/>
  <c r="CC93" i="1"/>
  <c r="CB93" i="1"/>
  <c r="CA93" i="1"/>
  <c r="FW92" i="1"/>
  <c r="EX92" i="1"/>
  <c r="CG92" i="1"/>
  <c r="CC92" i="1"/>
  <c r="CB92" i="1"/>
  <c r="CA92" i="1"/>
  <c r="FW91" i="1"/>
  <c r="EX91" i="1"/>
  <c r="CG91" i="1"/>
  <c r="CC91" i="1"/>
  <c r="CB91" i="1"/>
  <c r="CA91" i="1"/>
  <c r="FW90" i="1"/>
  <c r="EX90" i="1"/>
  <c r="CG90" i="1"/>
  <c r="CC90" i="1"/>
  <c r="CB90" i="1"/>
  <c r="CA90" i="1"/>
  <c r="EX89" i="1"/>
  <c r="CG89" i="1"/>
  <c r="EV86" i="1"/>
  <c r="AK71" i="1"/>
  <c r="AS69" i="1"/>
  <c r="JV68" i="1"/>
  <c r="JU68" i="1"/>
  <c r="JT68" i="1"/>
  <c r="LB67" i="1"/>
  <c r="KQ67" i="1"/>
  <c r="KP67" i="1"/>
  <c r="KO67" i="1"/>
  <c r="KM67" i="1"/>
  <c r="KL67" i="1"/>
  <c r="KK67" i="1"/>
  <c r="KI67" i="1"/>
  <c r="KH67" i="1"/>
  <c r="KG67" i="1"/>
  <c r="KE67" i="1"/>
  <c r="KD67" i="1"/>
  <c r="KC67" i="1"/>
  <c r="KB67" i="1"/>
  <c r="JZ67" i="1"/>
  <c r="JY67" i="1"/>
  <c r="IN67" i="1"/>
  <c r="IM67" i="1"/>
  <c r="IK67" i="1"/>
  <c r="IJ67" i="1"/>
  <c r="HM67" i="1"/>
  <c r="GK67" i="1"/>
  <c r="GJ67" i="1"/>
  <c r="EZ67" i="1"/>
  <c r="EX67" i="1"/>
  <c r="EW67" i="1"/>
  <c r="EU67" i="1"/>
  <c r="EP67" i="1"/>
  <c r="EO67" i="1"/>
  <c r="EN67" i="1"/>
  <c r="CR67" i="1"/>
  <c r="CQ67" i="1"/>
  <c r="CL67" i="1"/>
  <c r="CJ67" i="1"/>
  <c r="CI67" i="1"/>
  <c r="CE67" i="1"/>
  <c r="CD67" i="1"/>
  <c r="CB67" i="1"/>
  <c r="CA67" i="1"/>
  <c r="BT67" i="1"/>
  <c r="BS67" i="1"/>
  <c r="BR67" i="1"/>
  <c r="BQ67" i="1"/>
  <c r="BN67" i="1"/>
  <c r="BL67" i="1"/>
  <c r="BK67" i="1"/>
  <c r="BJ67" i="1"/>
  <c r="BH67" i="1"/>
  <c r="BF67" i="1"/>
  <c r="BE67" i="1"/>
  <c r="BC67" i="1"/>
  <c r="BA67" i="1"/>
  <c r="AY67" i="1"/>
  <c r="AW67" i="1"/>
  <c r="AU67" i="1"/>
  <c r="AS67" i="1"/>
  <c r="AR67" i="1"/>
  <c r="AQ67" i="1"/>
  <c r="AK67" i="1"/>
  <c r="AJ67" i="1"/>
  <c r="AI67" i="1"/>
  <c r="AF67" i="1"/>
  <c r="AE67" i="1"/>
  <c r="AC67" i="1"/>
  <c r="AB67" i="1"/>
  <c r="Z67" i="1"/>
  <c r="Y67" i="1"/>
  <c r="W67" i="1"/>
  <c r="V67" i="1"/>
  <c r="T67" i="1"/>
  <c r="R67" i="1"/>
  <c r="P67" i="1"/>
  <c r="O67" i="1"/>
  <c r="N67" i="1"/>
  <c r="M67" i="1"/>
  <c r="J67" i="1"/>
  <c r="I67" i="1"/>
  <c r="F67" i="1"/>
  <c r="E67" i="1"/>
  <c r="D67" i="1"/>
  <c r="C67" i="1"/>
  <c r="B67" i="1"/>
  <c r="LB66" i="1"/>
  <c r="KQ66" i="1"/>
  <c r="KP66" i="1"/>
  <c r="KO66" i="1"/>
  <c r="KM66" i="1"/>
  <c r="KL66" i="1"/>
  <c r="KK66" i="1"/>
  <c r="KI66" i="1"/>
  <c r="KH66" i="1"/>
  <c r="KG66" i="1"/>
  <c r="KE66" i="1"/>
  <c r="KD66" i="1"/>
  <c r="KC66" i="1"/>
  <c r="KB66" i="1"/>
  <c r="JZ66" i="1"/>
  <c r="JY66" i="1"/>
  <c r="IN66" i="1"/>
  <c r="IM66" i="1"/>
  <c r="IK66" i="1"/>
  <c r="IJ66" i="1"/>
  <c r="HM66" i="1"/>
  <c r="GK66" i="1"/>
  <c r="GJ66" i="1"/>
  <c r="EZ66" i="1"/>
  <c r="EX66" i="1"/>
  <c r="EW66" i="1"/>
  <c r="EU66" i="1"/>
  <c r="EP66" i="1"/>
  <c r="EO66" i="1"/>
  <c r="EN66" i="1"/>
  <c r="CR66" i="1"/>
  <c r="CQ66" i="1"/>
  <c r="CL66" i="1"/>
  <c r="CJ66" i="1"/>
  <c r="CI66" i="1"/>
  <c r="CE66" i="1"/>
  <c r="CD66" i="1"/>
  <c r="CB66" i="1"/>
  <c r="CA66" i="1"/>
  <c r="BT66" i="1"/>
  <c r="BS66" i="1"/>
  <c r="BR66" i="1"/>
  <c r="BQ66" i="1"/>
  <c r="BN66" i="1"/>
  <c r="BL66" i="1"/>
  <c r="BK66" i="1"/>
  <c r="BJ66" i="1"/>
  <c r="BH66" i="1"/>
  <c r="BF66" i="1"/>
  <c r="BE66" i="1"/>
  <c r="BC66" i="1"/>
  <c r="BA66" i="1"/>
  <c r="AZ66" i="1"/>
  <c r="AY66" i="1"/>
  <c r="AW66" i="1"/>
  <c r="AU66" i="1"/>
  <c r="AS66" i="1"/>
  <c r="AR66" i="1"/>
  <c r="AQ66" i="1"/>
  <c r="AK66" i="1"/>
  <c r="AJ66" i="1"/>
  <c r="AI66" i="1"/>
  <c r="AF66" i="1"/>
  <c r="AE66" i="1"/>
  <c r="AC66" i="1"/>
  <c r="AB66" i="1"/>
  <c r="Z66" i="1"/>
  <c r="Y66" i="1"/>
  <c r="W66" i="1"/>
  <c r="V66" i="1"/>
  <c r="T66" i="1"/>
  <c r="R66" i="1"/>
  <c r="P66" i="1"/>
  <c r="O66" i="1"/>
  <c r="N66" i="1"/>
  <c r="M66" i="1"/>
  <c r="J66" i="1"/>
  <c r="I66" i="1"/>
  <c r="F66" i="1"/>
  <c r="E66" i="1"/>
  <c r="EZ104" i="1" s="1"/>
  <c r="D66" i="1"/>
  <c r="GI104" i="1" s="1"/>
  <c r="C66" i="1"/>
  <c r="B66" i="1"/>
  <c r="LB65" i="1"/>
  <c r="KQ65" i="1"/>
  <c r="KP65" i="1"/>
  <c r="KO65" i="1"/>
  <c r="KM65" i="1"/>
  <c r="KL65" i="1"/>
  <c r="KK65" i="1"/>
  <c r="KI65" i="1"/>
  <c r="KH65" i="1"/>
  <c r="KG65" i="1"/>
  <c r="KE65" i="1"/>
  <c r="KD65" i="1"/>
  <c r="KC65" i="1"/>
  <c r="KB65" i="1"/>
  <c r="JZ65" i="1"/>
  <c r="JY65" i="1"/>
  <c r="IN65" i="1"/>
  <c r="IM65" i="1"/>
  <c r="IK65" i="1"/>
  <c r="IJ65" i="1"/>
  <c r="HM65" i="1"/>
  <c r="GK65" i="1"/>
  <c r="GJ65" i="1"/>
  <c r="EZ65" i="1"/>
  <c r="EX65" i="1"/>
  <c r="EW65" i="1"/>
  <c r="EU65" i="1"/>
  <c r="EP65" i="1"/>
  <c r="EO65" i="1"/>
  <c r="EN65" i="1"/>
  <c r="CR65" i="1"/>
  <c r="CQ65" i="1"/>
  <c r="CL65" i="1"/>
  <c r="CJ65" i="1"/>
  <c r="CI65" i="1"/>
  <c r="CE65" i="1"/>
  <c r="CD65" i="1"/>
  <c r="CB65" i="1"/>
  <c r="CA65" i="1"/>
  <c r="BT65" i="1"/>
  <c r="BS65" i="1"/>
  <c r="BR65" i="1"/>
  <c r="BQ65" i="1"/>
  <c r="BN65" i="1"/>
  <c r="BL65" i="1"/>
  <c r="BK65" i="1"/>
  <c r="BJ65" i="1"/>
  <c r="BH65" i="1"/>
  <c r="BF65" i="1"/>
  <c r="BE65" i="1"/>
  <c r="BC65" i="1"/>
  <c r="BA65" i="1"/>
  <c r="AZ65" i="1"/>
  <c r="AY65" i="1"/>
  <c r="AW65" i="1"/>
  <c r="AU65" i="1"/>
  <c r="AS65" i="1"/>
  <c r="AR65" i="1"/>
  <c r="AQ65" i="1"/>
  <c r="AK65" i="1"/>
  <c r="AJ65" i="1"/>
  <c r="AI65" i="1"/>
  <c r="AF65" i="1"/>
  <c r="AE65" i="1"/>
  <c r="AC65" i="1"/>
  <c r="AB65" i="1"/>
  <c r="Z65" i="1"/>
  <c r="Y65" i="1"/>
  <c r="W65" i="1"/>
  <c r="V65" i="1"/>
  <c r="T65" i="1"/>
  <c r="R65" i="1"/>
  <c r="P65" i="1"/>
  <c r="O65" i="1"/>
  <c r="N65" i="1"/>
  <c r="M65" i="1"/>
  <c r="J65" i="1"/>
  <c r="I65" i="1"/>
  <c r="F65" i="1"/>
  <c r="E65" i="1"/>
  <c r="EZ103" i="1" s="1"/>
  <c r="D65" i="1"/>
  <c r="GI103" i="1" s="1"/>
  <c r="C65" i="1"/>
  <c r="B65" i="1"/>
  <c r="LB64" i="1"/>
  <c r="KQ64" i="1"/>
  <c r="KP64" i="1"/>
  <c r="KO64" i="1"/>
  <c r="KM64" i="1"/>
  <c r="KL64" i="1"/>
  <c r="KK64" i="1"/>
  <c r="KI64" i="1"/>
  <c r="KH64" i="1"/>
  <c r="KG64" i="1"/>
  <c r="KE64" i="1"/>
  <c r="KD64" i="1"/>
  <c r="KC64" i="1"/>
  <c r="KB64" i="1"/>
  <c r="JZ64" i="1"/>
  <c r="JY64" i="1"/>
  <c r="IN64" i="1"/>
  <c r="IM64" i="1"/>
  <c r="IK64" i="1"/>
  <c r="IJ64" i="1"/>
  <c r="HM64" i="1"/>
  <c r="GK64" i="1"/>
  <c r="GJ64" i="1"/>
  <c r="EZ64" i="1"/>
  <c r="EX64" i="1"/>
  <c r="EW64" i="1"/>
  <c r="EU64" i="1"/>
  <c r="EP64" i="1"/>
  <c r="EO64" i="1"/>
  <c r="EN64" i="1"/>
  <c r="CR64" i="1"/>
  <c r="CQ64" i="1"/>
  <c r="CL64" i="1"/>
  <c r="CJ64" i="1"/>
  <c r="CI64" i="1"/>
  <c r="CE64" i="1"/>
  <c r="CD64" i="1"/>
  <c r="CB64" i="1"/>
  <c r="CA64" i="1"/>
  <c r="BT64" i="1"/>
  <c r="BS64" i="1"/>
  <c r="BR64" i="1"/>
  <c r="BQ64" i="1"/>
  <c r="BN64" i="1"/>
  <c r="BL64" i="1"/>
  <c r="BK64" i="1"/>
  <c r="BJ64" i="1"/>
  <c r="BH64" i="1"/>
  <c r="BF64" i="1"/>
  <c r="BE64" i="1"/>
  <c r="BC64" i="1"/>
  <c r="BA64" i="1"/>
  <c r="AZ64" i="1"/>
  <c r="AY64" i="1"/>
  <c r="AW64" i="1"/>
  <c r="AU64" i="1"/>
  <c r="AS64" i="1"/>
  <c r="AR64" i="1"/>
  <c r="AQ64" i="1"/>
  <c r="AK64" i="1"/>
  <c r="AJ64" i="1"/>
  <c r="AI64" i="1"/>
  <c r="AF64" i="1"/>
  <c r="AE64" i="1"/>
  <c r="AC64" i="1"/>
  <c r="AB64" i="1"/>
  <c r="Z64" i="1"/>
  <c r="Y64" i="1"/>
  <c r="W64" i="1"/>
  <c r="V64" i="1"/>
  <c r="T64" i="1"/>
  <c r="R64" i="1"/>
  <c r="P64" i="1"/>
  <c r="O64" i="1"/>
  <c r="N64" i="1"/>
  <c r="M64" i="1"/>
  <c r="J64" i="1"/>
  <c r="I64" i="1"/>
  <c r="F64" i="1"/>
  <c r="E64" i="1"/>
  <c r="EZ102" i="1" s="1"/>
  <c r="D64" i="1"/>
  <c r="GI102" i="1" s="1"/>
  <c r="C64" i="1"/>
  <c r="B64" i="1"/>
  <c r="LB63" i="1"/>
  <c r="KQ63" i="1"/>
  <c r="KP63" i="1"/>
  <c r="KO63" i="1"/>
  <c r="KM63" i="1"/>
  <c r="KL63" i="1"/>
  <c r="KK63" i="1"/>
  <c r="KI63" i="1"/>
  <c r="KH63" i="1"/>
  <c r="KG63" i="1"/>
  <c r="KE63" i="1"/>
  <c r="KD63" i="1"/>
  <c r="KC63" i="1"/>
  <c r="KB63" i="1"/>
  <c r="JZ63" i="1"/>
  <c r="JY63" i="1"/>
  <c r="IN63" i="1"/>
  <c r="IM63" i="1"/>
  <c r="IK63" i="1"/>
  <c r="IJ63" i="1"/>
  <c r="HM63" i="1"/>
  <c r="GK63" i="1"/>
  <c r="GJ63" i="1"/>
  <c r="EZ63" i="1"/>
  <c r="EX63" i="1"/>
  <c r="EW63" i="1"/>
  <c r="EU63" i="1"/>
  <c r="EP63" i="1"/>
  <c r="EO63" i="1"/>
  <c r="EN63" i="1"/>
  <c r="CR63" i="1"/>
  <c r="CQ63" i="1"/>
  <c r="CL63" i="1"/>
  <c r="CJ63" i="1"/>
  <c r="CI63" i="1"/>
  <c r="CE63" i="1"/>
  <c r="CD63" i="1"/>
  <c r="CB63" i="1"/>
  <c r="CA63" i="1"/>
  <c r="BT63" i="1"/>
  <c r="BS63" i="1"/>
  <c r="BR63" i="1"/>
  <c r="BQ63" i="1"/>
  <c r="BN63" i="1"/>
  <c r="BL63" i="1"/>
  <c r="BK63" i="1"/>
  <c r="BJ63" i="1"/>
  <c r="BH63" i="1"/>
  <c r="BF63" i="1"/>
  <c r="BE63" i="1"/>
  <c r="BC63" i="1"/>
  <c r="BA63" i="1"/>
  <c r="AZ63" i="1"/>
  <c r="AY63" i="1"/>
  <c r="AW63" i="1"/>
  <c r="AU63" i="1"/>
  <c r="AS63" i="1"/>
  <c r="AR63" i="1"/>
  <c r="AQ63" i="1"/>
  <c r="AK63" i="1"/>
  <c r="AJ63" i="1"/>
  <c r="AI63" i="1"/>
  <c r="AF63" i="1"/>
  <c r="AE63" i="1"/>
  <c r="AC63" i="1"/>
  <c r="AB63" i="1"/>
  <c r="Z63" i="1"/>
  <c r="Y63" i="1"/>
  <c r="W63" i="1"/>
  <c r="V63" i="1"/>
  <c r="T63" i="1"/>
  <c r="R63" i="1"/>
  <c r="P63" i="1"/>
  <c r="O63" i="1"/>
  <c r="N63" i="1"/>
  <c r="M63" i="1"/>
  <c r="J63" i="1"/>
  <c r="I63" i="1"/>
  <c r="F63" i="1"/>
  <c r="E63" i="1"/>
  <c r="EZ101" i="1" s="1"/>
  <c r="D63" i="1"/>
  <c r="GI101" i="1" s="1"/>
  <c r="C63" i="1"/>
  <c r="B63" i="1"/>
  <c r="LB62" i="1"/>
  <c r="KQ62" i="1"/>
  <c r="KP62" i="1"/>
  <c r="KO62" i="1"/>
  <c r="KM62" i="1"/>
  <c r="KL62" i="1"/>
  <c r="KK62" i="1"/>
  <c r="KI62" i="1"/>
  <c r="KH62" i="1"/>
  <c r="KG62" i="1"/>
  <c r="KE62" i="1"/>
  <c r="KD62" i="1"/>
  <c r="KC62" i="1"/>
  <c r="KB62" i="1"/>
  <c r="JZ62" i="1"/>
  <c r="JY62" i="1"/>
  <c r="IN62" i="1"/>
  <c r="IM62" i="1"/>
  <c r="IK62" i="1"/>
  <c r="IJ62" i="1"/>
  <c r="HM62" i="1"/>
  <c r="GK62" i="1"/>
  <c r="GJ62" i="1"/>
  <c r="EZ62" i="1"/>
  <c r="EX62" i="1"/>
  <c r="EW62" i="1"/>
  <c r="EU62" i="1"/>
  <c r="EP62" i="1"/>
  <c r="EO62" i="1"/>
  <c r="EN62" i="1"/>
  <c r="CR62" i="1"/>
  <c r="CQ62" i="1"/>
  <c r="CL62" i="1"/>
  <c r="CJ62" i="1"/>
  <c r="CI62" i="1"/>
  <c r="CE62" i="1"/>
  <c r="CD62" i="1"/>
  <c r="CB62" i="1"/>
  <c r="CA62" i="1"/>
  <c r="BT62" i="1"/>
  <c r="BS62" i="1"/>
  <c r="BR62" i="1"/>
  <c r="BQ62" i="1"/>
  <c r="BN62" i="1"/>
  <c r="BL62" i="1"/>
  <c r="BK62" i="1"/>
  <c r="BJ62" i="1"/>
  <c r="BH62" i="1"/>
  <c r="BF62" i="1"/>
  <c r="BE62" i="1"/>
  <c r="BC62" i="1"/>
  <c r="BA62" i="1"/>
  <c r="AZ62" i="1"/>
  <c r="AY62" i="1"/>
  <c r="AW62" i="1"/>
  <c r="AU62" i="1"/>
  <c r="AS62" i="1"/>
  <c r="AR62" i="1"/>
  <c r="AQ62" i="1"/>
  <c r="AK62" i="1"/>
  <c r="AJ62" i="1"/>
  <c r="AI62" i="1"/>
  <c r="AF62" i="1"/>
  <c r="AE62" i="1"/>
  <c r="AC62" i="1"/>
  <c r="AB62" i="1"/>
  <c r="Z62" i="1"/>
  <c r="Y62" i="1"/>
  <c r="W62" i="1"/>
  <c r="V62" i="1"/>
  <c r="T62" i="1"/>
  <c r="R62" i="1"/>
  <c r="P62" i="1"/>
  <c r="O62" i="1"/>
  <c r="N62" i="1"/>
  <c r="M62" i="1"/>
  <c r="J62" i="1"/>
  <c r="I62" i="1"/>
  <c r="F62" i="1"/>
  <c r="E62" i="1"/>
  <c r="EZ100" i="1" s="1"/>
  <c r="D62" i="1"/>
  <c r="GI100" i="1" s="1"/>
  <c r="C62" i="1"/>
  <c r="B62" i="1"/>
  <c r="LB61" i="1"/>
  <c r="KQ61" i="1"/>
  <c r="KP61" i="1"/>
  <c r="KO61" i="1"/>
  <c r="KM61" i="1"/>
  <c r="KL61" i="1"/>
  <c r="KK61" i="1"/>
  <c r="KI61" i="1"/>
  <c r="KH61" i="1"/>
  <c r="KG61" i="1"/>
  <c r="KE61" i="1"/>
  <c r="KD61" i="1"/>
  <c r="KC61" i="1"/>
  <c r="KB61" i="1"/>
  <c r="JZ61" i="1"/>
  <c r="JY61" i="1"/>
  <c r="IN61" i="1"/>
  <c r="IM61" i="1"/>
  <c r="IK61" i="1"/>
  <c r="IJ61" i="1"/>
  <c r="HM61" i="1"/>
  <c r="GK61" i="1"/>
  <c r="GJ61" i="1"/>
  <c r="EZ61" i="1"/>
  <c r="EX61" i="1"/>
  <c r="EW61" i="1"/>
  <c r="EU61" i="1"/>
  <c r="EP61" i="1"/>
  <c r="EO61" i="1"/>
  <c r="EN61" i="1"/>
  <c r="CR61" i="1"/>
  <c r="CQ61" i="1"/>
  <c r="CL61" i="1"/>
  <c r="CJ61" i="1"/>
  <c r="CI61" i="1"/>
  <c r="CE61" i="1"/>
  <c r="CD61" i="1"/>
  <c r="CB61" i="1"/>
  <c r="CA61" i="1"/>
  <c r="BT61" i="1"/>
  <c r="BS61" i="1"/>
  <c r="BR61" i="1"/>
  <c r="BQ61" i="1"/>
  <c r="BN61" i="1"/>
  <c r="BL61" i="1"/>
  <c r="BK61" i="1"/>
  <c r="BJ61" i="1"/>
  <c r="BH61" i="1"/>
  <c r="BF61" i="1"/>
  <c r="BE61" i="1"/>
  <c r="BC61" i="1"/>
  <c r="BA61" i="1"/>
  <c r="AZ61" i="1"/>
  <c r="AY61" i="1"/>
  <c r="AW61" i="1"/>
  <c r="AU61" i="1"/>
  <c r="AS61" i="1"/>
  <c r="AR61" i="1"/>
  <c r="AQ61" i="1"/>
  <c r="AK61" i="1"/>
  <c r="AJ61" i="1"/>
  <c r="AI61" i="1"/>
  <c r="AF61" i="1"/>
  <c r="AE61" i="1"/>
  <c r="AC61" i="1"/>
  <c r="AB61" i="1"/>
  <c r="Z61" i="1"/>
  <c r="Y61" i="1"/>
  <c r="W61" i="1"/>
  <c r="V61" i="1"/>
  <c r="T61" i="1"/>
  <c r="R61" i="1"/>
  <c r="P61" i="1"/>
  <c r="O61" i="1"/>
  <c r="N61" i="1"/>
  <c r="M61" i="1"/>
  <c r="J61" i="1"/>
  <c r="I61" i="1"/>
  <c r="F61" i="1"/>
  <c r="E61" i="1"/>
  <c r="EZ99" i="1" s="1"/>
  <c r="D61" i="1"/>
  <c r="GI99" i="1" s="1"/>
  <c r="C61" i="1"/>
  <c r="B61" i="1"/>
  <c r="LD60" i="1"/>
  <c r="LB60" i="1"/>
  <c r="LA60" i="1"/>
  <c r="KZ60" i="1"/>
  <c r="KQ60" i="1"/>
  <c r="KP60" i="1"/>
  <c r="KO60" i="1"/>
  <c r="KM60" i="1"/>
  <c r="KL60" i="1"/>
  <c r="KK60" i="1"/>
  <c r="KI60" i="1"/>
  <c r="KH60" i="1"/>
  <c r="KG60" i="1"/>
  <c r="KE60" i="1"/>
  <c r="KD60" i="1"/>
  <c r="KC60" i="1"/>
  <c r="KB60" i="1"/>
  <c r="JZ60" i="1"/>
  <c r="JY60" i="1"/>
  <c r="IN60" i="1"/>
  <c r="IM60" i="1"/>
  <c r="IK60" i="1"/>
  <c r="IJ60" i="1"/>
  <c r="HM60" i="1"/>
  <c r="GK60" i="1"/>
  <c r="GJ60" i="1"/>
  <c r="EZ60" i="1"/>
  <c r="EX60" i="1"/>
  <c r="EW60" i="1"/>
  <c r="EU60" i="1"/>
  <c r="EP60" i="1"/>
  <c r="EO60" i="1"/>
  <c r="EN60" i="1"/>
  <c r="CR60" i="1"/>
  <c r="CQ60" i="1"/>
  <c r="CL60" i="1"/>
  <c r="CJ60" i="1"/>
  <c r="CI60" i="1"/>
  <c r="CE60" i="1"/>
  <c r="CD60" i="1"/>
  <c r="CB60" i="1"/>
  <c r="CA60" i="1"/>
  <c r="BT60" i="1"/>
  <c r="BS60" i="1"/>
  <c r="BR60" i="1"/>
  <c r="BQ60" i="1"/>
  <c r="BN60" i="1"/>
  <c r="BL60" i="1"/>
  <c r="BK60" i="1"/>
  <c r="BJ60" i="1"/>
  <c r="BH60" i="1"/>
  <c r="BF60" i="1"/>
  <c r="BE60" i="1"/>
  <c r="BC60" i="1"/>
  <c r="BA60" i="1"/>
  <c r="AZ60" i="1"/>
  <c r="AY60" i="1"/>
  <c r="AW60" i="1"/>
  <c r="AU60" i="1"/>
  <c r="AS60" i="1"/>
  <c r="AR60" i="1"/>
  <c r="AQ60" i="1"/>
  <c r="AK60" i="1"/>
  <c r="AJ60" i="1"/>
  <c r="AI60" i="1"/>
  <c r="AF60" i="1"/>
  <c r="AE60" i="1"/>
  <c r="AC60" i="1"/>
  <c r="AB60" i="1"/>
  <c r="Z60" i="1"/>
  <c r="Y60" i="1"/>
  <c r="W60" i="1"/>
  <c r="V60" i="1"/>
  <c r="T60" i="1"/>
  <c r="R60" i="1"/>
  <c r="P60" i="1"/>
  <c r="O60" i="1"/>
  <c r="N60" i="1"/>
  <c r="M60" i="1"/>
  <c r="J60" i="1"/>
  <c r="I60" i="1"/>
  <c r="F60" i="1"/>
  <c r="E60" i="1"/>
  <c r="EZ98" i="1" s="1"/>
  <c r="D60" i="1"/>
  <c r="GI98" i="1" s="1"/>
  <c r="C60" i="1"/>
  <c r="B60" i="1"/>
  <c r="LG59" i="1"/>
  <c r="LD59" i="1"/>
  <c r="LB59" i="1"/>
  <c r="LA59" i="1"/>
  <c r="KZ59" i="1"/>
  <c r="KQ59" i="1"/>
  <c r="KP59" i="1"/>
  <c r="KO59" i="1"/>
  <c r="KM59" i="1"/>
  <c r="KL59" i="1"/>
  <c r="KK59" i="1"/>
  <c r="KI59" i="1"/>
  <c r="KH59" i="1"/>
  <c r="KG59" i="1"/>
  <c r="KE59" i="1"/>
  <c r="KD59" i="1"/>
  <c r="KC59" i="1"/>
  <c r="KB59" i="1"/>
  <c r="JZ59" i="1"/>
  <c r="JY59" i="1"/>
  <c r="IN59" i="1"/>
  <c r="IM59" i="1"/>
  <c r="IK59" i="1"/>
  <c r="IJ59" i="1"/>
  <c r="HM59" i="1"/>
  <c r="GK59" i="1"/>
  <c r="GJ59" i="1"/>
  <c r="EZ59" i="1"/>
  <c r="EX59" i="1"/>
  <c r="EW59" i="1"/>
  <c r="EU59" i="1"/>
  <c r="EP59" i="1"/>
  <c r="EO59" i="1"/>
  <c r="EN59" i="1"/>
  <c r="CR59" i="1"/>
  <c r="CQ59" i="1"/>
  <c r="CL59" i="1"/>
  <c r="CJ59" i="1"/>
  <c r="CI59" i="1"/>
  <c r="CE59" i="1"/>
  <c r="CD59" i="1"/>
  <c r="CB59" i="1"/>
  <c r="CA59" i="1"/>
  <c r="BT59" i="1"/>
  <c r="BS59" i="1"/>
  <c r="BR59" i="1"/>
  <c r="BQ59" i="1"/>
  <c r="BN59" i="1"/>
  <c r="BL59" i="1"/>
  <c r="BK59" i="1"/>
  <c r="BJ59" i="1"/>
  <c r="BH59" i="1"/>
  <c r="BF59" i="1"/>
  <c r="BE59" i="1"/>
  <c r="BC59" i="1"/>
  <c r="BA59" i="1"/>
  <c r="AZ59" i="1"/>
  <c r="AY59" i="1"/>
  <c r="AW59" i="1"/>
  <c r="AU59" i="1"/>
  <c r="AS59" i="1"/>
  <c r="AR59" i="1"/>
  <c r="AQ59" i="1"/>
  <c r="AK59" i="1"/>
  <c r="AJ59" i="1"/>
  <c r="AI59" i="1"/>
  <c r="AF59" i="1"/>
  <c r="AE59" i="1"/>
  <c r="AC59" i="1"/>
  <c r="AB59" i="1"/>
  <c r="Z59" i="1"/>
  <c r="Y59" i="1"/>
  <c r="W59" i="1"/>
  <c r="V59" i="1"/>
  <c r="T59" i="1"/>
  <c r="R59" i="1"/>
  <c r="P59" i="1"/>
  <c r="O59" i="1"/>
  <c r="N59" i="1"/>
  <c r="M59" i="1"/>
  <c r="J59" i="1"/>
  <c r="I59" i="1"/>
  <c r="F59" i="1"/>
  <c r="E59" i="1"/>
  <c r="EZ97" i="1" s="1"/>
  <c r="D59" i="1"/>
  <c r="GI97" i="1" s="1"/>
  <c r="C59" i="1"/>
  <c r="B59" i="1"/>
  <c r="LR58" i="1"/>
  <c r="LQ58" i="1"/>
  <c r="LN58" i="1"/>
  <c r="LM58" i="1"/>
  <c r="LJ58" i="1"/>
  <c r="LI58" i="1"/>
  <c r="LH58" i="1"/>
  <c r="LG58" i="1"/>
  <c r="LD58" i="1"/>
  <c r="LB58" i="1"/>
  <c r="LA58" i="1"/>
  <c r="KZ58" i="1"/>
  <c r="KQ58" i="1"/>
  <c r="KP58" i="1"/>
  <c r="KO58" i="1"/>
  <c r="KM58" i="1"/>
  <c r="KL58" i="1"/>
  <c r="KK58" i="1"/>
  <c r="KI58" i="1"/>
  <c r="KH58" i="1"/>
  <c r="KG58" i="1"/>
  <c r="KE58" i="1"/>
  <c r="KD58" i="1"/>
  <c r="KC58" i="1"/>
  <c r="KB58" i="1"/>
  <c r="JZ58" i="1"/>
  <c r="JY58" i="1"/>
  <c r="JV58" i="1"/>
  <c r="JU58" i="1"/>
  <c r="JT58" i="1"/>
  <c r="IN58" i="1"/>
  <c r="IM58" i="1"/>
  <c r="IK58" i="1"/>
  <c r="IJ58" i="1"/>
  <c r="HM58" i="1"/>
  <c r="GK58" i="1"/>
  <c r="LP58" i="1" s="1"/>
  <c r="GJ58" i="1"/>
  <c r="EZ58" i="1"/>
  <c r="EX58" i="1"/>
  <c r="EW58" i="1"/>
  <c r="EU58" i="1"/>
  <c r="EP58" i="1"/>
  <c r="EO58" i="1"/>
  <c r="EN58" i="1"/>
  <c r="CR58" i="1"/>
  <c r="CQ58" i="1"/>
  <c r="CL58" i="1"/>
  <c r="CJ58" i="1"/>
  <c r="CI58" i="1"/>
  <c r="CE58" i="1"/>
  <c r="CD58" i="1"/>
  <c r="CB58" i="1"/>
  <c r="CA58" i="1"/>
  <c r="BT58" i="1"/>
  <c r="BS58" i="1"/>
  <c r="BR58" i="1"/>
  <c r="BQ58" i="1"/>
  <c r="BN58" i="1"/>
  <c r="BL58" i="1"/>
  <c r="BK58" i="1"/>
  <c r="BJ58" i="1"/>
  <c r="BH58" i="1"/>
  <c r="BF58" i="1"/>
  <c r="BE58" i="1"/>
  <c r="BC58" i="1"/>
  <c r="BA58" i="1"/>
  <c r="AZ58" i="1"/>
  <c r="AY58" i="1"/>
  <c r="AW58" i="1"/>
  <c r="AU58" i="1"/>
  <c r="AS58" i="1"/>
  <c r="AR58" i="1"/>
  <c r="AQ58" i="1"/>
  <c r="AK58" i="1"/>
  <c r="AJ58" i="1"/>
  <c r="AI58" i="1"/>
  <c r="AF58" i="1"/>
  <c r="AE58" i="1"/>
  <c r="AC58" i="1"/>
  <c r="AB58" i="1"/>
  <c r="Z58" i="1"/>
  <c r="Y58" i="1"/>
  <c r="W58" i="1"/>
  <c r="V58" i="1"/>
  <c r="T58" i="1"/>
  <c r="R58" i="1"/>
  <c r="P58" i="1"/>
  <c r="O58" i="1"/>
  <c r="N58" i="1"/>
  <c r="M58" i="1"/>
  <c r="J58" i="1"/>
  <c r="I58" i="1"/>
  <c r="F58" i="1"/>
  <c r="E58" i="1"/>
  <c r="LI57" i="1" s="1"/>
  <c r="D58" i="1"/>
  <c r="C58" i="1"/>
  <c r="B58" i="1"/>
  <c r="LR57" i="1"/>
  <c r="LQ57" i="1"/>
  <c r="LN57" i="1"/>
  <c r="LM57" i="1"/>
  <c r="LJ57" i="1"/>
  <c r="LH57" i="1"/>
  <c r="LG57" i="1"/>
  <c r="LD57" i="1"/>
  <c r="LB57" i="1"/>
  <c r="LA57" i="1"/>
  <c r="KZ57" i="1"/>
  <c r="KQ57" i="1"/>
  <c r="KP57" i="1"/>
  <c r="KO57" i="1"/>
  <c r="KM57" i="1"/>
  <c r="KL57" i="1"/>
  <c r="KK57" i="1"/>
  <c r="KI57" i="1"/>
  <c r="KH57" i="1"/>
  <c r="KG57" i="1"/>
  <c r="KE57" i="1"/>
  <c r="KD57" i="1"/>
  <c r="KC57" i="1"/>
  <c r="KB57" i="1"/>
  <c r="JZ57" i="1"/>
  <c r="JY57" i="1"/>
  <c r="JV57" i="1"/>
  <c r="JU57" i="1"/>
  <c r="JT57" i="1"/>
  <c r="IN57" i="1"/>
  <c r="IM57" i="1"/>
  <c r="IK57" i="1"/>
  <c r="IJ57" i="1"/>
  <c r="HM57" i="1"/>
  <c r="GK57" i="1"/>
  <c r="LP57" i="1" s="1"/>
  <c r="GJ57" i="1"/>
  <c r="EZ57" i="1"/>
  <c r="EX57" i="1"/>
  <c r="EW57" i="1"/>
  <c r="EU57" i="1"/>
  <c r="EP57" i="1"/>
  <c r="EO57" i="1"/>
  <c r="EN57" i="1"/>
  <c r="CR57" i="1"/>
  <c r="CQ57" i="1"/>
  <c r="CL57" i="1"/>
  <c r="CJ57" i="1"/>
  <c r="CI57" i="1"/>
  <c r="CE57" i="1"/>
  <c r="CD57" i="1"/>
  <c r="CB57" i="1"/>
  <c r="CA57" i="1"/>
  <c r="BT57" i="1"/>
  <c r="BS57" i="1"/>
  <c r="BR57" i="1"/>
  <c r="BQ57" i="1"/>
  <c r="BN57" i="1"/>
  <c r="BL57" i="1"/>
  <c r="BK57" i="1"/>
  <c r="BJ57" i="1"/>
  <c r="BH57" i="1"/>
  <c r="BF57" i="1"/>
  <c r="BE57" i="1"/>
  <c r="BC57" i="1"/>
  <c r="BA57" i="1"/>
  <c r="AZ57" i="1"/>
  <c r="AY57" i="1"/>
  <c r="AW57" i="1"/>
  <c r="AU57" i="1"/>
  <c r="AS57" i="1"/>
  <c r="AR57" i="1"/>
  <c r="AQ57" i="1"/>
  <c r="AK57" i="1"/>
  <c r="AJ57" i="1"/>
  <c r="AI57" i="1"/>
  <c r="AF57" i="1"/>
  <c r="AE57" i="1"/>
  <c r="AC57" i="1"/>
  <c r="AB57" i="1"/>
  <c r="Z57" i="1"/>
  <c r="Y57" i="1"/>
  <c r="W57" i="1"/>
  <c r="V57" i="1"/>
  <c r="T57" i="1"/>
  <c r="R57" i="1"/>
  <c r="P57" i="1"/>
  <c r="O57" i="1"/>
  <c r="N57" i="1"/>
  <c r="M57" i="1"/>
  <c r="J57" i="1"/>
  <c r="I57" i="1"/>
  <c r="F57" i="1"/>
  <c r="E57" i="1"/>
  <c r="LI56" i="1" s="1"/>
  <c r="D57" i="1"/>
  <c r="GI94" i="1" s="1"/>
  <c r="C57" i="1"/>
  <c r="B57" i="1"/>
  <c r="LR56" i="1"/>
  <c r="LQ56" i="1"/>
  <c r="LN56" i="1"/>
  <c r="LM56" i="1"/>
  <c r="LJ56" i="1"/>
  <c r="LG56" i="1"/>
  <c r="LD56" i="1"/>
  <c r="LB56" i="1"/>
  <c r="LA56" i="1"/>
  <c r="KZ56" i="1"/>
  <c r="KQ56" i="1"/>
  <c r="KP56" i="1"/>
  <c r="KO56" i="1"/>
  <c r="KM56" i="1"/>
  <c r="KL56" i="1"/>
  <c r="KK56" i="1"/>
  <c r="KI56" i="1"/>
  <c r="KH56" i="1"/>
  <c r="KG56" i="1"/>
  <c r="KE56" i="1"/>
  <c r="KD56" i="1"/>
  <c r="KC56" i="1"/>
  <c r="KB56" i="1"/>
  <c r="JZ56" i="1"/>
  <c r="JY56" i="1"/>
  <c r="IN56" i="1"/>
  <c r="IM56" i="1"/>
  <c r="IK56" i="1"/>
  <c r="IJ56" i="1"/>
  <c r="HM56" i="1"/>
  <c r="GK56" i="1"/>
  <c r="LP56" i="1" s="1"/>
  <c r="GJ56" i="1"/>
  <c r="EZ56" i="1"/>
  <c r="EX56" i="1"/>
  <c r="EW56" i="1"/>
  <c r="EU56" i="1"/>
  <c r="EP56" i="1"/>
  <c r="EO56" i="1"/>
  <c r="EN56" i="1"/>
  <c r="CR56" i="1"/>
  <c r="CQ56" i="1"/>
  <c r="CL56" i="1"/>
  <c r="CJ56" i="1"/>
  <c r="CI56" i="1"/>
  <c r="CE56" i="1"/>
  <c r="CD56" i="1"/>
  <c r="CB56" i="1"/>
  <c r="CA56" i="1"/>
  <c r="BT56" i="1"/>
  <c r="BS56" i="1"/>
  <c r="BR56" i="1"/>
  <c r="BQ56" i="1"/>
  <c r="BN56" i="1"/>
  <c r="BL56" i="1"/>
  <c r="BK56" i="1"/>
  <c r="BJ56" i="1"/>
  <c r="BH56" i="1"/>
  <c r="BF56" i="1"/>
  <c r="BE56" i="1"/>
  <c r="BC56" i="1"/>
  <c r="BA56" i="1"/>
  <c r="AZ56" i="1"/>
  <c r="AY56" i="1"/>
  <c r="AW56" i="1"/>
  <c r="AU56" i="1"/>
  <c r="AS56" i="1"/>
  <c r="AR56" i="1"/>
  <c r="AQ56" i="1"/>
  <c r="AK56" i="1"/>
  <c r="AJ56" i="1"/>
  <c r="AI56" i="1"/>
  <c r="AF56" i="1"/>
  <c r="AE56" i="1"/>
  <c r="AC56" i="1"/>
  <c r="AB56" i="1"/>
  <c r="Z56" i="1"/>
  <c r="Y56" i="1"/>
  <c r="W56" i="1"/>
  <c r="V56" i="1"/>
  <c r="T56" i="1"/>
  <c r="R56" i="1"/>
  <c r="P56" i="1"/>
  <c r="O56" i="1"/>
  <c r="N56" i="1"/>
  <c r="M56" i="1"/>
  <c r="J56" i="1"/>
  <c r="I56" i="1"/>
  <c r="F56" i="1"/>
  <c r="E56" i="1"/>
  <c r="LI55" i="1" s="1"/>
  <c r="D56" i="1"/>
  <c r="GI93" i="1" s="1"/>
  <c r="C56" i="1"/>
  <c r="B56" i="1"/>
  <c r="LQ55" i="1"/>
  <c r="LN55" i="1"/>
  <c r="LM55" i="1"/>
  <c r="LJ55" i="1"/>
  <c r="LG55" i="1"/>
  <c r="LD55" i="1"/>
  <c r="LB55" i="1"/>
  <c r="LA55" i="1"/>
  <c r="KZ55" i="1"/>
  <c r="KQ55" i="1"/>
  <c r="KP55" i="1"/>
  <c r="KO55" i="1"/>
  <c r="KM55" i="1"/>
  <c r="KL55" i="1"/>
  <c r="KK55" i="1"/>
  <c r="KI55" i="1"/>
  <c r="KH55" i="1"/>
  <c r="KG55" i="1"/>
  <c r="KE55" i="1"/>
  <c r="KD55" i="1"/>
  <c r="KC55" i="1"/>
  <c r="KB55" i="1"/>
  <c r="JZ55" i="1"/>
  <c r="JY55" i="1"/>
  <c r="IN55" i="1"/>
  <c r="IM55" i="1"/>
  <c r="IK55" i="1"/>
  <c r="IJ55" i="1"/>
  <c r="HM55" i="1"/>
  <c r="LR55" i="1" s="1"/>
  <c r="GK55" i="1"/>
  <c r="LP55" i="1" s="1"/>
  <c r="GJ55" i="1"/>
  <c r="EZ55" i="1"/>
  <c r="EX55" i="1"/>
  <c r="EW55" i="1"/>
  <c r="EU55" i="1"/>
  <c r="EP55" i="1"/>
  <c r="EO55" i="1"/>
  <c r="EN55" i="1"/>
  <c r="CR55" i="1"/>
  <c r="CQ55" i="1"/>
  <c r="CL55" i="1"/>
  <c r="CJ55" i="1"/>
  <c r="CI55" i="1"/>
  <c r="CE55" i="1"/>
  <c r="CD55" i="1"/>
  <c r="CB55" i="1"/>
  <c r="CA55" i="1"/>
  <c r="BT55" i="1"/>
  <c r="BS55" i="1"/>
  <c r="BR55" i="1"/>
  <c r="BQ55" i="1"/>
  <c r="BN55" i="1"/>
  <c r="BL55" i="1"/>
  <c r="BK55" i="1"/>
  <c r="BJ55" i="1"/>
  <c r="BH55" i="1"/>
  <c r="BF55" i="1"/>
  <c r="BE55" i="1"/>
  <c r="BC55" i="1"/>
  <c r="BA55" i="1"/>
  <c r="AZ55" i="1"/>
  <c r="AY55" i="1"/>
  <c r="AW55" i="1"/>
  <c r="AU55" i="1"/>
  <c r="AS55" i="1"/>
  <c r="AR55" i="1"/>
  <c r="AQ55" i="1"/>
  <c r="AK55" i="1"/>
  <c r="AJ55" i="1"/>
  <c r="AI55" i="1"/>
  <c r="AF55" i="1"/>
  <c r="AE55" i="1"/>
  <c r="AB55" i="1"/>
  <c r="Z55" i="1"/>
  <c r="Y55" i="1"/>
  <c r="W55" i="1"/>
  <c r="V55" i="1"/>
  <c r="T55" i="1"/>
  <c r="R55" i="1"/>
  <c r="P55" i="1"/>
  <c r="O55" i="1"/>
  <c r="N55" i="1"/>
  <c r="M55" i="1"/>
  <c r="J55" i="1"/>
  <c r="I55" i="1"/>
  <c r="F55" i="1"/>
  <c r="E55" i="1"/>
  <c r="LI54" i="1" s="1"/>
  <c r="D55" i="1"/>
  <c r="GI92" i="1" s="1"/>
  <c r="C55" i="1"/>
  <c r="B55" i="1"/>
  <c r="LR54" i="1"/>
  <c r="LQ54" i="1"/>
  <c r="LN54" i="1"/>
  <c r="LM54" i="1"/>
  <c r="LJ54" i="1"/>
  <c r="LH54" i="1"/>
  <c r="LG54" i="1"/>
  <c r="LD54" i="1"/>
  <c r="LB54" i="1"/>
  <c r="LA54" i="1"/>
  <c r="KZ54" i="1"/>
  <c r="KQ54" i="1"/>
  <c r="KP54" i="1"/>
  <c r="KO54" i="1"/>
  <c r="KM54" i="1"/>
  <c r="KL54" i="1"/>
  <c r="KK54" i="1"/>
  <c r="KI54" i="1"/>
  <c r="KH54" i="1"/>
  <c r="KG54" i="1"/>
  <c r="KE54" i="1"/>
  <c r="KD54" i="1"/>
  <c r="KC54" i="1"/>
  <c r="KB54" i="1"/>
  <c r="JZ54" i="1"/>
  <c r="JY54" i="1"/>
  <c r="IN54" i="1"/>
  <c r="IM54" i="1"/>
  <c r="IK54" i="1"/>
  <c r="IJ54" i="1"/>
  <c r="HM54" i="1"/>
  <c r="GK54" i="1"/>
  <c r="LP54" i="1" s="1"/>
  <c r="GJ54" i="1"/>
  <c r="EZ54" i="1"/>
  <c r="EX54" i="1"/>
  <c r="EW54" i="1"/>
  <c r="EU54" i="1"/>
  <c r="EP54" i="1"/>
  <c r="EO54" i="1"/>
  <c r="EN54" i="1"/>
  <c r="CR54" i="1"/>
  <c r="CQ54" i="1"/>
  <c r="CL54" i="1"/>
  <c r="CJ54" i="1"/>
  <c r="CI54" i="1"/>
  <c r="CE54" i="1"/>
  <c r="CD54" i="1"/>
  <c r="CB54" i="1"/>
  <c r="CA54" i="1"/>
  <c r="BT54" i="1"/>
  <c r="BS54" i="1"/>
  <c r="BR54" i="1"/>
  <c r="BQ54" i="1"/>
  <c r="BN54" i="1"/>
  <c r="BL54" i="1"/>
  <c r="BK54" i="1"/>
  <c r="BJ54" i="1"/>
  <c r="BH54" i="1"/>
  <c r="BF54" i="1"/>
  <c r="BE54" i="1"/>
  <c r="BC54" i="1"/>
  <c r="BA54" i="1"/>
  <c r="AZ54" i="1"/>
  <c r="AY54" i="1"/>
  <c r="AW54" i="1"/>
  <c r="AU54" i="1"/>
  <c r="AS54" i="1"/>
  <c r="AR54" i="1"/>
  <c r="AQ54" i="1"/>
  <c r="AK54" i="1"/>
  <c r="AJ54" i="1"/>
  <c r="AI54" i="1"/>
  <c r="AF54" i="1"/>
  <c r="AE54" i="1"/>
  <c r="AB54" i="1"/>
  <c r="Z54" i="1"/>
  <c r="Y54" i="1"/>
  <c r="W54" i="1"/>
  <c r="V54" i="1"/>
  <c r="T54" i="1"/>
  <c r="R54" i="1"/>
  <c r="P54" i="1"/>
  <c r="O54" i="1"/>
  <c r="N54" i="1"/>
  <c r="M54" i="1"/>
  <c r="J54" i="1"/>
  <c r="I54" i="1"/>
  <c r="F54" i="1"/>
  <c r="E54" i="1"/>
  <c r="LI53" i="1" s="1"/>
  <c r="D54" i="1"/>
  <c r="GI91" i="1" s="1"/>
  <c r="C54" i="1"/>
  <c r="B54" i="1"/>
  <c r="LQ53" i="1"/>
  <c r="LN53" i="1"/>
  <c r="LM53" i="1"/>
  <c r="LJ53" i="1"/>
  <c r="LG53" i="1"/>
  <c r="LB53" i="1"/>
  <c r="LA53" i="1"/>
  <c r="KZ53" i="1"/>
  <c r="KQ53" i="1"/>
  <c r="KP53" i="1"/>
  <c r="KO53" i="1"/>
  <c r="KM53" i="1"/>
  <c r="KL53" i="1"/>
  <c r="KK53" i="1"/>
  <c r="KI53" i="1"/>
  <c r="KH53" i="1"/>
  <c r="KG53" i="1"/>
  <c r="KE53" i="1"/>
  <c r="KD53" i="1"/>
  <c r="KC53" i="1"/>
  <c r="KB53" i="1"/>
  <c r="JZ53" i="1"/>
  <c r="JY53" i="1"/>
  <c r="IN53" i="1"/>
  <c r="IM53" i="1"/>
  <c r="IK53" i="1"/>
  <c r="IJ53" i="1"/>
  <c r="HM53" i="1"/>
  <c r="LR53" i="1" s="1"/>
  <c r="GK53" i="1"/>
  <c r="LP53" i="1" s="1"/>
  <c r="GJ53" i="1"/>
  <c r="EZ53" i="1"/>
  <c r="EX53" i="1"/>
  <c r="EW53" i="1"/>
  <c r="EU53" i="1"/>
  <c r="EP53" i="1"/>
  <c r="EO53" i="1"/>
  <c r="EN53" i="1"/>
  <c r="CR53" i="1"/>
  <c r="CQ53" i="1"/>
  <c r="CL53" i="1"/>
  <c r="CJ53" i="1"/>
  <c r="CI53" i="1"/>
  <c r="CE53" i="1"/>
  <c r="CD53" i="1"/>
  <c r="CB53" i="1"/>
  <c r="CA53" i="1"/>
  <c r="BT53" i="1"/>
  <c r="BS53" i="1"/>
  <c r="BR53" i="1"/>
  <c r="BQ53" i="1"/>
  <c r="BN53" i="1"/>
  <c r="BL53" i="1"/>
  <c r="BK53" i="1"/>
  <c r="BJ53" i="1"/>
  <c r="BH53" i="1"/>
  <c r="BF53" i="1"/>
  <c r="BE53" i="1"/>
  <c r="BC53" i="1"/>
  <c r="BA53" i="1"/>
  <c r="AZ53" i="1"/>
  <c r="AY53" i="1"/>
  <c r="AW53" i="1"/>
  <c r="AU53" i="1"/>
  <c r="AS53" i="1"/>
  <c r="AR53" i="1"/>
  <c r="AQ53" i="1"/>
  <c r="AK53" i="1"/>
  <c r="AJ53" i="1"/>
  <c r="AI53" i="1"/>
  <c r="AF53" i="1"/>
  <c r="AE53" i="1"/>
  <c r="AB53" i="1"/>
  <c r="Z53" i="1"/>
  <c r="Y53" i="1"/>
  <c r="W53" i="1"/>
  <c r="V53" i="1"/>
  <c r="T53" i="1"/>
  <c r="R53" i="1"/>
  <c r="P53" i="1"/>
  <c r="O53" i="1"/>
  <c r="N53" i="1"/>
  <c r="M53" i="1"/>
  <c r="J53" i="1"/>
  <c r="I53" i="1"/>
  <c r="F53" i="1"/>
  <c r="E53" i="1"/>
  <c r="LI52" i="1" s="1"/>
  <c r="D53" i="1"/>
  <c r="GI90" i="1" s="1"/>
  <c r="C53" i="1"/>
  <c r="B53" i="1"/>
  <c r="LQ52" i="1"/>
  <c r="LN52" i="1"/>
  <c r="LM52" i="1"/>
  <c r="LJ52" i="1"/>
  <c r="LG52" i="1"/>
  <c r="LD52" i="1"/>
  <c r="LB52" i="1"/>
  <c r="LA52" i="1"/>
  <c r="KZ52" i="1" s="1"/>
  <c r="KZ69" i="1" s="1"/>
  <c r="KQ52" i="1"/>
  <c r="KP52" i="1"/>
  <c r="KO52" i="1"/>
  <c r="KM52" i="1"/>
  <c r="KL52" i="1"/>
  <c r="KK52" i="1"/>
  <c r="KI52" i="1"/>
  <c r="KH52" i="1"/>
  <c r="KG52" i="1"/>
  <c r="KE52" i="1"/>
  <c r="KE70" i="1" s="1"/>
  <c r="KD52" i="1"/>
  <c r="KD70" i="1" s="1"/>
  <c r="KC52" i="1"/>
  <c r="KC70" i="1" s="1"/>
  <c r="KB52" i="1"/>
  <c r="KB75" i="1" s="1"/>
  <c r="JZ52" i="1"/>
  <c r="JY52" i="1"/>
  <c r="IK52" i="1"/>
  <c r="IJ52" i="1"/>
  <c r="HM52" i="1"/>
  <c r="LR52" i="1" s="1"/>
  <c r="GK52" i="1"/>
  <c r="LP52" i="1" s="1"/>
  <c r="GJ52" i="1"/>
  <c r="EP52" i="1"/>
  <c r="EO52" i="1"/>
  <c r="EN52" i="1"/>
  <c r="CR52" i="1"/>
  <c r="CQ52" i="1"/>
  <c r="CL52" i="1"/>
  <c r="CJ52" i="1"/>
  <c r="CI52" i="1"/>
  <c r="CI68" i="1" s="1"/>
  <c r="CB52" i="1"/>
  <c r="CA52" i="1"/>
  <c r="BT52" i="1"/>
  <c r="BR52" i="1"/>
  <c r="BL52" i="1"/>
  <c r="BK52" i="1"/>
  <c r="BJ52" i="1"/>
  <c r="BH52" i="1"/>
  <c r="BF52" i="1"/>
  <c r="BE52" i="1"/>
  <c r="BC52" i="1"/>
  <c r="BA52" i="1"/>
  <c r="AZ52" i="1"/>
  <c r="AY52" i="1"/>
  <c r="AW52" i="1"/>
  <c r="AU52" i="1"/>
  <c r="AS52" i="1"/>
  <c r="AR52" i="1"/>
  <c r="AQ52" i="1"/>
  <c r="AK52" i="1"/>
  <c r="AJ52" i="1"/>
  <c r="AI52" i="1"/>
  <c r="AI68" i="1" s="1"/>
  <c r="AI71" i="1" s="1"/>
  <c r="AF52" i="1"/>
  <c r="AF68" i="1" s="1"/>
  <c r="AE52" i="1"/>
  <c r="AB52" i="1"/>
  <c r="Z52" i="1"/>
  <c r="Y52" i="1"/>
  <c r="W52" i="1"/>
  <c r="V52" i="1"/>
  <c r="T52" i="1"/>
  <c r="R52" i="1"/>
  <c r="P52" i="1"/>
  <c r="O52" i="1"/>
  <c r="N52" i="1"/>
  <c r="M52" i="1"/>
  <c r="J52" i="1"/>
  <c r="I52" i="1"/>
  <c r="F52" i="1"/>
  <c r="LJ50" i="1" s="1"/>
  <c r="E52" i="1"/>
  <c r="EZ89" i="1" s="1"/>
  <c r="D52" i="1"/>
  <c r="LC52" i="1" s="1"/>
  <c r="C52" i="1"/>
  <c r="LG50" i="1" s="1"/>
  <c r="B52" i="1"/>
  <c r="LR50" i="1"/>
  <c r="LQ50" i="1"/>
  <c r="LP50" i="1"/>
  <c r="LN50" i="1"/>
  <c r="LM50" i="1"/>
  <c r="LI50" i="1"/>
  <c r="LH50" i="1"/>
  <c r="KR49" i="1"/>
  <c r="JR49" i="1"/>
  <c r="IW49" i="1"/>
  <c r="IC49" i="1"/>
  <c r="GJ49" i="1"/>
  <c r="KQ48" i="1"/>
  <c r="JQ48" i="1"/>
  <c r="IV48" i="1"/>
  <c r="IB48" i="1"/>
  <c r="GI48" i="1"/>
  <c r="BE48" i="1"/>
  <c r="AW48" i="1"/>
  <c r="Y48" i="1"/>
  <c r="P48" i="1"/>
  <c r="LO47" i="1"/>
  <c r="KQ47" i="1"/>
  <c r="JQ47" i="1"/>
  <c r="IV47" i="1"/>
  <c r="IB47" i="1"/>
  <c r="GJ47" i="1"/>
  <c r="GI47" i="1"/>
  <c r="AV47" i="1"/>
  <c r="Y47" i="1"/>
  <c r="O47" i="1"/>
  <c r="CI46" i="1"/>
  <c r="AV46" i="1"/>
  <c r="AG46" i="1"/>
  <c r="Y46" i="1"/>
  <c r="O46" i="1"/>
  <c r="BB42" i="1"/>
  <c r="AK27" i="1"/>
  <c r="NM26" i="1"/>
  <c r="IJ26" i="1"/>
  <c r="AR26" i="1"/>
  <c r="NO23" i="1"/>
  <c r="NM23" i="1"/>
  <c r="NL23" i="1"/>
  <c r="NK23" i="1"/>
  <c r="NJ23" i="1"/>
  <c r="ND23" i="1"/>
  <c r="NC23" i="1"/>
  <c r="NB23" i="1"/>
  <c r="MZ23" i="1"/>
  <c r="MY23" i="1"/>
  <c r="MX23" i="1"/>
  <c r="MV23" i="1"/>
  <c r="MU23" i="1"/>
  <c r="MT23" i="1"/>
  <c r="MR23" i="1"/>
  <c r="MQ23" i="1"/>
  <c r="MP23" i="1"/>
  <c r="MN23" i="1"/>
  <c r="MM23" i="1"/>
  <c r="ML23" i="1"/>
  <c r="MJ23" i="1"/>
  <c r="MI23" i="1"/>
  <c r="MH23" i="1"/>
  <c r="MG23" i="1"/>
  <c r="ME23" i="1"/>
  <c r="MD23" i="1"/>
  <c r="MB23" i="1"/>
  <c r="KS23" i="1"/>
  <c r="KR23" i="1"/>
  <c r="KQ23" i="1"/>
  <c r="KC23" i="1"/>
  <c r="KB23" i="1"/>
  <c r="JZ23" i="1"/>
  <c r="JY23" i="1"/>
  <c r="JC23" i="1"/>
  <c r="JB23" i="1"/>
  <c r="JA23" i="1"/>
  <c r="IZ23" i="1"/>
  <c r="IY23" i="1"/>
  <c r="IV23" i="1"/>
  <c r="IU23" i="1"/>
  <c r="IT23" i="1"/>
  <c r="IR23" i="1"/>
  <c r="IP23" i="1"/>
  <c r="IO23" i="1"/>
  <c r="IN23" i="1"/>
  <c r="IL23" i="1"/>
  <c r="IJ23" i="1"/>
  <c r="IH23" i="1"/>
  <c r="IF23" i="1"/>
  <c r="IE23" i="1"/>
  <c r="IC23" i="1"/>
  <c r="IB23" i="1"/>
  <c r="HZ23" i="1"/>
  <c r="HY23" i="1"/>
  <c r="HW23" i="1"/>
  <c r="HU23" i="1"/>
  <c r="HT23" i="1"/>
  <c r="HR23" i="1"/>
  <c r="HQ23" i="1"/>
  <c r="HO23" i="1"/>
  <c r="HN23" i="1"/>
  <c r="GV23" i="1"/>
  <c r="GU23" i="1"/>
  <c r="GT23" i="1"/>
  <c r="GS23" i="1"/>
  <c r="GR23" i="1"/>
  <c r="GQ23" i="1"/>
  <c r="GP23" i="1"/>
  <c r="GO23" i="1"/>
  <c r="GN23" i="1"/>
  <c r="GM23" i="1"/>
  <c r="GL23" i="1"/>
  <c r="GK23" i="1"/>
  <c r="GJ23" i="1"/>
  <c r="GI23" i="1"/>
  <c r="FS23" i="1"/>
  <c r="FT23" i="1" s="1"/>
  <c r="FR23" i="1"/>
  <c r="FX23" i="1" s="1"/>
  <c r="FY23" i="1" s="1"/>
  <c r="FQ23" i="1"/>
  <c r="FU23" i="1" s="1"/>
  <c r="FV23" i="1" s="1"/>
  <c r="FW23" i="1" s="1"/>
  <c r="FP23" i="1"/>
  <c r="FO23" i="1"/>
  <c r="FN23" i="1"/>
  <c r="FL23" i="1"/>
  <c r="FK23" i="1"/>
  <c r="FJ23" i="1"/>
  <c r="FI23" i="1"/>
  <c r="FG23" i="1"/>
  <c r="FE23" i="1"/>
  <c r="FD23" i="1"/>
  <c r="FA23" i="1"/>
  <c r="EZ23" i="1"/>
  <c r="EX23" i="1"/>
  <c r="EW23" i="1"/>
  <c r="EV23" i="1"/>
  <c r="EU23" i="1"/>
  <c r="ES23" i="1"/>
  <c r="ER23" i="1"/>
  <c r="EP23" i="1"/>
  <c r="EO23" i="1"/>
  <c r="EM23" i="1"/>
  <c r="EL23" i="1"/>
  <c r="EJ23" i="1"/>
  <c r="EI23" i="1"/>
  <c r="EH23" i="1"/>
  <c r="EF23" i="1"/>
  <c r="EE23" i="1"/>
  <c r="ED23" i="1"/>
  <c r="EB23" i="1"/>
  <c r="EA23" i="1"/>
  <c r="DZ23" i="1"/>
  <c r="DY23" i="1"/>
  <c r="DX23" i="1"/>
  <c r="DW23" i="1"/>
  <c r="DU23" i="1"/>
  <c r="DT23" i="1"/>
  <c r="DS23" i="1"/>
  <c r="DR23" i="1"/>
  <c r="DQ23" i="1"/>
  <c r="DO23" i="1"/>
  <c r="DN23" i="1"/>
  <c r="DM23" i="1"/>
  <c r="DK23" i="1"/>
  <c r="DJ23" i="1"/>
  <c r="DI23" i="1"/>
  <c r="DG23" i="1"/>
  <c r="DF23" i="1"/>
  <c r="DE23" i="1"/>
  <c r="DC23" i="1"/>
  <c r="DB23" i="1"/>
  <c r="DA23" i="1"/>
  <c r="CZ23" i="1"/>
  <c r="CW23" i="1"/>
  <c r="CV23" i="1"/>
  <c r="CX23" i="1" s="1"/>
  <c r="CT23" i="1"/>
  <c r="CS23" i="1"/>
  <c r="CR23" i="1"/>
  <c r="CP23" i="1"/>
  <c r="CO23" i="1"/>
  <c r="CN23" i="1"/>
  <c r="CM23" i="1"/>
  <c r="CL23" i="1"/>
  <c r="CJ23" i="1"/>
  <c r="CI23" i="1"/>
  <c r="CE23" i="1"/>
  <c r="CD23" i="1"/>
  <c r="CB23" i="1"/>
  <c r="CA23" i="1"/>
  <c r="BY23" i="1"/>
  <c r="BX23" i="1"/>
  <c r="BW23" i="1"/>
  <c r="BV23" i="1"/>
  <c r="BU23" i="1"/>
  <c r="BT23" i="1"/>
  <c r="BS23" i="1"/>
  <c r="BR23" i="1"/>
  <c r="BQ23" i="1"/>
  <c r="BP23" i="1"/>
  <c r="BN23" i="1"/>
  <c r="BL23" i="1"/>
  <c r="BK23" i="1"/>
  <c r="BJ23" i="1"/>
  <c r="BH23" i="1"/>
  <c r="BF23" i="1"/>
  <c r="BE23" i="1"/>
  <c r="BD23" i="1"/>
  <c r="BB23" i="1"/>
  <c r="AZ23" i="1"/>
  <c r="AX23" i="1"/>
  <c r="AV23" i="1"/>
  <c r="AT23" i="1"/>
  <c r="AR23" i="1"/>
  <c r="AQ23" i="1"/>
  <c r="AP23" i="1"/>
  <c r="AM23" i="1"/>
  <c r="AL23" i="1"/>
  <c r="AK23" i="1"/>
  <c r="AJ23" i="1"/>
  <c r="AI23" i="1"/>
  <c r="AF23" i="1"/>
  <c r="AE23" i="1"/>
  <c r="AC23" i="1"/>
  <c r="AB23" i="1"/>
  <c r="Z23" i="1"/>
  <c r="Y23" i="1"/>
  <c r="W23" i="1"/>
  <c r="V23" i="1"/>
  <c r="T23" i="1"/>
  <c r="R23" i="1"/>
  <c r="P23" i="1"/>
  <c r="O23" i="1"/>
  <c r="N23" i="1"/>
  <c r="M23" i="1"/>
  <c r="K23" i="1"/>
  <c r="J23" i="1"/>
  <c r="I23" i="1"/>
  <c r="H23" i="1"/>
  <c r="G23" i="1"/>
  <c r="F23" i="1"/>
  <c r="E23" i="1"/>
  <c r="D23" i="1"/>
  <c r="C23" i="1"/>
  <c r="B23" i="1"/>
  <c r="NO22" i="1"/>
  <c r="NM22" i="1"/>
  <c r="NL22" i="1"/>
  <c r="NK22" i="1"/>
  <c r="NJ22" i="1"/>
  <c r="ND22" i="1"/>
  <c r="NC22" i="1"/>
  <c r="NB22" i="1"/>
  <c r="MZ22" i="1"/>
  <c r="MY22" i="1"/>
  <c r="MX22" i="1"/>
  <c r="MV22" i="1"/>
  <c r="MU22" i="1"/>
  <c r="MT22" i="1"/>
  <c r="MR22" i="1"/>
  <c r="MQ22" i="1"/>
  <c r="MP22" i="1"/>
  <c r="MN22" i="1"/>
  <c r="MM22" i="1"/>
  <c r="ML22" i="1"/>
  <c r="MJ22" i="1"/>
  <c r="MI22" i="1"/>
  <c r="MH22" i="1"/>
  <c r="MG22" i="1"/>
  <c r="ME22" i="1"/>
  <c r="MD22" i="1"/>
  <c r="MB22" i="1"/>
  <c r="KS22" i="1"/>
  <c r="KR22" i="1"/>
  <c r="KQ22" i="1"/>
  <c r="KC22" i="1"/>
  <c r="KB22" i="1"/>
  <c r="JZ22" i="1"/>
  <c r="JY22" i="1"/>
  <c r="JC22" i="1"/>
  <c r="JB22" i="1"/>
  <c r="JA22" i="1"/>
  <c r="IZ22" i="1"/>
  <c r="IY22" i="1"/>
  <c r="IV22" i="1"/>
  <c r="IU22" i="1"/>
  <c r="IT22" i="1"/>
  <c r="IR22" i="1"/>
  <c r="IP22" i="1"/>
  <c r="IO22" i="1"/>
  <c r="IN22" i="1"/>
  <c r="IL22" i="1"/>
  <c r="IJ22" i="1"/>
  <c r="II22" i="1"/>
  <c r="IH22" i="1"/>
  <c r="IF22" i="1"/>
  <c r="IE22" i="1"/>
  <c r="IC22" i="1"/>
  <c r="IB22" i="1"/>
  <c r="HZ22" i="1"/>
  <c r="HY22" i="1"/>
  <c r="HW22" i="1"/>
  <c r="HU22" i="1"/>
  <c r="HT22" i="1"/>
  <c r="HR22" i="1"/>
  <c r="HQ22" i="1"/>
  <c r="HO22" i="1"/>
  <c r="HN22" i="1"/>
  <c r="GV22" i="1"/>
  <c r="GU22" i="1"/>
  <c r="GT22" i="1"/>
  <c r="GS22" i="1"/>
  <c r="GR22" i="1"/>
  <c r="GQ22" i="1"/>
  <c r="GP22" i="1"/>
  <c r="GO22" i="1"/>
  <c r="GN22" i="1"/>
  <c r="GM22" i="1"/>
  <c r="GL22" i="1"/>
  <c r="GK22" i="1"/>
  <c r="GJ22" i="1"/>
  <c r="GI22" i="1"/>
  <c r="FS22" i="1"/>
  <c r="FQ22" i="1"/>
  <c r="FP22" i="1"/>
  <c r="FO22" i="1"/>
  <c r="FN22" i="1"/>
  <c r="FU22" i="1" s="1"/>
  <c r="FL22" i="1"/>
  <c r="FK22" i="1"/>
  <c r="FR22" i="1" s="1"/>
  <c r="FX22" i="1" s="1"/>
  <c r="FJ22" i="1"/>
  <c r="FI22" i="1"/>
  <c r="FG22" i="1"/>
  <c r="FE22" i="1"/>
  <c r="FD22" i="1"/>
  <c r="FA22" i="1"/>
  <c r="EZ22" i="1"/>
  <c r="EX22" i="1"/>
  <c r="EW22" i="1"/>
  <c r="EV22" i="1"/>
  <c r="EU22" i="1"/>
  <c r="ES22" i="1"/>
  <c r="ER22" i="1"/>
  <c r="EP22" i="1"/>
  <c r="EO22" i="1"/>
  <c r="EM22" i="1"/>
  <c r="EL22" i="1"/>
  <c r="EJ22" i="1"/>
  <c r="EI22" i="1"/>
  <c r="EH22" i="1"/>
  <c r="EF22" i="1"/>
  <c r="EE22" i="1"/>
  <c r="ED22" i="1"/>
  <c r="EB22" i="1"/>
  <c r="EA22" i="1"/>
  <c r="DZ22" i="1"/>
  <c r="DY22" i="1"/>
  <c r="DX22" i="1"/>
  <c r="DW22" i="1"/>
  <c r="DU22" i="1"/>
  <c r="DT22" i="1"/>
  <c r="DS22" i="1"/>
  <c r="DR22" i="1"/>
  <c r="DQ22" i="1"/>
  <c r="DO22" i="1"/>
  <c r="DN22" i="1"/>
  <c r="DM22" i="1"/>
  <c r="DK22" i="1"/>
  <c r="DJ22" i="1"/>
  <c r="DI22" i="1"/>
  <c r="DG22" i="1"/>
  <c r="DF22" i="1"/>
  <c r="DE22" i="1"/>
  <c r="DC22" i="1"/>
  <c r="DB22" i="1"/>
  <c r="DA22" i="1"/>
  <c r="CZ22" i="1"/>
  <c r="CX22" i="1"/>
  <c r="CW22" i="1"/>
  <c r="CV22" i="1"/>
  <c r="CT22" i="1"/>
  <c r="CS22" i="1"/>
  <c r="CR22" i="1"/>
  <c r="CP22" i="1"/>
  <c r="CO22" i="1"/>
  <c r="CN22" i="1"/>
  <c r="CM22" i="1"/>
  <c r="CL22" i="1"/>
  <c r="CJ22" i="1"/>
  <c r="CI22" i="1"/>
  <c r="CE22" i="1"/>
  <c r="CD22" i="1"/>
  <c r="CB22" i="1"/>
  <c r="CA22" i="1"/>
  <c r="BY22" i="1"/>
  <c r="BX22" i="1"/>
  <c r="BW22" i="1"/>
  <c r="BV22" i="1"/>
  <c r="BU22" i="1"/>
  <c r="BT22" i="1"/>
  <c r="BS22" i="1"/>
  <c r="BR22" i="1"/>
  <c r="BQ22" i="1"/>
  <c r="BP22" i="1"/>
  <c r="BN22" i="1"/>
  <c r="BL22" i="1"/>
  <c r="BK22" i="1"/>
  <c r="BJ22" i="1"/>
  <c r="BH22" i="1"/>
  <c r="BF22" i="1"/>
  <c r="BE22" i="1"/>
  <c r="BD22" i="1"/>
  <c r="BB22" i="1"/>
  <c r="AZ22" i="1"/>
  <c r="AY22" i="1"/>
  <c r="AX22" i="1"/>
  <c r="AV22" i="1"/>
  <c r="AT22" i="1"/>
  <c r="AR22" i="1"/>
  <c r="AQ22" i="1"/>
  <c r="AP22" i="1"/>
  <c r="AM22" i="1"/>
  <c r="AL22" i="1"/>
  <c r="AK22" i="1"/>
  <c r="AJ22" i="1"/>
  <c r="AI22" i="1"/>
  <c r="AF22" i="1"/>
  <c r="AE22" i="1"/>
  <c r="AC22" i="1"/>
  <c r="AB22" i="1"/>
  <c r="Z22" i="1"/>
  <c r="Y22" i="1"/>
  <c r="W22" i="1"/>
  <c r="V22" i="1"/>
  <c r="T22" i="1"/>
  <c r="R22" i="1"/>
  <c r="P22" i="1"/>
  <c r="O22" i="1"/>
  <c r="N22" i="1"/>
  <c r="M22" i="1"/>
  <c r="K22" i="1"/>
  <c r="J22" i="1"/>
  <c r="I22" i="1"/>
  <c r="H22" i="1"/>
  <c r="G22" i="1"/>
  <c r="F22" i="1"/>
  <c r="E22" i="1"/>
  <c r="D22" i="1"/>
  <c r="C22" i="1"/>
  <c r="B22" i="1"/>
  <c r="NO21" i="1"/>
  <c r="NM21" i="1"/>
  <c r="NL21" i="1"/>
  <c r="NK21" i="1"/>
  <c r="NJ21" i="1"/>
  <c r="ND21" i="1"/>
  <c r="NC21" i="1"/>
  <c r="NB21" i="1"/>
  <c r="MZ21" i="1"/>
  <c r="MY21" i="1"/>
  <c r="MX21" i="1"/>
  <c r="MV21" i="1"/>
  <c r="MU21" i="1"/>
  <c r="MT21" i="1"/>
  <c r="MR21" i="1"/>
  <c r="MQ21" i="1"/>
  <c r="MP21" i="1"/>
  <c r="MN21" i="1"/>
  <c r="MM21" i="1"/>
  <c r="ML21" i="1"/>
  <c r="MJ21" i="1"/>
  <c r="MI21" i="1"/>
  <c r="MH21" i="1"/>
  <c r="MG21" i="1"/>
  <c r="ME21" i="1"/>
  <c r="MD21" i="1"/>
  <c r="MB21" i="1"/>
  <c r="KS21" i="1"/>
  <c r="KR21" i="1"/>
  <c r="KQ21" i="1"/>
  <c r="KC21" i="1"/>
  <c r="KB21" i="1"/>
  <c r="JZ21" i="1"/>
  <c r="JY21" i="1"/>
  <c r="JC21" i="1"/>
  <c r="JB21" i="1"/>
  <c r="JA21" i="1"/>
  <c r="IZ21" i="1"/>
  <c r="IY21" i="1"/>
  <c r="IV21" i="1"/>
  <c r="IU21" i="1"/>
  <c r="IT21" i="1"/>
  <c r="IR21" i="1"/>
  <c r="IP21" i="1"/>
  <c r="IO21" i="1"/>
  <c r="IN21" i="1"/>
  <c r="IL21" i="1"/>
  <c r="IJ21" i="1"/>
  <c r="II21" i="1"/>
  <c r="IH21" i="1"/>
  <c r="IF21" i="1"/>
  <c r="IE21" i="1"/>
  <c r="IC21" i="1"/>
  <c r="IB21" i="1"/>
  <c r="HZ21" i="1"/>
  <c r="HY21" i="1"/>
  <c r="HW21" i="1"/>
  <c r="HU21" i="1"/>
  <c r="HT21" i="1"/>
  <c r="HR21" i="1"/>
  <c r="HQ21" i="1"/>
  <c r="HO21" i="1"/>
  <c r="HN21" i="1"/>
  <c r="GV21" i="1"/>
  <c r="GU21" i="1"/>
  <c r="GT21" i="1"/>
  <c r="GS21" i="1"/>
  <c r="GR21" i="1"/>
  <c r="GQ21" i="1"/>
  <c r="GP21" i="1"/>
  <c r="GO21" i="1"/>
  <c r="GN21" i="1"/>
  <c r="GM21" i="1"/>
  <c r="GL21" i="1"/>
  <c r="GK21" i="1"/>
  <c r="GJ21" i="1"/>
  <c r="GI21" i="1"/>
  <c r="FQ21" i="1"/>
  <c r="FP21" i="1"/>
  <c r="FO21" i="1"/>
  <c r="FN21" i="1"/>
  <c r="FL21" i="1"/>
  <c r="FK21" i="1"/>
  <c r="FR21" i="1" s="1"/>
  <c r="FX21" i="1" s="1"/>
  <c r="FJ21" i="1"/>
  <c r="FI21" i="1"/>
  <c r="FS21" i="1" s="1"/>
  <c r="FG21" i="1"/>
  <c r="FE21" i="1"/>
  <c r="FD21" i="1"/>
  <c r="FA21" i="1"/>
  <c r="EZ21" i="1"/>
  <c r="EX21" i="1"/>
  <c r="EW21" i="1"/>
  <c r="EV21" i="1"/>
  <c r="EU21" i="1"/>
  <c r="ES21" i="1"/>
  <c r="ER21" i="1"/>
  <c r="EP21" i="1"/>
  <c r="EO21" i="1"/>
  <c r="EM21" i="1"/>
  <c r="EL21" i="1"/>
  <c r="EJ21" i="1"/>
  <c r="EI21" i="1"/>
  <c r="EH21" i="1"/>
  <c r="EF21" i="1"/>
  <c r="EE21" i="1"/>
  <c r="ED21" i="1"/>
  <c r="EB21" i="1"/>
  <c r="EA21" i="1"/>
  <c r="DZ21" i="1"/>
  <c r="DY21" i="1"/>
  <c r="DX21" i="1"/>
  <c r="DW21" i="1"/>
  <c r="DU21" i="1"/>
  <c r="DT21" i="1"/>
  <c r="DS21" i="1"/>
  <c r="DR21" i="1"/>
  <c r="DQ21" i="1"/>
  <c r="DO21" i="1"/>
  <c r="DN21" i="1"/>
  <c r="DM21" i="1"/>
  <c r="DK21" i="1"/>
  <c r="DJ21" i="1"/>
  <c r="DI21" i="1"/>
  <c r="DG21" i="1"/>
  <c r="DF21" i="1"/>
  <c r="DE21" i="1"/>
  <c r="DC21" i="1"/>
  <c r="DB21" i="1"/>
  <c r="DA21" i="1"/>
  <c r="CZ21" i="1"/>
  <c r="CW21" i="1"/>
  <c r="CV21" i="1"/>
  <c r="CX21" i="1" s="1"/>
  <c r="CT21" i="1"/>
  <c r="CS21" i="1"/>
  <c r="CR21" i="1"/>
  <c r="CP21" i="1"/>
  <c r="CO21" i="1"/>
  <c r="CN21" i="1"/>
  <c r="CM21" i="1"/>
  <c r="CL21" i="1"/>
  <c r="CJ21" i="1"/>
  <c r="CI21" i="1"/>
  <c r="CE21" i="1"/>
  <c r="CD21" i="1"/>
  <c r="CB21" i="1"/>
  <c r="CA21" i="1"/>
  <c r="BY21" i="1"/>
  <c r="BX21" i="1"/>
  <c r="BW21" i="1"/>
  <c r="BV21" i="1"/>
  <c r="BU21" i="1"/>
  <c r="BT21" i="1"/>
  <c r="BS21" i="1"/>
  <c r="BR21" i="1"/>
  <c r="BQ21" i="1"/>
  <c r="BP21" i="1"/>
  <c r="BN21" i="1"/>
  <c r="BL21" i="1"/>
  <c r="BK21" i="1"/>
  <c r="BJ21" i="1"/>
  <c r="BH21" i="1"/>
  <c r="BF21" i="1"/>
  <c r="BE21" i="1"/>
  <c r="BD21" i="1"/>
  <c r="BB21" i="1"/>
  <c r="AZ21" i="1"/>
  <c r="AY21" i="1"/>
  <c r="AX21" i="1"/>
  <c r="AV21" i="1"/>
  <c r="AT21" i="1"/>
  <c r="AR21" i="1"/>
  <c r="AQ21" i="1"/>
  <c r="AP21" i="1"/>
  <c r="AM21" i="1"/>
  <c r="AL21" i="1"/>
  <c r="AK21" i="1"/>
  <c r="AJ21" i="1"/>
  <c r="AI21" i="1"/>
  <c r="AF21" i="1"/>
  <c r="AE21" i="1"/>
  <c r="AC21" i="1"/>
  <c r="AB21" i="1"/>
  <c r="Z21" i="1"/>
  <c r="Y21" i="1"/>
  <c r="W21" i="1"/>
  <c r="V21" i="1"/>
  <c r="T21" i="1"/>
  <c r="R21" i="1"/>
  <c r="P21" i="1"/>
  <c r="O21" i="1"/>
  <c r="N21" i="1"/>
  <c r="M21" i="1"/>
  <c r="K21" i="1"/>
  <c r="J21" i="1"/>
  <c r="I21" i="1"/>
  <c r="H21" i="1"/>
  <c r="G21" i="1"/>
  <c r="F21" i="1"/>
  <c r="E21" i="1"/>
  <c r="D21" i="1"/>
  <c r="C21" i="1"/>
  <c r="B21" i="1"/>
  <c r="NO20" i="1"/>
  <c r="NM20" i="1"/>
  <c r="NL20" i="1"/>
  <c r="NK20" i="1"/>
  <c r="NJ20" i="1"/>
  <c r="ND20" i="1"/>
  <c r="NC20" i="1"/>
  <c r="NB20" i="1"/>
  <c r="MZ20" i="1"/>
  <c r="MY20" i="1"/>
  <c r="MX20" i="1"/>
  <c r="MV20" i="1"/>
  <c r="MU20" i="1"/>
  <c r="MT20" i="1"/>
  <c r="MR20" i="1"/>
  <c r="MQ20" i="1"/>
  <c r="MP20" i="1"/>
  <c r="MN20" i="1"/>
  <c r="MM20" i="1"/>
  <c r="ML20" i="1"/>
  <c r="MJ20" i="1"/>
  <c r="MI20" i="1"/>
  <c r="MH20" i="1"/>
  <c r="MG20" i="1"/>
  <c r="ME20" i="1"/>
  <c r="MD20" i="1"/>
  <c r="MB20" i="1"/>
  <c r="KS20" i="1"/>
  <c r="KR20" i="1"/>
  <c r="KQ20" i="1"/>
  <c r="KC20" i="1"/>
  <c r="KB20" i="1"/>
  <c r="JZ20" i="1"/>
  <c r="JY20" i="1"/>
  <c r="JC20" i="1"/>
  <c r="JB20" i="1"/>
  <c r="JA20" i="1"/>
  <c r="IZ20" i="1"/>
  <c r="IY20" i="1"/>
  <c r="IV20" i="1"/>
  <c r="IU20" i="1"/>
  <c r="IT20" i="1"/>
  <c r="IR20" i="1"/>
  <c r="IP20" i="1"/>
  <c r="IO20" i="1"/>
  <c r="IN20" i="1"/>
  <c r="IL20" i="1"/>
  <c r="IJ20" i="1"/>
  <c r="II20" i="1"/>
  <c r="IH20" i="1"/>
  <c r="IF20" i="1"/>
  <c r="IE20" i="1"/>
  <c r="IC20" i="1"/>
  <c r="IB20" i="1"/>
  <c r="HZ20" i="1"/>
  <c r="HY20" i="1"/>
  <c r="HW20" i="1"/>
  <c r="HU20" i="1"/>
  <c r="HT20" i="1"/>
  <c r="HR20" i="1"/>
  <c r="HQ20" i="1"/>
  <c r="HO20" i="1"/>
  <c r="HN20" i="1"/>
  <c r="GV20" i="1"/>
  <c r="GU20" i="1"/>
  <c r="GT20" i="1"/>
  <c r="GS20" i="1"/>
  <c r="GR20" i="1"/>
  <c r="GQ20" i="1"/>
  <c r="GP20" i="1"/>
  <c r="GO20" i="1"/>
  <c r="GN20" i="1"/>
  <c r="GM20" i="1"/>
  <c r="GL20" i="1"/>
  <c r="GK20" i="1"/>
  <c r="GJ20" i="1"/>
  <c r="GI20" i="1"/>
  <c r="FS20" i="1"/>
  <c r="FR20" i="1"/>
  <c r="FX20" i="1" s="1"/>
  <c r="FQ20" i="1"/>
  <c r="FP20" i="1"/>
  <c r="FU20" i="1" s="1"/>
  <c r="FV20" i="1" s="1"/>
  <c r="FO20" i="1"/>
  <c r="FN20" i="1"/>
  <c r="FL20" i="1"/>
  <c r="FK20" i="1"/>
  <c r="FJ20" i="1"/>
  <c r="FI20" i="1"/>
  <c r="FG20" i="1"/>
  <c r="FE20" i="1"/>
  <c r="FD20" i="1"/>
  <c r="FA20" i="1"/>
  <c r="EZ20" i="1"/>
  <c r="EX20" i="1"/>
  <c r="EW20" i="1"/>
  <c r="EV20" i="1"/>
  <c r="EU20" i="1"/>
  <c r="ES20" i="1"/>
  <c r="ER20" i="1"/>
  <c r="EP20" i="1"/>
  <c r="EO20" i="1"/>
  <c r="EM20" i="1"/>
  <c r="EL20" i="1"/>
  <c r="EJ20" i="1"/>
  <c r="EI20" i="1"/>
  <c r="EH20" i="1"/>
  <c r="EF20" i="1"/>
  <c r="EE20" i="1"/>
  <c r="ED20" i="1"/>
  <c r="EB20" i="1"/>
  <c r="EA20" i="1"/>
  <c r="DZ20" i="1"/>
  <c r="DY20" i="1"/>
  <c r="DX20" i="1"/>
  <c r="DW20" i="1"/>
  <c r="DU20" i="1"/>
  <c r="DT20" i="1"/>
  <c r="DS20" i="1"/>
  <c r="DR20" i="1"/>
  <c r="DQ20" i="1"/>
  <c r="DO20" i="1"/>
  <c r="DN20" i="1"/>
  <c r="DM20" i="1"/>
  <c r="DK20" i="1"/>
  <c r="DJ20" i="1"/>
  <c r="DI20" i="1"/>
  <c r="DG20" i="1"/>
  <c r="DF20" i="1"/>
  <c r="DE20" i="1"/>
  <c r="DC20" i="1"/>
  <c r="DB20" i="1"/>
  <c r="DA20" i="1"/>
  <c r="CZ20" i="1"/>
  <c r="CW20" i="1"/>
  <c r="CV20" i="1"/>
  <c r="CX20" i="1" s="1"/>
  <c r="CT20" i="1"/>
  <c r="CS20" i="1"/>
  <c r="CR20" i="1"/>
  <c r="CP20" i="1"/>
  <c r="CO20" i="1"/>
  <c r="CN20" i="1"/>
  <c r="CM20" i="1"/>
  <c r="CL20" i="1"/>
  <c r="CJ20" i="1"/>
  <c r="CI20" i="1"/>
  <c r="CE20" i="1"/>
  <c r="CD20" i="1"/>
  <c r="CB20" i="1"/>
  <c r="CA20" i="1"/>
  <c r="BY20" i="1"/>
  <c r="BX20" i="1"/>
  <c r="BW20" i="1"/>
  <c r="BV20" i="1"/>
  <c r="BU20" i="1"/>
  <c r="BT20" i="1"/>
  <c r="BS20" i="1"/>
  <c r="BR20" i="1"/>
  <c r="BQ20" i="1"/>
  <c r="BP20" i="1"/>
  <c r="BN20" i="1"/>
  <c r="BL20" i="1"/>
  <c r="BK20" i="1"/>
  <c r="BJ20" i="1"/>
  <c r="BH20" i="1"/>
  <c r="BF20" i="1"/>
  <c r="BE20" i="1"/>
  <c r="BD20" i="1"/>
  <c r="BB20" i="1"/>
  <c r="AZ20" i="1"/>
  <c r="AY20" i="1"/>
  <c r="AX20" i="1"/>
  <c r="AV20" i="1"/>
  <c r="AT20" i="1"/>
  <c r="AR20" i="1"/>
  <c r="AQ20" i="1"/>
  <c r="AP20" i="1"/>
  <c r="AM20" i="1"/>
  <c r="AL20" i="1"/>
  <c r="AK20" i="1"/>
  <c r="AJ20" i="1"/>
  <c r="AI20" i="1"/>
  <c r="AF20" i="1"/>
  <c r="AE20" i="1"/>
  <c r="AC20" i="1"/>
  <c r="AB20" i="1"/>
  <c r="Z20" i="1"/>
  <c r="Y20" i="1"/>
  <c r="W20" i="1"/>
  <c r="V20" i="1"/>
  <c r="T20" i="1"/>
  <c r="R20" i="1"/>
  <c r="P20" i="1"/>
  <c r="O20" i="1"/>
  <c r="N20" i="1"/>
  <c r="M20" i="1"/>
  <c r="K20" i="1"/>
  <c r="J20" i="1"/>
  <c r="I20" i="1"/>
  <c r="H20" i="1"/>
  <c r="G20" i="1"/>
  <c r="F20" i="1"/>
  <c r="E20" i="1"/>
  <c r="D20" i="1"/>
  <c r="C20" i="1"/>
  <c r="B20" i="1"/>
  <c r="NO19" i="1"/>
  <c r="NM19" i="1"/>
  <c r="NL19" i="1"/>
  <c r="NK19" i="1"/>
  <c r="NJ19" i="1"/>
  <c r="ND19" i="1"/>
  <c r="NC19" i="1"/>
  <c r="NB19" i="1"/>
  <c r="MZ19" i="1"/>
  <c r="MY19" i="1"/>
  <c r="MX19" i="1"/>
  <c r="MV19" i="1"/>
  <c r="MU19" i="1"/>
  <c r="MT19" i="1"/>
  <c r="MR19" i="1"/>
  <c r="MQ19" i="1"/>
  <c r="MP19" i="1"/>
  <c r="MN19" i="1"/>
  <c r="MM19" i="1"/>
  <c r="ML19" i="1"/>
  <c r="MJ19" i="1"/>
  <c r="MI19" i="1"/>
  <c r="MH19" i="1"/>
  <c r="MG19" i="1"/>
  <c r="ME19" i="1"/>
  <c r="MD19" i="1"/>
  <c r="MB19" i="1"/>
  <c r="KS19" i="1"/>
  <c r="KR19" i="1"/>
  <c r="KQ19" i="1"/>
  <c r="KC19" i="1"/>
  <c r="KB19" i="1"/>
  <c r="JZ19" i="1"/>
  <c r="JY19" i="1"/>
  <c r="JC19" i="1"/>
  <c r="JB19" i="1"/>
  <c r="JA19" i="1"/>
  <c r="IZ19" i="1"/>
  <c r="IY19" i="1"/>
  <c r="IV19" i="1"/>
  <c r="IU19" i="1"/>
  <c r="IT19" i="1"/>
  <c r="IR19" i="1"/>
  <c r="IP19" i="1"/>
  <c r="IO19" i="1"/>
  <c r="IN19" i="1"/>
  <c r="IL19" i="1"/>
  <c r="IJ19" i="1"/>
  <c r="II19" i="1"/>
  <c r="IH19" i="1"/>
  <c r="IF19" i="1"/>
  <c r="IE19" i="1"/>
  <c r="IC19" i="1"/>
  <c r="IB19" i="1"/>
  <c r="HZ19" i="1"/>
  <c r="HY19" i="1"/>
  <c r="HW19" i="1"/>
  <c r="HU19" i="1"/>
  <c r="HT19" i="1"/>
  <c r="HR19" i="1"/>
  <c r="HQ19" i="1"/>
  <c r="HO19" i="1"/>
  <c r="HN19" i="1"/>
  <c r="GV19" i="1"/>
  <c r="GU19" i="1"/>
  <c r="GT19" i="1"/>
  <c r="GS19" i="1"/>
  <c r="GR19" i="1"/>
  <c r="GQ19" i="1"/>
  <c r="GP19" i="1"/>
  <c r="GO19" i="1"/>
  <c r="GN19" i="1"/>
  <c r="GM19" i="1"/>
  <c r="GL19" i="1"/>
  <c r="GK19" i="1"/>
  <c r="GJ19" i="1"/>
  <c r="GI19" i="1"/>
  <c r="FS19" i="1"/>
  <c r="FQ19" i="1"/>
  <c r="FP19" i="1"/>
  <c r="FO19" i="1"/>
  <c r="FN19" i="1"/>
  <c r="FU19" i="1" s="1"/>
  <c r="FV19" i="1" s="1"/>
  <c r="FL19" i="1"/>
  <c r="FK19" i="1"/>
  <c r="FR19" i="1" s="1"/>
  <c r="FX19" i="1" s="1"/>
  <c r="FJ19" i="1"/>
  <c r="FI19" i="1"/>
  <c r="FG19" i="1"/>
  <c r="FE19" i="1"/>
  <c r="FD19" i="1"/>
  <c r="FA19" i="1"/>
  <c r="EZ19" i="1"/>
  <c r="EX19" i="1"/>
  <c r="EW19" i="1"/>
  <c r="EV19" i="1"/>
  <c r="EU19" i="1"/>
  <c r="ES19" i="1"/>
  <c r="ER19" i="1"/>
  <c r="EP19" i="1"/>
  <c r="EO19" i="1"/>
  <c r="EM19" i="1"/>
  <c r="EL19" i="1"/>
  <c r="EJ19" i="1"/>
  <c r="EI19" i="1"/>
  <c r="EH19" i="1"/>
  <c r="EF19" i="1"/>
  <c r="EE19" i="1"/>
  <c r="ED19" i="1"/>
  <c r="EB19" i="1"/>
  <c r="EA19" i="1"/>
  <c r="DZ19" i="1"/>
  <c r="DY19" i="1"/>
  <c r="DX19" i="1"/>
  <c r="DW19" i="1"/>
  <c r="DU19" i="1"/>
  <c r="DT19" i="1"/>
  <c r="DS19" i="1"/>
  <c r="DR19" i="1"/>
  <c r="DQ19" i="1"/>
  <c r="DO19" i="1"/>
  <c r="DN19" i="1"/>
  <c r="DM19" i="1"/>
  <c r="DK19" i="1"/>
  <c r="DJ19" i="1"/>
  <c r="DI19" i="1"/>
  <c r="DG19" i="1"/>
  <c r="DF19" i="1"/>
  <c r="DE19" i="1"/>
  <c r="DC19" i="1"/>
  <c r="DB19" i="1"/>
  <c r="DA19" i="1"/>
  <c r="CZ19" i="1"/>
  <c r="CX19" i="1"/>
  <c r="CW19" i="1"/>
  <c r="CV19" i="1"/>
  <c r="CT19" i="1"/>
  <c r="CS19" i="1"/>
  <c r="CR19" i="1"/>
  <c r="CP19" i="1"/>
  <c r="CO19" i="1"/>
  <c r="CN19" i="1"/>
  <c r="CM19" i="1"/>
  <c r="CL19" i="1"/>
  <c r="CJ19" i="1"/>
  <c r="CI19" i="1"/>
  <c r="CE19" i="1"/>
  <c r="CD19" i="1"/>
  <c r="CB19" i="1"/>
  <c r="CA19" i="1"/>
  <c r="BY19" i="1"/>
  <c r="BX19" i="1"/>
  <c r="BW19" i="1"/>
  <c r="BV19" i="1"/>
  <c r="BU19" i="1"/>
  <c r="BT19" i="1"/>
  <c r="BS19" i="1"/>
  <c r="BR19" i="1"/>
  <c r="BQ19" i="1"/>
  <c r="BP19" i="1"/>
  <c r="BN19" i="1"/>
  <c r="BL19" i="1"/>
  <c r="BK19" i="1"/>
  <c r="BJ19" i="1"/>
  <c r="BH19" i="1"/>
  <c r="BF19" i="1"/>
  <c r="BE19" i="1"/>
  <c r="BD19" i="1"/>
  <c r="BB19" i="1"/>
  <c r="AZ19" i="1"/>
  <c r="AY19" i="1"/>
  <c r="AX19" i="1"/>
  <c r="AV19" i="1"/>
  <c r="AT19" i="1"/>
  <c r="AR19" i="1"/>
  <c r="AQ19" i="1"/>
  <c r="AP19" i="1"/>
  <c r="AM19" i="1"/>
  <c r="AL19" i="1"/>
  <c r="AK19" i="1"/>
  <c r="AJ19" i="1"/>
  <c r="AI19" i="1"/>
  <c r="AF19" i="1"/>
  <c r="AE19" i="1"/>
  <c r="AC19" i="1"/>
  <c r="AB19" i="1"/>
  <c r="Z19" i="1"/>
  <c r="Y19" i="1"/>
  <c r="W19" i="1"/>
  <c r="V19" i="1"/>
  <c r="T19" i="1"/>
  <c r="R19" i="1"/>
  <c r="P19" i="1"/>
  <c r="O19" i="1"/>
  <c r="N19" i="1"/>
  <c r="M19" i="1"/>
  <c r="K19" i="1"/>
  <c r="J19" i="1"/>
  <c r="I19" i="1"/>
  <c r="H19" i="1"/>
  <c r="G19" i="1"/>
  <c r="F19" i="1"/>
  <c r="E19" i="1"/>
  <c r="D19" i="1"/>
  <c r="C19" i="1"/>
  <c r="B19" i="1"/>
  <c r="NO18" i="1"/>
  <c r="NM18" i="1"/>
  <c r="NL18" i="1"/>
  <c r="NK18" i="1"/>
  <c r="NJ18" i="1"/>
  <c r="ND18" i="1"/>
  <c r="NC18" i="1"/>
  <c r="NB18" i="1"/>
  <c r="MZ18" i="1"/>
  <c r="MY18" i="1"/>
  <c r="MX18" i="1"/>
  <c r="MV18" i="1"/>
  <c r="MU18" i="1"/>
  <c r="MT18" i="1"/>
  <c r="MR18" i="1"/>
  <c r="MQ18" i="1"/>
  <c r="MP18" i="1"/>
  <c r="MN18" i="1"/>
  <c r="MM18" i="1"/>
  <c r="ML18" i="1"/>
  <c r="MJ18" i="1"/>
  <c r="MI18" i="1"/>
  <c r="MH18" i="1"/>
  <c r="MG18" i="1"/>
  <c r="ME18" i="1"/>
  <c r="MD18" i="1"/>
  <c r="MB18" i="1"/>
  <c r="KS18" i="1"/>
  <c r="KR18" i="1"/>
  <c r="KQ18" i="1"/>
  <c r="KC18" i="1"/>
  <c r="KB18" i="1"/>
  <c r="JZ18" i="1"/>
  <c r="JY18" i="1"/>
  <c r="JC18" i="1"/>
  <c r="JB18" i="1"/>
  <c r="JA18" i="1"/>
  <c r="IZ18" i="1"/>
  <c r="IY18" i="1"/>
  <c r="IV18" i="1"/>
  <c r="IU18" i="1"/>
  <c r="IT18" i="1"/>
  <c r="IR18" i="1"/>
  <c r="IP18" i="1"/>
  <c r="IO18" i="1"/>
  <c r="IN18" i="1"/>
  <c r="IL18" i="1"/>
  <c r="IJ18" i="1"/>
  <c r="II18" i="1"/>
  <c r="IH18" i="1"/>
  <c r="IF18" i="1"/>
  <c r="IE18" i="1"/>
  <c r="IC18" i="1"/>
  <c r="IB18" i="1"/>
  <c r="HZ18" i="1"/>
  <c r="HY18" i="1"/>
  <c r="HW18" i="1"/>
  <c r="HU18" i="1"/>
  <c r="HT18" i="1"/>
  <c r="HR18" i="1"/>
  <c r="HQ18" i="1"/>
  <c r="HO18" i="1"/>
  <c r="HN18" i="1"/>
  <c r="GV18" i="1"/>
  <c r="GU18" i="1"/>
  <c r="GT18" i="1"/>
  <c r="GS18" i="1"/>
  <c r="GR18" i="1"/>
  <c r="GQ18" i="1"/>
  <c r="GP18" i="1"/>
  <c r="GO18" i="1"/>
  <c r="GN18" i="1"/>
  <c r="GM18" i="1"/>
  <c r="GL18" i="1"/>
  <c r="GK18" i="1"/>
  <c r="GJ18" i="1"/>
  <c r="GI18" i="1"/>
  <c r="FQ18" i="1"/>
  <c r="FP18" i="1"/>
  <c r="FO18" i="1"/>
  <c r="FN18" i="1"/>
  <c r="FL18" i="1"/>
  <c r="FK18" i="1"/>
  <c r="FR18" i="1" s="1"/>
  <c r="FX18" i="1" s="1"/>
  <c r="FJ18" i="1"/>
  <c r="FI18" i="1"/>
  <c r="FS18" i="1" s="1"/>
  <c r="FG18" i="1"/>
  <c r="FE18" i="1"/>
  <c r="FD18" i="1"/>
  <c r="FA18" i="1"/>
  <c r="EZ18" i="1"/>
  <c r="EX18" i="1"/>
  <c r="EW18" i="1"/>
  <c r="EV18" i="1"/>
  <c r="EU18" i="1"/>
  <c r="ES18" i="1"/>
  <c r="ER18" i="1"/>
  <c r="EP18" i="1"/>
  <c r="EO18" i="1"/>
  <c r="EM18" i="1"/>
  <c r="EL18" i="1"/>
  <c r="EJ18" i="1"/>
  <c r="EI18" i="1"/>
  <c r="EH18" i="1"/>
  <c r="EF18" i="1"/>
  <c r="EE18" i="1"/>
  <c r="ED18" i="1"/>
  <c r="EB18" i="1"/>
  <c r="EA18" i="1"/>
  <c r="DZ18" i="1"/>
  <c r="DY18" i="1"/>
  <c r="DX18" i="1"/>
  <c r="DW18" i="1"/>
  <c r="DU18" i="1"/>
  <c r="DT18" i="1"/>
  <c r="DS18" i="1"/>
  <c r="DR18" i="1"/>
  <c r="DQ18" i="1"/>
  <c r="DO18" i="1"/>
  <c r="DN18" i="1"/>
  <c r="DM18" i="1"/>
  <c r="DK18" i="1"/>
  <c r="DJ18" i="1"/>
  <c r="DI18" i="1"/>
  <c r="DG18" i="1"/>
  <c r="DF18" i="1"/>
  <c r="DE18" i="1"/>
  <c r="DC18" i="1"/>
  <c r="DB18" i="1"/>
  <c r="DA18" i="1"/>
  <c r="CZ18" i="1"/>
  <c r="CW18" i="1"/>
  <c r="CV18" i="1"/>
  <c r="CX18" i="1" s="1"/>
  <c r="CT18" i="1"/>
  <c r="CS18" i="1"/>
  <c r="CR18" i="1"/>
  <c r="CP18" i="1"/>
  <c r="CO18" i="1"/>
  <c r="CN18" i="1"/>
  <c r="CM18" i="1"/>
  <c r="CL18" i="1"/>
  <c r="CJ18" i="1"/>
  <c r="CI18" i="1"/>
  <c r="CE18" i="1"/>
  <c r="CD18" i="1"/>
  <c r="CB18" i="1"/>
  <c r="CA18" i="1"/>
  <c r="BY18" i="1"/>
  <c r="BX18" i="1"/>
  <c r="BW18" i="1"/>
  <c r="BV18" i="1"/>
  <c r="BU18" i="1"/>
  <c r="BT18" i="1"/>
  <c r="BS18" i="1"/>
  <c r="BR18" i="1"/>
  <c r="BQ18" i="1"/>
  <c r="BP18" i="1"/>
  <c r="BN18" i="1"/>
  <c r="BL18" i="1"/>
  <c r="BK18" i="1"/>
  <c r="BJ18" i="1"/>
  <c r="BH18" i="1"/>
  <c r="BF18" i="1"/>
  <c r="BE18" i="1"/>
  <c r="BD18" i="1"/>
  <c r="BB18" i="1"/>
  <c r="AZ18" i="1"/>
  <c r="AY18" i="1"/>
  <c r="AX18" i="1"/>
  <c r="AV18" i="1"/>
  <c r="AT18" i="1"/>
  <c r="AR18" i="1"/>
  <c r="AQ18" i="1"/>
  <c r="AP18" i="1"/>
  <c r="AM18" i="1"/>
  <c r="AL18" i="1"/>
  <c r="AK18" i="1"/>
  <c r="AJ18" i="1"/>
  <c r="AI18" i="1"/>
  <c r="AF18" i="1"/>
  <c r="AE18" i="1"/>
  <c r="AC18" i="1"/>
  <c r="AB18" i="1"/>
  <c r="Z18" i="1"/>
  <c r="Y18" i="1"/>
  <c r="W18" i="1"/>
  <c r="V18" i="1"/>
  <c r="T18" i="1"/>
  <c r="R18" i="1"/>
  <c r="P18" i="1"/>
  <c r="O18" i="1"/>
  <c r="N18" i="1"/>
  <c r="M18" i="1"/>
  <c r="K18" i="1"/>
  <c r="J18" i="1"/>
  <c r="I18" i="1"/>
  <c r="H18" i="1"/>
  <c r="G18" i="1"/>
  <c r="F18" i="1"/>
  <c r="E18" i="1"/>
  <c r="D18" i="1"/>
  <c r="C18" i="1"/>
  <c r="B18" i="1"/>
  <c r="NO17" i="1"/>
  <c r="NM17" i="1"/>
  <c r="NL17" i="1"/>
  <c r="NK17" i="1"/>
  <c r="NJ17" i="1"/>
  <c r="ND17" i="1"/>
  <c r="NC17" i="1"/>
  <c r="NB17" i="1"/>
  <c r="MZ17" i="1"/>
  <c r="MY17" i="1"/>
  <c r="MX17" i="1"/>
  <c r="MV17" i="1"/>
  <c r="MU17" i="1"/>
  <c r="MT17" i="1"/>
  <c r="MR17" i="1"/>
  <c r="MQ17" i="1"/>
  <c r="MP17" i="1"/>
  <c r="MN17" i="1"/>
  <c r="MM17" i="1"/>
  <c r="ML17" i="1"/>
  <c r="MJ17" i="1"/>
  <c r="MI17" i="1"/>
  <c r="MH17" i="1"/>
  <c r="MG17" i="1"/>
  <c r="ME17" i="1"/>
  <c r="MD17" i="1"/>
  <c r="MB17" i="1"/>
  <c r="KS17" i="1"/>
  <c r="KR17" i="1"/>
  <c r="KQ17" i="1"/>
  <c r="KC17" i="1"/>
  <c r="KB17" i="1"/>
  <c r="JZ17" i="1"/>
  <c r="JY17" i="1"/>
  <c r="JC17" i="1"/>
  <c r="JB17" i="1"/>
  <c r="JA17" i="1"/>
  <c r="IZ17" i="1"/>
  <c r="IY17" i="1"/>
  <c r="IV17" i="1"/>
  <c r="IU17" i="1"/>
  <c r="IT17" i="1"/>
  <c r="IR17" i="1"/>
  <c r="IP17" i="1"/>
  <c r="IO17" i="1"/>
  <c r="IN17" i="1"/>
  <c r="IL17" i="1"/>
  <c r="IJ17" i="1"/>
  <c r="II17" i="1"/>
  <c r="IH17" i="1"/>
  <c r="IF17" i="1"/>
  <c r="IE17" i="1"/>
  <c r="IC17" i="1"/>
  <c r="IB17" i="1"/>
  <c r="HZ17" i="1"/>
  <c r="HY17" i="1"/>
  <c r="HW17" i="1"/>
  <c r="HU17" i="1"/>
  <c r="HT17" i="1"/>
  <c r="HR17" i="1"/>
  <c r="HQ17" i="1"/>
  <c r="HO17" i="1"/>
  <c r="HN17" i="1"/>
  <c r="GV17" i="1"/>
  <c r="GU17" i="1"/>
  <c r="GT17" i="1"/>
  <c r="GS17" i="1"/>
  <c r="GR17" i="1"/>
  <c r="GQ17" i="1"/>
  <c r="GP17" i="1"/>
  <c r="GO17" i="1"/>
  <c r="GN17" i="1"/>
  <c r="GM17" i="1"/>
  <c r="GL17" i="1"/>
  <c r="GK17" i="1"/>
  <c r="GJ17" i="1"/>
  <c r="GI17" i="1"/>
  <c r="FS17" i="1"/>
  <c r="FR17" i="1"/>
  <c r="FX17" i="1" s="1"/>
  <c r="FQ17" i="1"/>
  <c r="FP17" i="1"/>
  <c r="FT17" i="1" s="1"/>
  <c r="FO17" i="1"/>
  <c r="FN17" i="1"/>
  <c r="FL17" i="1"/>
  <c r="FK17" i="1"/>
  <c r="FJ17" i="1"/>
  <c r="FI17" i="1"/>
  <c r="FG17" i="1"/>
  <c r="FE17" i="1"/>
  <c r="FD17" i="1"/>
  <c r="FA17" i="1"/>
  <c r="EZ17" i="1"/>
  <c r="EX17" i="1"/>
  <c r="EW17" i="1"/>
  <c r="EV17" i="1"/>
  <c r="EU17" i="1"/>
  <c r="ES17" i="1"/>
  <c r="ER17" i="1"/>
  <c r="EP17" i="1"/>
  <c r="EO17" i="1"/>
  <c r="EM17" i="1"/>
  <c r="EL17" i="1"/>
  <c r="EJ17" i="1"/>
  <c r="EI17" i="1"/>
  <c r="EH17" i="1"/>
  <c r="EF17" i="1"/>
  <c r="EE17" i="1"/>
  <c r="ED17" i="1"/>
  <c r="EB17" i="1"/>
  <c r="EA17" i="1"/>
  <c r="DZ17" i="1"/>
  <c r="DY17" i="1"/>
  <c r="DX17" i="1"/>
  <c r="DW17" i="1"/>
  <c r="DU17" i="1"/>
  <c r="DT17" i="1"/>
  <c r="DS17" i="1"/>
  <c r="DR17" i="1"/>
  <c r="DQ17" i="1"/>
  <c r="DO17" i="1"/>
  <c r="DN17" i="1"/>
  <c r="DM17" i="1"/>
  <c r="DK17" i="1"/>
  <c r="DJ17" i="1"/>
  <c r="DI17" i="1"/>
  <c r="DG17" i="1"/>
  <c r="DF17" i="1"/>
  <c r="DE17" i="1"/>
  <c r="DC17" i="1"/>
  <c r="DB17" i="1"/>
  <c r="DA17" i="1"/>
  <c r="CZ17" i="1"/>
  <c r="CW17" i="1"/>
  <c r="CV17" i="1"/>
  <c r="CX17" i="1" s="1"/>
  <c r="CT17" i="1"/>
  <c r="CS17" i="1"/>
  <c r="CR17" i="1"/>
  <c r="CP17" i="1"/>
  <c r="CO17" i="1"/>
  <c r="CN17" i="1"/>
  <c r="CM17" i="1"/>
  <c r="CL17" i="1"/>
  <c r="CJ17" i="1"/>
  <c r="CI17" i="1"/>
  <c r="CE17" i="1"/>
  <c r="CD17" i="1"/>
  <c r="CB17" i="1"/>
  <c r="CA17" i="1"/>
  <c r="BY17" i="1"/>
  <c r="BX17" i="1"/>
  <c r="BW17" i="1"/>
  <c r="BV17" i="1"/>
  <c r="BU17" i="1"/>
  <c r="BT17" i="1"/>
  <c r="BS17" i="1"/>
  <c r="BR17" i="1"/>
  <c r="BQ17" i="1"/>
  <c r="BP17" i="1"/>
  <c r="BN17" i="1"/>
  <c r="BL17" i="1"/>
  <c r="BK17" i="1"/>
  <c r="BJ17" i="1"/>
  <c r="BH17" i="1"/>
  <c r="BF17" i="1"/>
  <c r="BE17" i="1"/>
  <c r="BD17" i="1"/>
  <c r="BB17" i="1"/>
  <c r="AZ17" i="1"/>
  <c r="AY17" i="1"/>
  <c r="AX17" i="1"/>
  <c r="AV17" i="1"/>
  <c r="AT17" i="1"/>
  <c r="AR17" i="1"/>
  <c r="AQ17" i="1"/>
  <c r="AP17" i="1"/>
  <c r="AM17" i="1"/>
  <c r="AL17" i="1"/>
  <c r="AK17" i="1"/>
  <c r="AJ17" i="1"/>
  <c r="AI17" i="1"/>
  <c r="AF17" i="1"/>
  <c r="AE17" i="1"/>
  <c r="AC17" i="1"/>
  <c r="AB17" i="1"/>
  <c r="Z17" i="1"/>
  <c r="Y17" i="1"/>
  <c r="W17" i="1"/>
  <c r="V17" i="1"/>
  <c r="T17" i="1"/>
  <c r="R17" i="1"/>
  <c r="P17" i="1"/>
  <c r="O17" i="1"/>
  <c r="N17" i="1"/>
  <c r="M17" i="1"/>
  <c r="K17" i="1"/>
  <c r="J17" i="1"/>
  <c r="I17" i="1"/>
  <c r="H17" i="1"/>
  <c r="G17" i="1"/>
  <c r="F17" i="1"/>
  <c r="E17" i="1"/>
  <c r="D17" i="1"/>
  <c r="C17" i="1"/>
  <c r="B17" i="1"/>
  <c r="NO16" i="1"/>
  <c r="NM16" i="1"/>
  <c r="NL16" i="1"/>
  <c r="NK16" i="1"/>
  <c r="NJ16" i="1"/>
  <c r="ND16" i="1"/>
  <c r="NC16" i="1"/>
  <c r="NB16" i="1"/>
  <c r="MZ16" i="1"/>
  <c r="MY16" i="1"/>
  <c r="MX16" i="1"/>
  <c r="MV16" i="1"/>
  <c r="MU16" i="1"/>
  <c r="MT16" i="1"/>
  <c r="MR16" i="1"/>
  <c r="MQ16" i="1"/>
  <c r="MP16" i="1"/>
  <c r="MN16" i="1"/>
  <c r="MM16" i="1"/>
  <c r="ML16" i="1"/>
  <c r="MJ16" i="1"/>
  <c r="MI16" i="1"/>
  <c r="MH16" i="1"/>
  <c r="MG16" i="1"/>
  <c r="ME16" i="1"/>
  <c r="MD16" i="1"/>
  <c r="MB16" i="1"/>
  <c r="KS16" i="1"/>
  <c r="KR16" i="1"/>
  <c r="KQ16" i="1"/>
  <c r="KC16" i="1"/>
  <c r="KB16" i="1"/>
  <c r="JZ16" i="1"/>
  <c r="JY16" i="1"/>
  <c r="JC16" i="1"/>
  <c r="JB16" i="1"/>
  <c r="JA16" i="1"/>
  <c r="IZ16" i="1"/>
  <c r="IY16" i="1"/>
  <c r="IV16" i="1"/>
  <c r="IU16" i="1"/>
  <c r="IT16" i="1"/>
  <c r="IR16" i="1"/>
  <c r="IP16" i="1"/>
  <c r="IO16" i="1"/>
  <c r="IN16" i="1"/>
  <c r="IL16" i="1"/>
  <c r="IJ16" i="1"/>
  <c r="II16" i="1"/>
  <c r="IH16" i="1"/>
  <c r="IF16" i="1"/>
  <c r="IE16" i="1"/>
  <c r="IC16" i="1"/>
  <c r="IB16" i="1"/>
  <c r="HZ16" i="1"/>
  <c r="HY16" i="1"/>
  <c r="HW16" i="1"/>
  <c r="HU16" i="1"/>
  <c r="HT16" i="1"/>
  <c r="HR16" i="1"/>
  <c r="HQ16" i="1"/>
  <c r="HO16" i="1"/>
  <c r="HN16" i="1"/>
  <c r="GV16" i="1"/>
  <c r="GU16" i="1"/>
  <c r="GT16" i="1"/>
  <c r="GS16" i="1"/>
  <c r="GR16" i="1"/>
  <c r="GQ16" i="1"/>
  <c r="GP16" i="1"/>
  <c r="GO16" i="1"/>
  <c r="GN16" i="1"/>
  <c r="GM16" i="1"/>
  <c r="GL16" i="1"/>
  <c r="GK16" i="1"/>
  <c r="GJ16" i="1"/>
  <c r="GI16" i="1"/>
  <c r="FS16" i="1"/>
  <c r="FQ16" i="1"/>
  <c r="FP16" i="1"/>
  <c r="FO16" i="1"/>
  <c r="FN16" i="1"/>
  <c r="FU16" i="1" s="1"/>
  <c r="FL16" i="1"/>
  <c r="FK16" i="1"/>
  <c r="FR16" i="1" s="1"/>
  <c r="FX16" i="1" s="1"/>
  <c r="FJ16" i="1"/>
  <c r="FI16" i="1"/>
  <c r="FG16" i="1"/>
  <c r="FE16" i="1"/>
  <c r="FD16" i="1"/>
  <c r="FA16" i="1"/>
  <c r="EZ16" i="1"/>
  <c r="EX16" i="1"/>
  <c r="EW16" i="1"/>
  <c r="EV16" i="1"/>
  <c r="EU16" i="1"/>
  <c r="ES16" i="1"/>
  <c r="ER16" i="1"/>
  <c r="EP16" i="1"/>
  <c r="EO16" i="1"/>
  <c r="EM16" i="1"/>
  <c r="EL16" i="1"/>
  <c r="EJ16" i="1"/>
  <c r="EI16" i="1"/>
  <c r="EH16" i="1"/>
  <c r="EF16" i="1"/>
  <c r="EE16" i="1"/>
  <c r="ED16" i="1"/>
  <c r="EB16" i="1"/>
  <c r="EA16" i="1"/>
  <c r="DZ16" i="1"/>
  <c r="DY16" i="1"/>
  <c r="DX16" i="1"/>
  <c r="DW16" i="1"/>
  <c r="DU16" i="1"/>
  <c r="DT16" i="1"/>
  <c r="DS16" i="1"/>
  <c r="DR16" i="1"/>
  <c r="DQ16" i="1"/>
  <c r="DO16" i="1"/>
  <c r="DN16" i="1"/>
  <c r="DM16" i="1"/>
  <c r="DK16" i="1"/>
  <c r="DJ16" i="1"/>
  <c r="DI16" i="1"/>
  <c r="DG16" i="1"/>
  <c r="DF16" i="1"/>
  <c r="DE16" i="1"/>
  <c r="DC16" i="1"/>
  <c r="DB16" i="1"/>
  <c r="DA16" i="1"/>
  <c r="CZ16" i="1"/>
  <c r="CX16" i="1"/>
  <c r="CW16" i="1"/>
  <c r="CV16" i="1"/>
  <c r="CT16" i="1"/>
  <c r="CS16" i="1"/>
  <c r="CR16" i="1"/>
  <c r="CP16" i="1"/>
  <c r="CO16" i="1"/>
  <c r="CN16" i="1"/>
  <c r="CM16" i="1"/>
  <c r="CL16" i="1"/>
  <c r="CJ16" i="1"/>
  <c r="CI16" i="1"/>
  <c r="CE16" i="1"/>
  <c r="CD16" i="1"/>
  <c r="CB16" i="1"/>
  <c r="CA16" i="1"/>
  <c r="BY16" i="1"/>
  <c r="BX16" i="1"/>
  <c r="BW16" i="1"/>
  <c r="BV16" i="1"/>
  <c r="BU16" i="1"/>
  <c r="BT16" i="1"/>
  <c r="BS16" i="1"/>
  <c r="BR16" i="1"/>
  <c r="BQ16" i="1"/>
  <c r="BP16" i="1"/>
  <c r="BN16" i="1"/>
  <c r="BL16" i="1"/>
  <c r="BK16" i="1"/>
  <c r="BJ16" i="1"/>
  <c r="BH16" i="1"/>
  <c r="BF16" i="1"/>
  <c r="BE16" i="1"/>
  <c r="BD16" i="1"/>
  <c r="BB16" i="1"/>
  <c r="AZ16" i="1"/>
  <c r="AY16" i="1"/>
  <c r="AX16" i="1"/>
  <c r="AV16" i="1"/>
  <c r="AT16" i="1"/>
  <c r="AR16" i="1"/>
  <c r="AQ16" i="1"/>
  <c r="AP16" i="1"/>
  <c r="AM16" i="1"/>
  <c r="AL16" i="1"/>
  <c r="AK16" i="1"/>
  <c r="AJ16" i="1"/>
  <c r="AI16" i="1"/>
  <c r="AF16" i="1"/>
  <c r="AE16" i="1"/>
  <c r="AC16" i="1"/>
  <c r="AB16" i="1"/>
  <c r="Z16" i="1"/>
  <c r="Y16" i="1"/>
  <c r="W16" i="1"/>
  <c r="V16" i="1"/>
  <c r="T16" i="1"/>
  <c r="R16" i="1"/>
  <c r="P16" i="1"/>
  <c r="O16" i="1"/>
  <c r="N16" i="1"/>
  <c r="M16" i="1"/>
  <c r="K16" i="1"/>
  <c r="J16" i="1"/>
  <c r="I16" i="1"/>
  <c r="H16" i="1"/>
  <c r="G16" i="1"/>
  <c r="F16" i="1"/>
  <c r="E16" i="1"/>
  <c r="D16" i="1"/>
  <c r="C16" i="1"/>
  <c r="B16" i="1"/>
  <c r="NO15" i="1"/>
  <c r="NM15" i="1"/>
  <c r="NL15" i="1"/>
  <c r="NK15" i="1"/>
  <c r="NJ15" i="1"/>
  <c r="ND15" i="1"/>
  <c r="NC15" i="1"/>
  <c r="NB15" i="1"/>
  <c r="MZ15" i="1"/>
  <c r="MY15" i="1"/>
  <c r="MX15" i="1"/>
  <c r="MV15" i="1"/>
  <c r="MU15" i="1"/>
  <c r="MT15" i="1"/>
  <c r="MR15" i="1"/>
  <c r="MQ15" i="1"/>
  <c r="MP15" i="1"/>
  <c r="MN15" i="1"/>
  <c r="MM15" i="1"/>
  <c r="ML15" i="1"/>
  <c r="MJ15" i="1"/>
  <c r="MI15" i="1"/>
  <c r="MH15" i="1"/>
  <c r="MG15" i="1"/>
  <c r="ME15" i="1"/>
  <c r="MD15" i="1"/>
  <c r="MB15" i="1"/>
  <c r="KS15" i="1"/>
  <c r="KR15" i="1"/>
  <c r="KQ15" i="1"/>
  <c r="KC15" i="1"/>
  <c r="KB15" i="1"/>
  <c r="JZ15" i="1"/>
  <c r="JY15" i="1"/>
  <c r="JC15" i="1"/>
  <c r="JB15" i="1"/>
  <c r="JA15" i="1"/>
  <c r="IZ15" i="1"/>
  <c r="IY15" i="1"/>
  <c r="IV15" i="1"/>
  <c r="IU15" i="1"/>
  <c r="IT15" i="1"/>
  <c r="IR15" i="1"/>
  <c r="IP15" i="1"/>
  <c r="IO15" i="1"/>
  <c r="IN15" i="1"/>
  <c r="IL15" i="1"/>
  <c r="IJ15" i="1"/>
  <c r="II15" i="1"/>
  <c r="IH15" i="1"/>
  <c r="IF15" i="1"/>
  <c r="IE15" i="1"/>
  <c r="IC15" i="1"/>
  <c r="IB15" i="1"/>
  <c r="HZ15" i="1"/>
  <c r="HY15" i="1"/>
  <c r="HW15" i="1"/>
  <c r="HU15" i="1"/>
  <c r="HT15" i="1"/>
  <c r="HR15" i="1"/>
  <c r="HQ15" i="1"/>
  <c r="HO15" i="1"/>
  <c r="HN15" i="1"/>
  <c r="GV15" i="1"/>
  <c r="GU15" i="1"/>
  <c r="GT15" i="1"/>
  <c r="GS15" i="1"/>
  <c r="GR15" i="1"/>
  <c r="GQ15" i="1"/>
  <c r="GP15" i="1"/>
  <c r="GO15" i="1"/>
  <c r="GN15" i="1"/>
  <c r="GM15" i="1"/>
  <c r="GL15" i="1"/>
  <c r="GK15" i="1"/>
  <c r="GJ15" i="1"/>
  <c r="GI15" i="1"/>
  <c r="FQ15" i="1"/>
  <c r="FP15" i="1"/>
  <c r="FO15" i="1"/>
  <c r="FN15" i="1"/>
  <c r="FL15" i="1"/>
  <c r="FK15" i="1"/>
  <c r="FR15" i="1" s="1"/>
  <c r="FX15" i="1" s="1"/>
  <c r="FJ15" i="1"/>
  <c r="FI15" i="1"/>
  <c r="FS15" i="1" s="1"/>
  <c r="FG15" i="1"/>
  <c r="FE15" i="1"/>
  <c r="FD15" i="1"/>
  <c r="FA15" i="1"/>
  <c r="EZ15" i="1"/>
  <c r="EX15" i="1"/>
  <c r="EW15" i="1"/>
  <c r="EV15" i="1"/>
  <c r="EU15" i="1"/>
  <c r="ES15" i="1"/>
  <c r="ER15" i="1"/>
  <c r="EP15" i="1"/>
  <c r="EO15" i="1"/>
  <c r="EM15" i="1"/>
  <c r="EL15" i="1"/>
  <c r="EJ15" i="1"/>
  <c r="EI15" i="1"/>
  <c r="EH15" i="1"/>
  <c r="EF15" i="1"/>
  <c r="EE15" i="1"/>
  <c r="ED15" i="1"/>
  <c r="EB15" i="1"/>
  <c r="EA15" i="1"/>
  <c r="DZ15" i="1"/>
  <c r="DY15" i="1"/>
  <c r="DX15" i="1"/>
  <c r="DW15" i="1"/>
  <c r="DU15" i="1"/>
  <c r="DT15" i="1"/>
  <c r="DS15" i="1"/>
  <c r="DR15" i="1"/>
  <c r="DQ15" i="1"/>
  <c r="DO15" i="1"/>
  <c r="DN15" i="1"/>
  <c r="DM15" i="1"/>
  <c r="DK15" i="1"/>
  <c r="DJ15" i="1"/>
  <c r="DI15" i="1"/>
  <c r="DG15" i="1"/>
  <c r="DF15" i="1"/>
  <c r="DE15" i="1"/>
  <c r="DC15" i="1"/>
  <c r="DB15" i="1"/>
  <c r="DA15" i="1"/>
  <c r="CZ15" i="1"/>
  <c r="CW15" i="1"/>
  <c r="CV15" i="1"/>
  <c r="CX15" i="1" s="1"/>
  <c r="CT15" i="1"/>
  <c r="CS15" i="1"/>
  <c r="CR15" i="1"/>
  <c r="CP15" i="1"/>
  <c r="CO15" i="1"/>
  <c r="CN15" i="1"/>
  <c r="CM15" i="1"/>
  <c r="CL15" i="1"/>
  <c r="CJ15" i="1"/>
  <c r="CI15" i="1"/>
  <c r="CE15" i="1"/>
  <c r="CD15" i="1"/>
  <c r="CB15" i="1"/>
  <c r="CA15" i="1"/>
  <c r="BY15" i="1"/>
  <c r="BX15" i="1"/>
  <c r="BW15" i="1"/>
  <c r="BV15" i="1"/>
  <c r="BU15" i="1"/>
  <c r="BT15" i="1"/>
  <c r="BS15" i="1"/>
  <c r="BR15" i="1"/>
  <c r="BQ15" i="1"/>
  <c r="BP15" i="1"/>
  <c r="BN15" i="1"/>
  <c r="BL15" i="1"/>
  <c r="BK15" i="1"/>
  <c r="BJ15" i="1"/>
  <c r="BH15" i="1"/>
  <c r="BF15" i="1"/>
  <c r="BE15" i="1"/>
  <c r="BD15" i="1"/>
  <c r="BB15" i="1"/>
  <c r="AZ15" i="1"/>
  <c r="AY15" i="1"/>
  <c r="AX15" i="1"/>
  <c r="AV15" i="1"/>
  <c r="AT15" i="1"/>
  <c r="AR15" i="1"/>
  <c r="AQ15" i="1"/>
  <c r="AP15" i="1"/>
  <c r="AM15" i="1"/>
  <c r="AL15" i="1"/>
  <c r="AK15" i="1"/>
  <c r="AJ15" i="1"/>
  <c r="AI15" i="1"/>
  <c r="AF15" i="1"/>
  <c r="AE15" i="1"/>
  <c r="AC15" i="1"/>
  <c r="AB15" i="1"/>
  <c r="Z15" i="1"/>
  <c r="Y15" i="1"/>
  <c r="W15" i="1"/>
  <c r="V15" i="1"/>
  <c r="T15" i="1"/>
  <c r="R15" i="1"/>
  <c r="P15" i="1"/>
  <c r="O15" i="1"/>
  <c r="N15" i="1"/>
  <c r="M15" i="1"/>
  <c r="K15" i="1"/>
  <c r="J15" i="1"/>
  <c r="I15" i="1"/>
  <c r="H15" i="1"/>
  <c r="G15" i="1"/>
  <c r="F15" i="1"/>
  <c r="E15" i="1"/>
  <c r="D15" i="1"/>
  <c r="C15" i="1"/>
  <c r="B15" i="1"/>
  <c r="NO14" i="1"/>
  <c r="NM14" i="1"/>
  <c r="NL14" i="1"/>
  <c r="NK14" i="1"/>
  <c r="NJ14" i="1"/>
  <c r="ND14" i="1"/>
  <c r="NC14" i="1"/>
  <c r="NB14" i="1"/>
  <c r="MZ14" i="1"/>
  <c r="MY14" i="1"/>
  <c r="MX14" i="1"/>
  <c r="MV14" i="1"/>
  <c r="MU14" i="1"/>
  <c r="MT14" i="1"/>
  <c r="MR14" i="1"/>
  <c r="MQ14" i="1"/>
  <c r="MP14" i="1"/>
  <c r="MN14" i="1"/>
  <c r="MM14" i="1"/>
  <c r="ML14" i="1"/>
  <c r="MJ14" i="1"/>
  <c r="MI14" i="1"/>
  <c r="MH14" i="1"/>
  <c r="MG14" i="1"/>
  <c r="ME14" i="1"/>
  <c r="MD14" i="1"/>
  <c r="MB14" i="1"/>
  <c r="KS14" i="1"/>
  <c r="KR14" i="1"/>
  <c r="KQ14" i="1"/>
  <c r="KC14" i="1"/>
  <c r="KB14" i="1"/>
  <c r="JZ14" i="1"/>
  <c r="JY14" i="1"/>
  <c r="JC14" i="1"/>
  <c r="JB14" i="1"/>
  <c r="JA14" i="1"/>
  <c r="IZ14" i="1"/>
  <c r="IY14" i="1"/>
  <c r="IV14" i="1"/>
  <c r="IU14" i="1"/>
  <c r="IT14" i="1"/>
  <c r="IR14" i="1"/>
  <c r="IP14" i="1"/>
  <c r="IO14" i="1"/>
  <c r="IN14" i="1"/>
  <c r="IL14" i="1"/>
  <c r="IJ14" i="1"/>
  <c r="II14" i="1"/>
  <c r="IH14" i="1"/>
  <c r="IF14" i="1"/>
  <c r="IE14" i="1"/>
  <c r="IC14" i="1"/>
  <c r="IB14" i="1"/>
  <c r="HZ14" i="1"/>
  <c r="HY14" i="1"/>
  <c r="HW14" i="1"/>
  <c r="HU14" i="1"/>
  <c r="HT14" i="1"/>
  <c r="HR14" i="1"/>
  <c r="HQ14" i="1"/>
  <c r="HO14" i="1"/>
  <c r="HN14" i="1"/>
  <c r="GV14" i="1"/>
  <c r="GU14" i="1"/>
  <c r="GT14" i="1"/>
  <c r="GS14" i="1"/>
  <c r="GR14" i="1"/>
  <c r="GQ14" i="1"/>
  <c r="GP14" i="1"/>
  <c r="GO14" i="1"/>
  <c r="GN14" i="1"/>
  <c r="GM14" i="1"/>
  <c r="GL14" i="1"/>
  <c r="GK14" i="1"/>
  <c r="GJ14" i="1"/>
  <c r="GI14" i="1"/>
  <c r="FS14" i="1"/>
  <c r="FR14" i="1"/>
  <c r="FX14" i="1" s="1"/>
  <c r="FQ14" i="1"/>
  <c r="FP14" i="1"/>
  <c r="FT14" i="1" s="1"/>
  <c r="FO14" i="1"/>
  <c r="FN14" i="1"/>
  <c r="FL14" i="1"/>
  <c r="FK14" i="1"/>
  <c r="FJ14" i="1"/>
  <c r="FI14" i="1"/>
  <c r="FG14" i="1"/>
  <c r="FE14" i="1"/>
  <c r="FD14" i="1"/>
  <c r="FA14" i="1"/>
  <c r="EZ14" i="1"/>
  <c r="EX14" i="1"/>
  <c r="EW14" i="1"/>
  <c r="EV14" i="1"/>
  <c r="EU14" i="1"/>
  <c r="ES14" i="1"/>
  <c r="ER14" i="1"/>
  <c r="EP14" i="1"/>
  <c r="EO14" i="1"/>
  <c r="EM14" i="1"/>
  <c r="EL14" i="1"/>
  <c r="EJ14" i="1"/>
  <c r="EI14" i="1"/>
  <c r="EH14" i="1"/>
  <c r="EF14" i="1"/>
  <c r="EE14" i="1"/>
  <c r="ED14" i="1"/>
  <c r="EB14" i="1"/>
  <c r="EA14" i="1"/>
  <c r="DZ14" i="1"/>
  <c r="DY14" i="1"/>
  <c r="DX14" i="1"/>
  <c r="DW14" i="1"/>
  <c r="DU14" i="1"/>
  <c r="DT14" i="1"/>
  <c r="DS14" i="1"/>
  <c r="DR14" i="1"/>
  <c r="DQ14" i="1"/>
  <c r="DO14" i="1"/>
  <c r="DN14" i="1"/>
  <c r="DM14" i="1"/>
  <c r="DK14" i="1"/>
  <c r="DJ14" i="1"/>
  <c r="DI14" i="1"/>
  <c r="DG14" i="1"/>
  <c r="DF14" i="1"/>
  <c r="DE14" i="1"/>
  <c r="DC14" i="1"/>
  <c r="DB14" i="1"/>
  <c r="DA14" i="1"/>
  <c r="CZ14" i="1"/>
  <c r="CW14" i="1"/>
  <c r="CV14" i="1"/>
  <c r="CX14" i="1" s="1"/>
  <c r="CT14" i="1"/>
  <c r="CS14" i="1"/>
  <c r="CR14" i="1"/>
  <c r="CP14" i="1"/>
  <c r="CO14" i="1"/>
  <c r="CN14" i="1"/>
  <c r="CM14" i="1"/>
  <c r="CL14" i="1"/>
  <c r="CJ14" i="1"/>
  <c r="CI14" i="1"/>
  <c r="CE14" i="1"/>
  <c r="CD14" i="1"/>
  <c r="CB14" i="1"/>
  <c r="CA14" i="1"/>
  <c r="BY14" i="1"/>
  <c r="BX14" i="1"/>
  <c r="BW14" i="1"/>
  <c r="BV14" i="1"/>
  <c r="BU14" i="1"/>
  <c r="BT14" i="1"/>
  <c r="BS14" i="1"/>
  <c r="BR14" i="1"/>
  <c r="BQ14" i="1"/>
  <c r="BP14" i="1"/>
  <c r="BN14" i="1"/>
  <c r="BL14" i="1"/>
  <c r="BK14" i="1"/>
  <c r="BJ14" i="1"/>
  <c r="BH14" i="1"/>
  <c r="BF14" i="1"/>
  <c r="BE14" i="1"/>
  <c r="BD14" i="1"/>
  <c r="BB14" i="1"/>
  <c r="AZ14" i="1"/>
  <c r="AY14" i="1"/>
  <c r="AX14" i="1"/>
  <c r="AV14" i="1"/>
  <c r="AT14" i="1"/>
  <c r="AR14" i="1"/>
  <c r="AQ14" i="1"/>
  <c r="AP14" i="1"/>
  <c r="AM14" i="1"/>
  <c r="AL14" i="1"/>
  <c r="AK14" i="1"/>
  <c r="AJ14" i="1"/>
  <c r="AI14" i="1"/>
  <c r="AF14" i="1"/>
  <c r="AE14" i="1"/>
  <c r="AC14" i="1"/>
  <c r="AB14" i="1"/>
  <c r="Z14" i="1"/>
  <c r="Y14" i="1"/>
  <c r="W14" i="1"/>
  <c r="V14" i="1"/>
  <c r="T14" i="1"/>
  <c r="R14" i="1"/>
  <c r="P14" i="1"/>
  <c r="O14" i="1"/>
  <c r="N14" i="1"/>
  <c r="M14" i="1"/>
  <c r="K14" i="1"/>
  <c r="J14" i="1"/>
  <c r="I14" i="1"/>
  <c r="H14" i="1"/>
  <c r="G14" i="1"/>
  <c r="F14" i="1"/>
  <c r="E14" i="1"/>
  <c r="D14" i="1"/>
  <c r="C14" i="1"/>
  <c r="B14" i="1"/>
  <c r="NO13" i="1"/>
  <c r="NM13" i="1"/>
  <c r="NL13" i="1"/>
  <c r="NK13" i="1"/>
  <c r="NJ13" i="1"/>
  <c r="ND13" i="1"/>
  <c r="NC13" i="1"/>
  <c r="NB13" i="1"/>
  <c r="MZ13" i="1"/>
  <c r="MY13" i="1"/>
  <c r="MX13" i="1"/>
  <c r="MV13" i="1"/>
  <c r="MU13" i="1"/>
  <c r="MT13" i="1"/>
  <c r="MR13" i="1"/>
  <c r="MQ13" i="1"/>
  <c r="MP13" i="1"/>
  <c r="MN13" i="1"/>
  <c r="MM13" i="1"/>
  <c r="ML13" i="1"/>
  <c r="MJ13" i="1"/>
  <c r="MI13" i="1"/>
  <c r="MH13" i="1"/>
  <c r="MG13" i="1"/>
  <c r="ME13" i="1"/>
  <c r="MD13" i="1"/>
  <c r="MB13" i="1"/>
  <c r="KS13" i="1"/>
  <c r="KR13" i="1"/>
  <c r="KQ13" i="1"/>
  <c r="KC13" i="1"/>
  <c r="KB13" i="1"/>
  <c r="JZ13" i="1"/>
  <c r="JY13" i="1"/>
  <c r="JC13" i="1"/>
  <c r="JB13" i="1"/>
  <c r="JA13" i="1"/>
  <c r="IZ13" i="1"/>
  <c r="IY13" i="1"/>
  <c r="IV13" i="1"/>
  <c r="IU13" i="1"/>
  <c r="IT13" i="1"/>
  <c r="IR13" i="1"/>
  <c r="IP13" i="1"/>
  <c r="IO13" i="1"/>
  <c r="IN13" i="1"/>
  <c r="IL13" i="1"/>
  <c r="IJ13" i="1"/>
  <c r="II13" i="1"/>
  <c r="IH13" i="1"/>
  <c r="IF13" i="1"/>
  <c r="IE13" i="1"/>
  <c r="IC13" i="1"/>
  <c r="IB13" i="1"/>
  <c r="HZ13" i="1"/>
  <c r="HY13" i="1"/>
  <c r="HW13" i="1"/>
  <c r="HU13" i="1"/>
  <c r="HT13" i="1"/>
  <c r="HR13" i="1"/>
  <c r="HQ13" i="1"/>
  <c r="HO13" i="1"/>
  <c r="HN13" i="1"/>
  <c r="GV13" i="1"/>
  <c r="GU13" i="1"/>
  <c r="GT13" i="1"/>
  <c r="GS13" i="1"/>
  <c r="GR13" i="1"/>
  <c r="GQ13" i="1"/>
  <c r="GP13" i="1"/>
  <c r="GO13" i="1"/>
  <c r="GN13" i="1"/>
  <c r="GM13" i="1"/>
  <c r="GL13" i="1"/>
  <c r="GK13" i="1"/>
  <c r="GJ13" i="1"/>
  <c r="GI13" i="1"/>
  <c r="FS13" i="1"/>
  <c r="FQ13" i="1"/>
  <c r="FP13" i="1"/>
  <c r="FO13" i="1"/>
  <c r="FN13" i="1"/>
  <c r="FU13" i="1" s="1"/>
  <c r="FM13" i="1"/>
  <c r="FL13" i="1"/>
  <c r="FR13" i="1" s="1"/>
  <c r="FX13" i="1" s="1"/>
  <c r="FK13" i="1"/>
  <c r="FJ13" i="1"/>
  <c r="FI13" i="1"/>
  <c r="FG13" i="1"/>
  <c r="FE13" i="1"/>
  <c r="FD13" i="1"/>
  <c r="FA13" i="1"/>
  <c r="EZ13" i="1"/>
  <c r="EX13" i="1"/>
  <c r="EW13" i="1"/>
  <c r="EV13" i="1"/>
  <c r="EU13" i="1"/>
  <c r="ES13" i="1"/>
  <c r="ER13" i="1"/>
  <c r="EP13" i="1"/>
  <c r="EO13" i="1"/>
  <c r="EM13" i="1"/>
  <c r="EL13" i="1"/>
  <c r="EJ13" i="1"/>
  <c r="EI13" i="1"/>
  <c r="EH13" i="1"/>
  <c r="EF13" i="1"/>
  <c r="EE13" i="1"/>
  <c r="ED13" i="1"/>
  <c r="EB13" i="1"/>
  <c r="EA13" i="1"/>
  <c r="DZ13" i="1"/>
  <c r="DY13" i="1"/>
  <c r="DX13" i="1"/>
  <c r="DW13" i="1"/>
  <c r="DU13" i="1"/>
  <c r="DT13" i="1"/>
  <c r="DS13" i="1"/>
  <c r="DR13" i="1"/>
  <c r="DQ13" i="1"/>
  <c r="DO13" i="1"/>
  <c r="DN13" i="1"/>
  <c r="DM13" i="1"/>
  <c r="DK13" i="1"/>
  <c r="DJ13" i="1"/>
  <c r="DI13" i="1"/>
  <c r="DG13" i="1"/>
  <c r="DF13" i="1"/>
  <c r="DE13" i="1"/>
  <c r="DC13" i="1"/>
  <c r="DB13" i="1"/>
  <c r="DA13" i="1"/>
  <c r="CZ13" i="1"/>
  <c r="CX13" i="1"/>
  <c r="CW13" i="1"/>
  <c r="CV13" i="1"/>
  <c r="CT13" i="1"/>
  <c r="CS13" i="1"/>
  <c r="CR13" i="1"/>
  <c r="CP13" i="1"/>
  <c r="CO13" i="1"/>
  <c r="CN13" i="1"/>
  <c r="CM13" i="1"/>
  <c r="CL13" i="1"/>
  <c r="CJ13" i="1"/>
  <c r="CI13" i="1"/>
  <c r="CE13" i="1"/>
  <c r="CD13" i="1"/>
  <c r="CB13" i="1"/>
  <c r="CA13" i="1"/>
  <c r="BY13" i="1"/>
  <c r="BX13" i="1"/>
  <c r="BW13" i="1"/>
  <c r="BV13" i="1"/>
  <c r="BU13" i="1"/>
  <c r="BT13" i="1"/>
  <c r="BS13" i="1"/>
  <c r="BR13" i="1"/>
  <c r="BQ13" i="1"/>
  <c r="BP13" i="1"/>
  <c r="BN13" i="1"/>
  <c r="BL13" i="1"/>
  <c r="BK13" i="1"/>
  <c r="BJ13" i="1"/>
  <c r="BH13" i="1"/>
  <c r="BF13" i="1"/>
  <c r="BE13" i="1"/>
  <c r="BD13" i="1"/>
  <c r="BB13" i="1"/>
  <c r="AZ13" i="1"/>
  <c r="AY13" i="1"/>
  <c r="AX13" i="1"/>
  <c r="AV13" i="1"/>
  <c r="AT13" i="1"/>
  <c r="AR13" i="1"/>
  <c r="AQ13" i="1"/>
  <c r="AP13" i="1"/>
  <c r="AM13" i="1"/>
  <c r="AL13" i="1"/>
  <c r="AK13" i="1"/>
  <c r="AJ13" i="1"/>
  <c r="AI13" i="1"/>
  <c r="AF13" i="1"/>
  <c r="AE13" i="1"/>
  <c r="AC13" i="1"/>
  <c r="AB13" i="1"/>
  <c r="Z13" i="1"/>
  <c r="Y13" i="1"/>
  <c r="W13" i="1"/>
  <c r="V13" i="1"/>
  <c r="T13" i="1"/>
  <c r="R13" i="1"/>
  <c r="P13" i="1"/>
  <c r="O13" i="1"/>
  <c r="N13" i="1"/>
  <c r="M13" i="1"/>
  <c r="K13" i="1"/>
  <c r="J13" i="1"/>
  <c r="I13" i="1"/>
  <c r="H13" i="1"/>
  <c r="G13" i="1"/>
  <c r="F13" i="1"/>
  <c r="E13" i="1"/>
  <c r="D13" i="1"/>
  <c r="C13" i="1"/>
  <c r="B13" i="1"/>
  <c r="NO12" i="1"/>
  <c r="NM12" i="1"/>
  <c r="NL12" i="1"/>
  <c r="NK12" i="1"/>
  <c r="NJ12" i="1"/>
  <c r="ND12" i="1"/>
  <c r="NC12" i="1"/>
  <c r="NB12" i="1"/>
  <c r="MZ12" i="1"/>
  <c r="MY12" i="1"/>
  <c r="MX12" i="1"/>
  <c r="MV12" i="1"/>
  <c r="MU12" i="1"/>
  <c r="MT12" i="1"/>
  <c r="MR12" i="1"/>
  <c r="MQ12" i="1"/>
  <c r="MP12" i="1"/>
  <c r="MN12" i="1"/>
  <c r="MM12" i="1"/>
  <c r="ML12" i="1"/>
  <c r="MJ12" i="1"/>
  <c r="MI12" i="1"/>
  <c r="MH12" i="1"/>
  <c r="MG12" i="1"/>
  <c r="ME12" i="1"/>
  <c r="MD12" i="1"/>
  <c r="MB12" i="1"/>
  <c r="KS12" i="1"/>
  <c r="KR12" i="1"/>
  <c r="KQ12" i="1"/>
  <c r="KC12" i="1"/>
  <c r="KB12" i="1"/>
  <c r="JZ12" i="1"/>
  <c r="JY12" i="1"/>
  <c r="JC12" i="1"/>
  <c r="JB12" i="1"/>
  <c r="JA12" i="1"/>
  <c r="IZ12" i="1"/>
  <c r="IY12" i="1"/>
  <c r="IV12" i="1"/>
  <c r="IU12" i="1"/>
  <c r="IT12" i="1"/>
  <c r="IR12" i="1"/>
  <c r="IP12" i="1"/>
  <c r="IO12" i="1"/>
  <c r="IN12" i="1"/>
  <c r="IL12" i="1"/>
  <c r="IJ12" i="1"/>
  <c r="II12" i="1"/>
  <c r="IH12" i="1"/>
  <c r="IF12" i="1"/>
  <c r="IE12" i="1"/>
  <c r="IC12" i="1"/>
  <c r="IB12" i="1"/>
  <c r="HZ12" i="1"/>
  <c r="HY12" i="1"/>
  <c r="HW12" i="1"/>
  <c r="HU12" i="1"/>
  <c r="HT12" i="1"/>
  <c r="HR12" i="1"/>
  <c r="HQ12" i="1"/>
  <c r="HO12" i="1"/>
  <c r="HN12" i="1"/>
  <c r="GV12" i="1"/>
  <c r="GU12" i="1"/>
  <c r="GT12" i="1"/>
  <c r="GS12" i="1"/>
  <c r="GR12" i="1"/>
  <c r="GQ12" i="1"/>
  <c r="GP12" i="1"/>
  <c r="GO12" i="1"/>
  <c r="GN12" i="1"/>
  <c r="GM12" i="1"/>
  <c r="GL12" i="1"/>
  <c r="GK12" i="1"/>
  <c r="GJ12" i="1"/>
  <c r="GI12" i="1"/>
  <c r="FQ12" i="1"/>
  <c r="FP12" i="1"/>
  <c r="FO12" i="1"/>
  <c r="FN12" i="1"/>
  <c r="FM12" i="1"/>
  <c r="FL12" i="1"/>
  <c r="FK12" i="1"/>
  <c r="FR12" i="1" s="1"/>
  <c r="FX12" i="1" s="1"/>
  <c r="FJ12" i="1"/>
  <c r="FI12" i="1"/>
  <c r="FS12" i="1" s="1"/>
  <c r="FU12" i="1" s="1"/>
  <c r="FV12" i="1" s="1"/>
  <c r="FG12" i="1"/>
  <c r="FE12" i="1"/>
  <c r="FD12" i="1"/>
  <c r="FA12" i="1"/>
  <c r="EZ12" i="1"/>
  <c r="EX12" i="1"/>
  <c r="EW12" i="1"/>
  <c r="EV12" i="1"/>
  <c r="EU12" i="1"/>
  <c r="ES12" i="1"/>
  <c r="ER12" i="1"/>
  <c r="EP12" i="1"/>
  <c r="EO12" i="1"/>
  <c r="EM12" i="1"/>
  <c r="EL12" i="1"/>
  <c r="EJ12" i="1"/>
  <c r="EI12" i="1"/>
  <c r="EH12" i="1"/>
  <c r="EF12" i="1"/>
  <c r="EE12" i="1"/>
  <c r="ED12" i="1"/>
  <c r="EB12" i="1"/>
  <c r="EA12" i="1"/>
  <c r="DZ12" i="1"/>
  <c r="DY12" i="1"/>
  <c r="DX12" i="1"/>
  <c r="DW12" i="1"/>
  <c r="DU12" i="1"/>
  <c r="DT12" i="1"/>
  <c r="DS12" i="1"/>
  <c r="DR12" i="1"/>
  <c r="DQ12" i="1"/>
  <c r="DO12" i="1"/>
  <c r="DN12" i="1"/>
  <c r="DM12" i="1"/>
  <c r="DK12" i="1"/>
  <c r="DJ12" i="1"/>
  <c r="DI12" i="1"/>
  <c r="DG12" i="1"/>
  <c r="DF12" i="1"/>
  <c r="DE12" i="1"/>
  <c r="DC12" i="1"/>
  <c r="DB12" i="1"/>
  <c r="DA12" i="1"/>
  <c r="CZ12" i="1"/>
  <c r="CX12" i="1"/>
  <c r="CW12" i="1"/>
  <c r="CV12" i="1"/>
  <c r="CT12" i="1"/>
  <c r="CS12" i="1"/>
  <c r="CR12" i="1"/>
  <c r="CP12" i="1"/>
  <c r="CO12" i="1"/>
  <c r="CN12" i="1"/>
  <c r="CM12" i="1"/>
  <c r="CL12" i="1"/>
  <c r="CJ12" i="1"/>
  <c r="CI12" i="1"/>
  <c r="CE12" i="1"/>
  <c r="CD12" i="1"/>
  <c r="CB12" i="1"/>
  <c r="CA12" i="1"/>
  <c r="BY12" i="1"/>
  <c r="BX12" i="1"/>
  <c r="BW12" i="1"/>
  <c r="BV12" i="1"/>
  <c r="BU12" i="1"/>
  <c r="BT12" i="1"/>
  <c r="BS12" i="1"/>
  <c r="BR12" i="1"/>
  <c r="BQ12" i="1"/>
  <c r="BP12" i="1"/>
  <c r="BN12" i="1"/>
  <c r="BL12" i="1"/>
  <c r="BK12" i="1"/>
  <c r="BJ12" i="1"/>
  <c r="BH12" i="1"/>
  <c r="BF12" i="1"/>
  <c r="BE12" i="1"/>
  <c r="BD12" i="1"/>
  <c r="BB12" i="1"/>
  <c r="AZ12" i="1"/>
  <c r="AY12" i="1"/>
  <c r="AX12" i="1"/>
  <c r="AV12" i="1"/>
  <c r="AT12" i="1"/>
  <c r="AR12" i="1"/>
  <c r="AQ12" i="1"/>
  <c r="AP12" i="1"/>
  <c r="AM12" i="1"/>
  <c r="AL12" i="1"/>
  <c r="AK12" i="1"/>
  <c r="AJ12" i="1"/>
  <c r="AI12" i="1"/>
  <c r="AF12" i="1"/>
  <c r="AE12" i="1"/>
  <c r="AC12" i="1"/>
  <c r="AB12" i="1"/>
  <c r="Z12" i="1"/>
  <c r="Y12" i="1"/>
  <c r="W12" i="1"/>
  <c r="V12" i="1"/>
  <c r="T12" i="1"/>
  <c r="R12" i="1"/>
  <c r="P12" i="1"/>
  <c r="O12" i="1"/>
  <c r="N12" i="1"/>
  <c r="M12" i="1"/>
  <c r="K12" i="1"/>
  <c r="J12" i="1"/>
  <c r="I12" i="1"/>
  <c r="H12" i="1"/>
  <c r="G12" i="1"/>
  <c r="F12" i="1"/>
  <c r="E12" i="1"/>
  <c r="D12" i="1"/>
  <c r="C12" i="1"/>
  <c r="B12" i="1"/>
  <c r="NO11" i="1"/>
  <c r="NM11" i="1"/>
  <c r="NL11" i="1"/>
  <c r="NK11" i="1"/>
  <c r="NJ11" i="1"/>
  <c r="ND11" i="1"/>
  <c r="NC11" i="1"/>
  <c r="NB11" i="1"/>
  <c r="MZ11" i="1"/>
  <c r="MY11" i="1"/>
  <c r="MX11" i="1"/>
  <c r="MV11" i="1"/>
  <c r="MU11" i="1"/>
  <c r="MT11" i="1"/>
  <c r="MR11" i="1"/>
  <c r="MQ11" i="1"/>
  <c r="MP11" i="1"/>
  <c r="MN11" i="1"/>
  <c r="MM11" i="1"/>
  <c r="ML11" i="1"/>
  <c r="MJ11" i="1"/>
  <c r="MI11" i="1"/>
  <c r="MH11" i="1"/>
  <c r="MG11" i="1"/>
  <c r="ME11" i="1"/>
  <c r="MD11" i="1"/>
  <c r="MB11" i="1"/>
  <c r="KS11" i="1"/>
  <c r="KR11" i="1"/>
  <c r="KQ11" i="1"/>
  <c r="KC11" i="1"/>
  <c r="KB11" i="1"/>
  <c r="JZ11" i="1"/>
  <c r="JY11" i="1"/>
  <c r="JC11" i="1"/>
  <c r="JB11" i="1"/>
  <c r="JA11" i="1"/>
  <c r="IZ11" i="1"/>
  <c r="IY11" i="1"/>
  <c r="IV11" i="1"/>
  <c r="IU11" i="1"/>
  <c r="IT11" i="1"/>
  <c r="IR11" i="1"/>
  <c r="IP11" i="1"/>
  <c r="IO11" i="1"/>
  <c r="IN11" i="1"/>
  <c r="IL11" i="1"/>
  <c r="IJ11" i="1"/>
  <c r="II11" i="1"/>
  <c r="IH11" i="1"/>
  <c r="IF11" i="1"/>
  <c r="IE11" i="1"/>
  <c r="IC11" i="1"/>
  <c r="IB11" i="1"/>
  <c r="HZ11" i="1"/>
  <c r="HY11" i="1"/>
  <c r="HW11" i="1"/>
  <c r="HU11" i="1"/>
  <c r="HT11" i="1"/>
  <c r="HR11" i="1"/>
  <c r="HQ11" i="1"/>
  <c r="HO11" i="1"/>
  <c r="HN11" i="1"/>
  <c r="GV11" i="1"/>
  <c r="GU11" i="1"/>
  <c r="GT11" i="1"/>
  <c r="GS11" i="1"/>
  <c r="GR11" i="1"/>
  <c r="GQ11" i="1"/>
  <c r="GP11" i="1"/>
  <c r="GO11" i="1"/>
  <c r="GN11" i="1"/>
  <c r="GM11" i="1"/>
  <c r="GL11" i="1"/>
  <c r="GK11" i="1"/>
  <c r="GJ11" i="1"/>
  <c r="GI11" i="1"/>
  <c r="FS11" i="1"/>
  <c r="FU11" i="1" s="1"/>
  <c r="FQ11" i="1"/>
  <c r="FP11" i="1"/>
  <c r="FO11" i="1"/>
  <c r="FN11" i="1"/>
  <c r="FL11" i="1"/>
  <c r="FK11" i="1"/>
  <c r="FJ11" i="1"/>
  <c r="FI11" i="1"/>
  <c r="FG11" i="1"/>
  <c r="FE11" i="1"/>
  <c r="FD11" i="1"/>
  <c r="FA11" i="1"/>
  <c r="EZ11" i="1"/>
  <c r="EX11" i="1"/>
  <c r="EW11" i="1"/>
  <c r="EV11" i="1"/>
  <c r="EU11" i="1"/>
  <c r="ES11" i="1"/>
  <c r="ER11" i="1"/>
  <c r="EP11" i="1"/>
  <c r="EO11" i="1"/>
  <c r="EM11" i="1"/>
  <c r="EL11" i="1"/>
  <c r="EJ11" i="1"/>
  <c r="EI11" i="1"/>
  <c r="EH11" i="1"/>
  <c r="EF11" i="1"/>
  <c r="EE11" i="1"/>
  <c r="ED11" i="1"/>
  <c r="EB11" i="1"/>
  <c r="EA11" i="1"/>
  <c r="DZ11" i="1"/>
  <c r="DY11" i="1"/>
  <c r="DX11" i="1"/>
  <c r="DW11" i="1"/>
  <c r="DU11" i="1"/>
  <c r="DT11" i="1"/>
  <c r="DS11" i="1"/>
  <c r="DR11" i="1"/>
  <c r="DQ11" i="1"/>
  <c r="DO11" i="1"/>
  <c r="DN11" i="1"/>
  <c r="DM11" i="1"/>
  <c r="DK11" i="1"/>
  <c r="DJ11" i="1"/>
  <c r="DI11" i="1"/>
  <c r="DG11" i="1"/>
  <c r="DF11" i="1"/>
  <c r="DE11" i="1"/>
  <c r="DC11" i="1"/>
  <c r="DB11" i="1"/>
  <c r="DA11" i="1"/>
  <c r="CZ11" i="1"/>
  <c r="CW11" i="1"/>
  <c r="CV11" i="1"/>
  <c r="CX11" i="1" s="1"/>
  <c r="CT11" i="1"/>
  <c r="CS11" i="1"/>
  <c r="CR11" i="1"/>
  <c r="CP11" i="1"/>
  <c r="CO11" i="1"/>
  <c r="CN11" i="1"/>
  <c r="CM11" i="1"/>
  <c r="CL11" i="1"/>
  <c r="CJ11" i="1"/>
  <c r="CI11" i="1"/>
  <c r="CE11" i="1"/>
  <c r="CD11" i="1"/>
  <c r="CB11" i="1"/>
  <c r="CA11" i="1"/>
  <c r="BY11" i="1"/>
  <c r="BX11" i="1"/>
  <c r="BW11" i="1"/>
  <c r="BV11" i="1"/>
  <c r="BU11" i="1"/>
  <c r="BT11" i="1"/>
  <c r="BS11" i="1"/>
  <c r="BR11" i="1"/>
  <c r="BQ11" i="1"/>
  <c r="BP11" i="1"/>
  <c r="BN11" i="1"/>
  <c r="BL11" i="1"/>
  <c r="BK11" i="1"/>
  <c r="BJ11" i="1"/>
  <c r="BH11" i="1"/>
  <c r="BF11" i="1"/>
  <c r="BE11" i="1"/>
  <c r="BD11" i="1"/>
  <c r="BB11" i="1"/>
  <c r="AZ11" i="1"/>
  <c r="AY11" i="1"/>
  <c r="AX11" i="1"/>
  <c r="AV11" i="1"/>
  <c r="AT11" i="1"/>
  <c r="AR11" i="1"/>
  <c r="AQ11" i="1"/>
  <c r="AP11" i="1"/>
  <c r="AM11" i="1"/>
  <c r="AL11" i="1"/>
  <c r="AK11" i="1"/>
  <c r="AJ11" i="1"/>
  <c r="AI11" i="1"/>
  <c r="AF11" i="1"/>
  <c r="AE11" i="1"/>
  <c r="AB11" i="1"/>
  <c r="Z11" i="1"/>
  <c r="Y11" i="1"/>
  <c r="W11" i="1"/>
  <c r="V11" i="1"/>
  <c r="T11" i="1"/>
  <c r="R11" i="1"/>
  <c r="P11" i="1"/>
  <c r="O11" i="1"/>
  <c r="N11" i="1"/>
  <c r="M11" i="1"/>
  <c r="K11" i="1"/>
  <c r="J11" i="1"/>
  <c r="I11" i="1"/>
  <c r="B11" i="1"/>
  <c r="NO10" i="1"/>
  <c r="NM10" i="1"/>
  <c r="NL10" i="1"/>
  <c r="NK10" i="1"/>
  <c r="NJ10" i="1"/>
  <c r="ND10" i="1"/>
  <c r="NC10" i="1"/>
  <c r="NB10" i="1"/>
  <c r="MZ10" i="1"/>
  <c r="MY10" i="1"/>
  <c r="MX10" i="1"/>
  <c r="MV10" i="1"/>
  <c r="MU10" i="1"/>
  <c r="MT10" i="1"/>
  <c r="MR10" i="1"/>
  <c r="MQ10" i="1"/>
  <c r="MP10" i="1"/>
  <c r="MN10" i="1"/>
  <c r="MM10" i="1"/>
  <c r="ML10" i="1"/>
  <c r="MJ10" i="1"/>
  <c r="MI10" i="1"/>
  <c r="MH10" i="1"/>
  <c r="MG10" i="1"/>
  <c r="ME10" i="1"/>
  <c r="MD10" i="1"/>
  <c r="MB10" i="1"/>
  <c r="KS10" i="1"/>
  <c r="KR10" i="1"/>
  <c r="KQ10" i="1"/>
  <c r="KC10" i="1"/>
  <c r="KB10" i="1"/>
  <c r="JZ10" i="1"/>
  <c r="JY10" i="1"/>
  <c r="JC10" i="1"/>
  <c r="JB10" i="1"/>
  <c r="JA10" i="1"/>
  <c r="IZ10" i="1"/>
  <c r="IY10" i="1"/>
  <c r="IV10" i="1"/>
  <c r="IU10" i="1"/>
  <c r="IT10" i="1"/>
  <c r="IR10" i="1"/>
  <c r="IP10" i="1"/>
  <c r="IO10" i="1"/>
  <c r="IN10" i="1"/>
  <c r="IL10" i="1"/>
  <c r="IJ10" i="1"/>
  <c r="II10" i="1"/>
  <c r="IH10" i="1"/>
  <c r="IF10" i="1"/>
  <c r="IE10" i="1"/>
  <c r="IC10" i="1"/>
  <c r="IB10" i="1"/>
  <c r="HZ10" i="1"/>
  <c r="HY10" i="1"/>
  <c r="HW10" i="1"/>
  <c r="HU10" i="1"/>
  <c r="HT10" i="1"/>
  <c r="HR10" i="1"/>
  <c r="HQ10" i="1"/>
  <c r="HO10" i="1"/>
  <c r="HN10" i="1"/>
  <c r="GV10" i="1"/>
  <c r="GU10" i="1"/>
  <c r="GT10" i="1"/>
  <c r="GS10" i="1"/>
  <c r="GR10" i="1"/>
  <c r="GQ10" i="1"/>
  <c r="GP10" i="1"/>
  <c r="GO10" i="1"/>
  <c r="GN10" i="1"/>
  <c r="GM10" i="1"/>
  <c r="GL10" i="1"/>
  <c r="GK10" i="1"/>
  <c r="GJ10" i="1"/>
  <c r="GI10" i="1"/>
  <c r="FS10" i="1"/>
  <c r="FQ10" i="1"/>
  <c r="FP10" i="1"/>
  <c r="FU10" i="1" s="1"/>
  <c r="FO10" i="1"/>
  <c r="FN10" i="1"/>
  <c r="FT10" i="1" s="1"/>
  <c r="FL10" i="1"/>
  <c r="FK10" i="1"/>
  <c r="FJ10" i="1"/>
  <c r="FI10" i="1"/>
  <c r="FG10" i="1"/>
  <c r="FE10" i="1"/>
  <c r="FD10" i="1"/>
  <c r="FA10" i="1"/>
  <c r="EZ10" i="1"/>
  <c r="EX10" i="1"/>
  <c r="EW10" i="1"/>
  <c r="EV10" i="1"/>
  <c r="EU10" i="1"/>
  <c r="ES10" i="1"/>
  <c r="ER10" i="1"/>
  <c r="EP10" i="1"/>
  <c r="EO10" i="1"/>
  <c r="EM10" i="1"/>
  <c r="EL10" i="1"/>
  <c r="EJ10" i="1"/>
  <c r="EI10" i="1"/>
  <c r="EH10" i="1"/>
  <c r="EF10" i="1"/>
  <c r="EE10" i="1"/>
  <c r="ED10" i="1"/>
  <c r="EB10" i="1"/>
  <c r="EA10" i="1"/>
  <c r="DZ10" i="1"/>
  <c r="DY10" i="1"/>
  <c r="DX10" i="1"/>
  <c r="DW10" i="1"/>
  <c r="DU10" i="1"/>
  <c r="DT10" i="1"/>
  <c r="DS10" i="1"/>
  <c r="DR10" i="1"/>
  <c r="DQ10" i="1"/>
  <c r="DO10" i="1"/>
  <c r="DN10" i="1"/>
  <c r="DM10" i="1"/>
  <c r="DK10" i="1"/>
  <c r="DJ10" i="1"/>
  <c r="DI10" i="1"/>
  <c r="DG10" i="1"/>
  <c r="DF10" i="1"/>
  <c r="DE10" i="1"/>
  <c r="DC10" i="1"/>
  <c r="DB10" i="1"/>
  <c r="DA10" i="1"/>
  <c r="CZ10" i="1"/>
  <c r="CX10" i="1"/>
  <c r="CW10" i="1"/>
  <c r="CV10" i="1"/>
  <c r="CT10" i="1"/>
  <c r="CS10" i="1"/>
  <c r="CR10" i="1"/>
  <c r="CP10" i="1"/>
  <c r="CO10" i="1"/>
  <c r="CN10" i="1"/>
  <c r="CM10" i="1"/>
  <c r="CL10" i="1"/>
  <c r="CJ10" i="1"/>
  <c r="CI10" i="1"/>
  <c r="CE10" i="1"/>
  <c r="CD10" i="1"/>
  <c r="CB10" i="1"/>
  <c r="CA10" i="1"/>
  <c r="BY10" i="1"/>
  <c r="BX10" i="1"/>
  <c r="BW10" i="1"/>
  <c r="BV10" i="1"/>
  <c r="BU10" i="1"/>
  <c r="BT10" i="1"/>
  <c r="BS10" i="1"/>
  <c r="BR10" i="1"/>
  <c r="BQ10" i="1"/>
  <c r="BP10" i="1"/>
  <c r="BN10" i="1"/>
  <c r="BL10" i="1"/>
  <c r="BK10" i="1"/>
  <c r="BJ10" i="1"/>
  <c r="BH10" i="1"/>
  <c r="BF10" i="1"/>
  <c r="BE10" i="1"/>
  <c r="BD10" i="1"/>
  <c r="BB10" i="1"/>
  <c r="AZ10" i="1"/>
  <c r="AY10" i="1"/>
  <c r="AX10" i="1"/>
  <c r="AV10" i="1"/>
  <c r="AT10" i="1"/>
  <c r="AR10" i="1"/>
  <c r="AQ10" i="1"/>
  <c r="AP10" i="1"/>
  <c r="AM10" i="1"/>
  <c r="AL10" i="1"/>
  <c r="AK10" i="1"/>
  <c r="AJ10" i="1"/>
  <c r="AI10" i="1"/>
  <c r="AF10" i="1"/>
  <c r="AE10" i="1"/>
  <c r="AB10" i="1"/>
  <c r="Z10" i="1"/>
  <c r="Y10" i="1"/>
  <c r="W10" i="1"/>
  <c r="V10" i="1"/>
  <c r="T10" i="1"/>
  <c r="R10" i="1"/>
  <c r="P10" i="1"/>
  <c r="O10" i="1"/>
  <c r="N10" i="1"/>
  <c r="M10" i="1"/>
  <c r="K10" i="1"/>
  <c r="J10" i="1"/>
  <c r="I10" i="1"/>
  <c r="B10" i="1"/>
  <c r="NO9" i="1"/>
  <c r="NM9" i="1"/>
  <c r="NL9" i="1"/>
  <c r="NK9" i="1"/>
  <c r="NJ9" i="1"/>
  <c r="ND9" i="1"/>
  <c r="NC9" i="1"/>
  <c r="NB9" i="1"/>
  <c r="MZ9" i="1"/>
  <c r="MY9" i="1"/>
  <c r="MX9" i="1"/>
  <c r="MV9" i="1"/>
  <c r="MU9" i="1"/>
  <c r="MT9" i="1"/>
  <c r="MR9" i="1"/>
  <c r="MQ9" i="1"/>
  <c r="MP9" i="1"/>
  <c r="MN9" i="1"/>
  <c r="MM9" i="1"/>
  <c r="ML9" i="1"/>
  <c r="MJ9" i="1"/>
  <c r="MI9" i="1"/>
  <c r="MH9" i="1"/>
  <c r="MG9" i="1"/>
  <c r="ME9" i="1"/>
  <c r="MD9" i="1"/>
  <c r="MB9" i="1"/>
  <c r="KS9" i="1"/>
  <c r="KR9" i="1"/>
  <c r="KQ9" i="1"/>
  <c r="KC9" i="1"/>
  <c r="KB9" i="1"/>
  <c r="JZ9" i="1"/>
  <c r="JY9" i="1"/>
  <c r="JC9" i="1"/>
  <c r="JB9" i="1"/>
  <c r="JA9" i="1"/>
  <c r="IZ9" i="1"/>
  <c r="IY9" i="1"/>
  <c r="IV9" i="1"/>
  <c r="IU9" i="1"/>
  <c r="IT9" i="1"/>
  <c r="IR9" i="1"/>
  <c r="IP9" i="1"/>
  <c r="IO9" i="1"/>
  <c r="IN9" i="1"/>
  <c r="IL9" i="1"/>
  <c r="IJ9" i="1"/>
  <c r="II9" i="1"/>
  <c r="IH9" i="1"/>
  <c r="IF9" i="1"/>
  <c r="IE9" i="1"/>
  <c r="IC9" i="1"/>
  <c r="IB9" i="1"/>
  <c r="HZ9" i="1"/>
  <c r="HY9" i="1"/>
  <c r="HW9" i="1"/>
  <c r="HU9" i="1"/>
  <c r="HT9" i="1"/>
  <c r="HR9" i="1"/>
  <c r="HQ9" i="1"/>
  <c r="HO9" i="1"/>
  <c r="HN9" i="1"/>
  <c r="GV9" i="1"/>
  <c r="GU9" i="1"/>
  <c r="GT9" i="1"/>
  <c r="GS9" i="1"/>
  <c r="GR9" i="1"/>
  <c r="GQ9" i="1"/>
  <c r="GP9" i="1"/>
  <c r="GO9" i="1"/>
  <c r="GN9" i="1"/>
  <c r="GM9" i="1"/>
  <c r="GL9" i="1"/>
  <c r="GK9" i="1"/>
  <c r="GJ9" i="1"/>
  <c r="GI9" i="1"/>
  <c r="FS9" i="1"/>
  <c r="FQ9" i="1"/>
  <c r="FP9" i="1"/>
  <c r="FO9" i="1"/>
  <c r="FN9" i="1"/>
  <c r="FU9" i="1" s="1"/>
  <c r="FV9" i="1" s="1"/>
  <c r="FW9" i="1" s="1"/>
  <c r="FM9" i="1"/>
  <c r="FL9" i="1"/>
  <c r="FR9" i="1" s="1"/>
  <c r="FX9" i="1" s="1"/>
  <c r="FK9" i="1"/>
  <c r="FJ9" i="1"/>
  <c r="FI9" i="1"/>
  <c r="FG9" i="1"/>
  <c r="FE9" i="1"/>
  <c r="FD9" i="1"/>
  <c r="FA9" i="1"/>
  <c r="EZ9" i="1"/>
  <c r="EX9" i="1"/>
  <c r="EW9" i="1"/>
  <c r="EV9" i="1"/>
  <c r="EU9" i="1"/>
  <c r="ES9" i="1"/>
  <c r="ER9" i="1"/>
  <c r="EP9" i="1"/>
  <c r="EO9" i="1"/>
  <c r="EM9" i="1"/>
  <c r="EL9" i="1"/>
  <c r="EJ9" i="1"/>
  <c r="EI9" i="1"/>
  <c r="EH9" i="1"/>
  <c r="EF9" i="1"/>
  <c r="EE9" i="1"/>
  <c r="ED9" i="1"/>
  <c r="EB9" i="1"/>
  <c r="EA9" i="1"/>
  <c r="DZ9" i="1"/>
  <c r="DY9" i="1"/>
  <c r="DX9" i="1"/>
  <c r="DW9" i="1"/>
  <c r="DU9" i="1"/>
  <c r="DT9" i="1"/>
  <c r="DS9" i="1"/>
  <c r="DR9" i="1"/>
  <c r="DQ9" i="1"/>
  <c r="DO9" i="1"/>
  <c r="DN9" i="1"/>
  <c r="DM9" i="1"/>
  <c r="DK9" i="1"/>
  <c r="DJ9" i="1"/>
  <c r="DI9" i="1"/>
  <c r="DG9" i="1"/>
  <c r="DF9" i="1"/>
  <c r="DE9" i="1"/>
  <c r="DC9" i="1"/>
  <c r="DB9" i="1"/>
  <c r="DA9" i="1"/>
  <c r="CZ9" i="1"/>
  <c r="CX9" i="1"/>
  <c r="CW9" i="1"/>
  <c r="CV9" i="1"/>
  <c r="CT9" i="1"/>
  <c r="CS9" i="1"/>
  <c r="CR9" i="1"/>
  <c r="CP9" i="1"/>
  <c r="CO9" i="1"/>
  <c r="CN9" i="1"/>
  <c r="CM9" i="1"/>
  <c r="CL9" i="1"/>
  <c r="CJ9" i="1"/>
  <c r="CI9" i="1"/>
  <c r="CE9" i="1"/>
  <c r="CD9" i="1"/>
  <c r="CB9" i="1"/>
  <c r="CA9" i="1"/>
  <c r="BY9" i="1"/>
  <c r="BX9" i="1"/>
  <c r="BW9" i="1"/>
  <c r="BV9" i="1"/>
  <c r="BU9" i="1"/>
  <c r="BT9" i="1"/>
  <c r="BS9" i="1"/>
  <c r="BR9" i="1"/>
  <c r="BQ9" i="1"/>
  <c r="BP9" i="1"/>
  <c r="BN9" i="1"/>
  <c r="BL9" i="1"/>
  <c r="BK9" i="1"/>
  <c r="BJ9" i="1"/>
  <c r="BH9" i="1"/>
  <c r="BF9" i="1"/>
  <c r="BE9" i="1"/>
  <c r="BD9" i="1"/>
  <c r="BB9" i="1"/>
  <c r="AZ9" i="1"/>
  <c r="AY9" i="1"/>
  <c r="AX9" i="1"/>
  <c r="AV9" i="1"/>
  <c r="AT9" i="1"/>
  <c r="AR9" i="1"/>
  <c r="AQ9" i="1"/>
  <c r="AP9" i="1"/>
  <c r="AM9" i="1"/>
  <c r="AL9" i="1"/>
  <c r="AK9" i="1"/>
  <c r="AJ9" i="1"/>
  <c r="AI9" i="1"/>
  <c r="AF9" i="1"/>
  <c r="AE9" i="1"/>
  <c r="AB9" i="1"/>
  <c r="Z9" i="1"/>
  <c r="Y9" i="1"/>
  <c r="W9" i="1"/>
  <c r="V9" i="1"/>
  <c r="T9" i="1"/>
  <c r="R9" i="1"/>
  <c r="P9" i="1"/>
  <c r="O9" i="1"/>
  <c r="N9" i="1"/>
  <c r="M9" i="1"/>
  <c r="K9" i="1"/>
  <c r="J9" i="1"/>
  <c r="I9" i="1"/>
  <c r="B9" i="1"/>
  <c r="NO8" i="1"/>
  <c r="NO24" i="1" s="1"/>
  <c r="NM8" i="1"/>
  <c r="NL8" i="1"/>
  <c r="NK8" i="1"/>
  <c r="NJ8" i="1"/>
  <c r="NJ25" i="1" s="1"/>
  <c r="ND8" i="1"/>
  <c r="NC8" i="1"/>
  <c r="NB8" i="1"/>
  <c r="MZ8" i="1"/>
  <c r="MY8" i="1"/>
  <c r="MX8" i="1"/>
  <c r="MV8" i="1"/>
  <c r="MU8" i="1"/>
  <c r="MT8" i="1"/>
  <c r="MR8" i="1"/>
  <c r="MQ8" i="1"/>
  <c r="MP8" i="1"/>
  <c r="MN8" i="1"/>
  <c r="MM8" i="1"/>
  <c r="ML8" i="1"/>
  <c r="MJ8" i="1"/>
  <c r="MJ26" i="1" s="1"/>
  <c r="MI8" i="1"/>
  <c r="MI26" i="1" s="1"/>
  <c r="MH8" i="1"/>
  <c r="MH26" i="1" s="1"/>
  <c r="MG8" i="1"/>
  <c r="LX31" i="1" s="1"/>
  <c r="ME8" i="1"/>
  <c r="MD8" i="1"/>
  <c r="MB8" i="1"/>
  <c r="KS8" i="1"/>
  <c r="KR8" i="1"/>
  <c r="KQ8" i="1"/>
  <c r="KQ24" i="1" s="1"/>
  <c r="JZ8" i="1"/>
  <c r="JY8" i="1"/>
  <c r="JC8" i="1"/>
  <c r="JB8" i="1"/>
  <c r="JA8" i="1"/>
  <c r="IZ8" i="1"/>
  <c r="IY8" i="1"/>
  <c r="IV8" i="1"/>
  <c r="IU8" i="1"/>
  <c r="IT8" i="1"/>
  <c r="IR8" i="1"/>
  <c r="IP8" i="1"/>
  <c r="IO8" i="1"/>
  <c r="IN8" i="1"/>
  <c r="IN24" i="1" s="1"/>
  <c r="IL8" i="1"/>
  <c r="IJ8" i="1"/>
  <c r="II8" i="1"/>
  <c r="IH8" i="1"/>
  <c r="IH24" i="1" s="1"/>
  <c r="IF8" i="1"/>
  <c r="IF24" i="1" s="1"/>
  <c r="IE8" i="1"/>
  <c r="IC8" i="1"/>
  <c r="IC24" i="1" s="1"/>
  <c r="IB8" i="1"/>
  <c r="HZ8" i="1"/>
  <c r="HZ24" i="1" s="1"/>
  <c r="HY8" i="1"/>
  <c r="HW8" i="1"/>
  <c r="HW24" i="1" s="1"/>
  <c r="HU8" i="1"/>
  <c r="HU24" i="1" s="1"/>
  <c r="HT8" i="1"/>
  <c r="HR8" i="1"/>
  <c r="HR24" i="1" s="1"/>
  <c r="HQ8" i="1"/>
  <c r="HO8" i="1"/>
  <c r="HO24" i="1" s="1"/>
  <c r="HN8" i="1"/>
  <c r="GV8" i="1"/>
  <c r="GV24" i="1" s="1"/>
  <c r="GU8" i="1"/>
  <c r="GU24" i="1" s="1"/>
  <c r="GT8" i="1"/>
  <c r="GT24" i="1" s="1"/>
  <c r="GS8" i="1"/>
  <c r="GS24" i="1" s="1"/>
  <c r="GR8" i="1"/>
  <c r="GR24" i="1" s="1"/>
  <c r="GQ8" i="1"/>
  <c r="GQ24" i="1" s="1"/>
  <c r="GP8" i="1"/>
  <c r="GP24" i="1" s="1"/>
  <c r="GO8" i="1"/>
  <c r="GM8" i="1"/>
  <c r="GM24" i="1" s="1"/>
  <c r="GL8" i="1"/>
  <c r="GL24" i="1" s="1"/>
  <c r="GK8" i="1"/>
  <c r="GK24" i="1" s="1"/>
  <c r="GJ8" i="1"/>
  <c r="GJ24" i="1" s="1"/>
  <c r="GI8" i="1"/>
  <c r="GI24" i="1" s="1"/>
  <c r="FQ8" i="1"/>
  <c r="FP8" i="1"/>
  <c r="FO8" i="1"/>
  <c r="FN8" i="1"/>
  <c r="FM8" i="1"/>
  <c r="FL8" i="1"/>
  <c r="FK8" i="1"/>
  <c r="FR8" i="1" s="1"/>
  <c r="FX8" i="1" s="1"/>
  <c r="FJ8" i="1"/>
  <c r="FI8" i="1"/>
  <c r="FS8" i="1" s="1"/>
  <c r="FU8" i="1" s="1"/>
  <c r="FV8" i="1" s="1"/>
  <c r="FW8" i="1" s="1"/>
  <c r="EX8" i="1"/>
  <c r="EW8" i="1"/>
  <c r="EV8" i="1"/>
  <c r="EU8" i="1"/>
  <c r="ES8" i="1"/>
  <c r="ER8" i="1"/>
  <c r="EP8" i="1"/>
  <c r="EO8" i="1"/>
  <c r="EM8" i="1"/>
  <c r="EL8" i="1"/>
  <c r="EJ8" i="1"/>
  <c r="EI8" i="1"/>
  <c r="EH8" i="1"/>
  <c r="ED8" i="1"/>
  <c r="EA8" i="1"/>
  <c r="EF8" i="1" s="1"/>
  <c r="DW8" i="1"/>
  <c r="DX8" i="1" s="1"/>
  <c r="DQ8" i="1"/>
  <c r="DO8" i="1"/>
  <c r="DN8" i="1"/>
  <c r="DM8" i="1"/>
  <c r="DK8" i="1"/>
  <c r="DJ8" i="1"/>
  <c r="DI8" i="1"/>
  <c r="DG8" i="1"/>
  <c r="DF8" i="1"/>
  <c r="DE8" i="1"/>
  <c r="DC8" i="1"/>
  <c r="DB8" i="1"/>
  <c r="DA8" i="1"/>
  <c r="CZ8" i="1"/>
  <c r="CX8" i="1"/>
  <c r="CW8" i="1"/>
  <c r="CV8" i="1"/>
  <c r="CT8" i="1"/>
  <c r="CS8" i="1"/>
  <c r="CR8" i="1"/>
  <c r="CP8" i="1"/>
  <c r="CO8" i="1"/>
  <c r="CN8" i="1"/>
  <c r="CM8" i="1"/>
  <c r="CL8" i="1"/>
  <c r="CL24" i="1" s="1"/>
  <c r="CJ8" i="1"/>
  <c r="DY8" i="1" s="1"/>
  <c r="CI8" i="1"/>
  <c r="CI24" i="1" s="1"/>
  <c r="CB8" i="1"/>
  <c r="CA8" i="1"/>
  <c r="CA24" i="1" s="1"/>
  <c r="BY8" i="1"/>
  <c r="BY24" i="1" s="1"/>
  <c r="BX8" i="1"/>
  <c r="BX24" i="1" s="1"/>
  <c r="BW8" i="1"/>
  <c r="BW24" i="1" s="1"/>
  <c r="BV8" i="1"/>
  <c r="BV24" i="1" s="1"/>
  <c r="BU8" i="1"/>
  <c r="BU24" i="1" s="1"/>
  <c r="BR8" i="1"/>
  <c r="BT8" i="1" s="1"/>
  <c r="BT24" i="1" s="1"/>
  <c r="BP8" i="1"/>
  <c r="BP24" i="1" s="1"/>
  <c r="BL8" i="1"/>
  <c r="BK8" i="1"/>
  <c r="BJ8" i="1"/>
  <c r="BJ24" i="1" s="1"/>
  <c r="BH8" i="1"/>
  <c r="BF8" i="1"/>
  <c r="BE8" i="1"/>
  <c r="BD8" i="1"/>
  <c r="BD24" i="1" s="1"/>
  <c r="BB8" i="1"/>
  <c r="AZ8" i="1"/>
  <c r="AY8" i="1"/>
  <c r="AX8" i="1"/>
  <c r="AX24" i="1" s="1"/>
  <c r="AV8" i="1"/>
  <c r="AT8" i="1"/>
  <c r="AR8" i="1"/>
  <c r="AQ8" i="1"/>
  <c r="AP8" i="1"/>
  <c r="AP24" i="1" s="1"/>
  <c r="AM8" i="1"/>
  <c r="AL8" i="1"/>
  <c r="AK8" i="1"/>
  <c r="AJ8" i="1"/>
  <c r="AI8" i="1"/>
  <c r="AI24" i="1" s="1"/>
  <c r="AI27" i="1" s="1"/>
  <c r="AF8" i="1"/>
  <c r="AF24" i="1" s="1"/>
  <c r="AE8" i="1"/>
  <c r="AB8" i="1"/>
  <c r="Z8" i="1"/>
  <c r="Y8" i="1"/>
  <c r="W8" i="1"/>
  <c r="V8" i="1"/>
  <c r="T8" i="1"/>
  <c r="R8" i="1"/>
  <c r="P8" i="1"/>
  <c r="O8" i="1"/>
  <c r="N8" i="1"/>
  <c r="M8" i="1"/>
  <c r="K8" i="1"/>
  <c r="J8" i="1"/>
  <c r="I8" i="1"/>
  <c r="H8" i="1"/>
  <c r="G8" i="1"/>
  <c r="F8" i="1"/>
  <c r="E8" i="1"/>
  <c r="D8" i="1"/>
  <c r="C8" i="1"/>
  <c r="B8" i="1"/>
  <c r="IP7" i="1"/>
  <c r="IJ7" i="1"/>
  <c r="EX7" i="1"/>
  <c r="EV7" i="1"/>
  <c r="AZ7" i="1"/>
  <c r="AR7" i="1"/>
  <c r="AQ7" i="1"/>
  <c r="NS5" i="1"/>
  <c r="OB4" i="1"/>
  <c r="NQ4" i="1"/>
  <c r="LX4" i="1"/>
  <c r="LM4" i="1"/>
  <c r="JU4" i="1"/>
  <c r="GL4" i="1"/>
  <c r="EY4" i="1"/>
  <c r="BK4" i="1"/>
  <c r="BC4" i="1"/>
  <c r="W4" i="1"/>
  <c r="P4" i="1"/>
  <c r="D4" i="1"/>
  <c r="NQ3" i="1"/>
  <c r="ND3" i="1"/>
  <c r="MS3" i="1"/>
  <c r="LM3" i="1"/>
  <c r="JU3" i="1"/>
  <c r="EY3" i="1"/>
  <c r="BC3" i="1"/>
  <c r="W3" i="1"/>
  <c r="O3" i="1"/>
  <c r="NQ2" i="1"/>
  <c r="MS2" i="1"/>
  <c r="MA2" i="1"/>
  <c r="LM2" i="1"/>
  <c r="KP2" i="1"/>
  <c r="JU2" i="1"/>
  <c r="IH2" i="1"/>
  <c r="FM2" i="1"/>
  <c r="EY2" i="1"/>
  <c r="CI2" i="1"/>
  <c r="BC2" i="1"/>
  <c r="AI2" i="1"/>
  <c r="W2" i="1"/>
  <c r="O2" i="1"/>
  <c r="NR1" i="1"/>
  <c r="MT1" i="1"/>
  <c r="FN1" i="1"/>
  <c r="FM11" i="1" s="1"/>
  <c r="FR11" i="1" s="1"/>
  <c r="FX11" i="1" s="1"/>
  <c r="DU8" i="1"/>
  <c r="DT8" i="1"/>
  <c r="DS8" i="1"/>
  <c r="DR8" i="1"/>
  <c r="GO24" i="1" l="1"/>
  <c r="ES99" i="1"/>
  <c r="CT99" i="1"/>
  <c r="FC99" i="1"/>
  <c r="FU21" i="1"/>
  <c r="FV21" i="1" s="1"/>
  <c r="FT21" i="1"/>
  <c r="FY11" i="1"/>
  <c r="FY19" i="1"/>
  <c r="FV22" i="1"/>
  <c r="FU15" i="1"/>
  <c r="FV15" i="1" s="1"/>
  <c r="FW15" i="1" s="1"/>
  <c r="FT15" i="1"/>
  <c r="FT8" i="1"/>
  <c r="FY8" i="1" s="1"/>
  <c r="FW19" i="1"/>
  <c r="ES97" i="1"/>
  <c r="CT97" i="1"/>
  <c r="FC97" i="1"/>
  <c r="ES104" i="1"/>
  <c r="CT104" i="1"/>
  <c r="FC104" i="1"/>
  <c r="FY15" i="1"/>
  <c r="ES103" i="1"/>
  <c r="CT103" i="1"/>
  <c r="FC103" i="1"/>
  <c r="FY13" i="1"/>
  <c r="FV16" i="1"/>
  <c r="FW16" i="1" s="1"/>
  <c r="FY16" i="1" s="1"/>
  <c r="ES89" i="1"/>
  <c r="CT89" i="1"/>
  <c r="FC89" i="1"/>
  <c r="ES102" i="1"/>
  <c r="CT102" i="1"/>
  <c r="FC102" i="1"/>
  <c r="FV11" i="1"/>
  <c r="FW11" i="1" s="1"/>
  <c r="FU18" i="1"/>
  <c r="FV18" i="1" s="1"/>
  <c r="FT18" i="1"/>
  <c r="EE8" i="1"/>
  <c r="DZ8" i="1"/>
  <c r="ES98" i="1"/>
  <c r="CT98" i="1"/>
  <c r="FC98" i="1"/>
  <c r="ES101" i="1"/>
  <c r="CT101" i="1"/>
  <c r="FC101" i="1"/>
  <c r="FY9" i="1"/>
  <c r="FT12" i="1"/>
  <c r="FW12" i="1" s="1"/>
  <c r="FV13" i="1"/>
  <c r="FW13" i="1" s="1"/>
  <c r="ES100" i="1"/>
  <c r="CT100" i="1"/>
  <c r="FC100" i="1"/>
  <c r="FT11" i="1"/>
  <c r="FT9" i="1"/>
  <c r="FT13" i="1"/>
  <c r="FT16" i="1"/>
  <c r="FT19" i="1"/>
  <c r="FT22" i="1"/>
  <c r="BR24" i="1"/>
  <c r="FM10" i="1"/>
  <c r="FR10" i="1" s="1"/>
  <c r="FX10" i="1" s="1"/>
  <c r="LH52" i="1"/>
  <c r="LH55" i="1"/>
  <c r="EZ90" i="1"/>
  <c r="EZ91" i="1"/>
  <c r="EZ92" i="1"/>
  <c r="EZ93" i="1"/>
  <c r="EZ94" i="1"/>
  <c r="FB89" i="1"/>
  <c r="FB90" i="1"/>
  <c r="FB91" i="1"/>
  <c r="FB92" i="1"/>
  <c r="FB93" i="1"/>
  <c r="FB94" i="1"/>
  <c r="FB97" i="1"/>
  <c r="FB98" i="1"/>
  <c r="FB99" i="1"/>
  <c r="FB100" i="1"/>
  <c r="FB101" i="1"/>
  <c r="FB102" i="1"/>
  <c r="FB103" i="1"/>
  <c r="FB104" i="1"/>
  <c r="CI89" i="1"/>
  <c r="CD89" i="1" s="1"/>
  <c r="CI90" i="1"/>
  <c r="CI91" i="1"/>
  <c r="CI92" i="1"/>
  <c r="CI93" i="1"/>
  <c r="CI94" i="1"/>
  <c r="FC95" i="1"/>
  <c r="FC96" i="1"/>
  <c r="CI97" i="1"/>
  <c r="CI98" i="1"/>
  <c r="CI99" i="1"/>
  <c r="CD99" i="1" s="1"/>
  <c r="CI100" i="1"/>
  <c r="CD100" i="1" s="1"/>
  <c r="CI101" i="1"/>
  <c r="CD101" i="1" s="1"/>
  <c r="CI102" i="1"/>
  <c r="CD102" i="1" s="1"/>
  <c r="CI103" i="1"/>
  <c r="CD103" i="1" s="1"/>
  <c r="CI104" i="1"/>
  <c r="CD104" i="1" s="1"/>
  <c r="CJ89" i="1"/>
  <c r="CJ90" i="1"/>
  <c r="CJ91" i="1"/>
  <c r="CJ92" i="1"/>
  <c r="CJ93" i="1"/>
  <c r="CJ94" i="1"/>
  <c r="CJ97" i="1"/>
  <c r="CJ98" i="1"/>
  <c r="CJ99" i="1"/>
  <c r="CJ100" i="1"/>
  <c r="CJ101" i="1"/>
  <c r="CJ102" i="1"/>
  <c r="CJ103" i="1"/>
  <c r="CJ104" i="1"/>
  <c r="LH53" i="1"/>
  <c r="LH56" i="1"/>
  <c r="FX93" i="1"/>
  <c r="FY93" i="1" s="1"/>
  <c r="FX94" i="1"/>
  <c r="FY94" i="1" s="1"/>
  <c r="CT95" i="1"/>
  <c r="CT96" i="1"/>
  <c r="FX97" i="1"/>
  <c r="FY97" i="1" s="1"/>
  <c r="FX98" i="1"/>
  <c r="FY98" i="1" s="1"/>
  <c r="FX99" i="1"/>
  <c r="FY99" i="1" s="1"/>
  <c r="FX100" i="1"/>
  <c r="FY100" i="1" s="1"/>
  <c r="FX101" i="1"/>
  <c r="FY101" i="1" s="1"/>
  <c r="FX102" i="1"/>
  <c r="FY102" i="1" s="1"/>
  <c r="FX103" i="1"/>
  <c r="FY103" i="1" s="1"/>
  <c r="FX104" i="1"/>
  <c r="FY104" i="1" s="1"/>
  <c r="ER89" i="1"/>
  <c r="ER90" i="1"/>
  <c r="ER91" i="1"/>
  <c r="ER92" i="1"/>
  <c r="ER93" i="1"/>
  <c r="ER94" i="1"/>
  <c r="ER97" i="1"/>
  <c r="ER98" i="1"/>
  <c r="ER99" i="1"/>
  <c r="ER100" i="1"/>
  <c r="ER101" i="1"/>
  <c r="ER102" i="1"/>
  <c r="ER103" i="1"/>
  <c r="ER104" i="1"/>
  <c r="FT20" i="1"/>
  <c r="FW20" i="1" s="1"/>
  <c r="FY20" i="1" s="1"/>
  <c r="GI89" i="1"/>
  <c r="EB8" i="1"/>
  <c r="FU14" i="1"/>
  <c r="FV14" i="1" s="1"/>
  <c r="FW14" i="1" s="1"/>
  <c r="FY14" i="1" s="1"/>
  <c r="FU17" i="1"/>
  <c r="FV17" i="1" s="1"/>
  <c r="FW17" i="1" s="1"/>
  <c r="FY17" i="1" s="1"/>
  <c r="FX89" i="1"/>
  <c r="FX91" i="1"/>
  <c r="FX92" i="1"/>
  <c r="FX90" i="1"/>
  <c r="FY90" i="1" l="1"/>
  <c r="FY92" i="1"/>
  <c r="FY91" i="1"/>
  <c r="FY89" i="1"/>
  <c r="FY18" i="1"/>
  <c r="CF100" i="1"/>
  <c r="CE100" i="1"/>
  <c r="FV10" i="1"/>
  <c r="FW10" i="1" s="1"/>
  <c r="ES91" i="1"/>
  <c r="CT91" i="1"/>
  <c r="FC91" i="1"/>
  <c r="JT54" i="1"/>
  <c r="JV54" i="1"/>
  <c r="CD92" i="1"/>
  <c r="JU54" i="1"/>
  <c r="CF103" i="1"/>
  <c r="CE103" i="1"/>
  <c r="ES90" i="1"/>
  <c r="CT90" i="1"/>
  <c r="FC90" i="1"/>
  <c r="FY10" i="1"/>
  <c r="JV52" i="1"/>
  <c r="JU52" i="1"/>
  <c r="JT52" i="1"/>
  <c r="JT69" i="1" s="1"/>
  <c r="CD90" i="1"/>
  <c r="FW18" i="1"/>
  <c r="FW21" i="1"/>
  <c r="FY21" i="1" s="1"/>
  <c r="CF101" i="1"/>
  <c r="CE101" i="1"/>
  <c r="JV56" i="1"/>
  <c r="JU56" i="1"/>
  <c r="JT56" i="1"/>
  <c r="CD94" i="1"/>
  <c r="JV55" i="1"/>
  <c r="JU55" i="1"/>
  <c r="JT55" i="1"/>
  <c r="CD93" i="1"/>
  <c r="JV53" i="1"/>
  <c r="JU53" i="1"/>
  <c r="JT53" i="1"/>
  <c r="CD91" i="1"/>
  <c r="CF102" i="1"/>
  <c r="CE102" i="1"/>
  <c r="FY12" i="1"/>
  <c r="CF99" i="1"/>
  <c r="CE99" i="1"/>
  <c r="CF95" i="1"/>
  <c r="CE95" i="1"/>
  <c r="CF97" i="1"/>
  <c r="CE97" i="1"/>
  <c r="JV60" i="1"/>
  <c r="JU60" i="1"/>
  <c r="JT60" i="1"/>
  <c r="CD98" i="1"/>
  <c r="ES94" i="1"/>
  <c r="CT94" i="1"/>
  <c r="FC94" i="1"/>
  <c r="CF98" i="1"/>
  <c r="CE98" i="1"/>
  <c r="CF104" i="1"/>
  <c r="CE104" i="1"/>
  <c r="JV59" i="1"/>
  <c r="JU59" i="1"/>
  <c r="JT59" i="1"/>
  <c r="CD97" i="1"/>
  <c r="ES93" i="1"/>
  <c r="CT93" i="1"/>
  <c r="FC93" i="1"/>
  <c r="CF89" i="1"/>
  <c r="CE89" i="1"/>
  <c r="CF96" i="1"/>
  <c r="CE96" i="1"/>
  <c r="ES92" i="1"/>
  <c r="CT92" i="1"/>
  <c r="FC92" i="1"/>
  <c r="FW22" i="1"/>
  <c r="FY22" i="1" s="1"/>
  <c r="CF90" i="1" l="1"/>
  <c r="CE90" i="1"/>
  <c r="CF94" i="1"/>
  <c r="CE94" i="1"/>
  <c r="CF93" i="1"/>
  <c r="CE93" i="1"/>
  <c r="CF92" i="1"/>
  <c r="CE92" i="1"/>
  <c r="CF91" i="1"/>
  <c r="CE91" i="1"/>
  <c r="EV54" i="1" l="1"/>
  <c r="EV91" i="1"/>
  <c r="FT54" i="1"/>
  <c r="FB10" i="1"/>
  <c r="EV97" i="1" l="1"/>
  <c r="FB16" i="1"/>
  <c r="FT60" i="1"/>
  <c r="EV60" i="1"/>
  <c r="EV101" i="1"/>
  <c r="FB20" i="1"/>
  <c r="FT64" i="1"/>
  <c r="EV64" i="1"/>
  <c r="EV62" i="1"/>
  <c r="EV99" i="1"/>
  <c r="FT62" i="1"/>
  <c r="FB18" i="1"/>
  <c r="FT56" i="1"/>
  <c r="EV93" i="1"/>
  <c r="EV56" i="1"/>
  <c r="FB12" i="1"/>
  <c r="FT59" i="1"/>
  <c r="EV96" i="1"/>
  <c r="EV59" i="1"/>
  <c r="FB15" i="1"/>
  <c r="EV57" i="1"/>
  <c r="EV94" i="1"/>
  <c r="FB13" i="1"/>
  <c r="FT57" i="1"/>
  <c r="EV102" i="1"/>
  <c r="FT65" i="1"/>
  <c r="EV65" i="1"/>
  <c r="FB21" i="1"/>
  <c r="EV98" i="1"/>
  <c r="EV61" i="1"/>
  <c r="FB17" i="1"/>
  <c r="FT61" i="1"/>
  <c r="EV100" i="1"/>
  <c r="FB19" i="1"/>
  <c r="FT63" i="1"/>
  <c r="EV63" i="1"/>
  <c r="EV103" i="1"/>
  <c r="FB22" i="1"/>
  <c r="FT66" i="1"/>
  <c r="EV66" i="1"/>
  <c r="EV95" i="1"/>
  <c r="FT58" i="1"/>
  <c r="FB14" i="1"/>
  <c r="EV58" i="1"/>
  <c r="EV104" i="1"/>
  <c r="FT67" i="1"/>
  <c r="FB23" i="1"/>
  <c r="EV67" i="1"/>
  <c r="FD8" i="1"/>
  <c r="EU52" i="1"/>
  <c r="EY89" i="1"/>
  <c r="EY90" i="1"/>
  <c r="EY91" i="1"/>
  <c r="EY92" i="1"/>
  <c r="EY93" i="1"/>
  <c r="EY94" i="1"/>
  <c r="EY95" i="1"/>
  <c r="EY96" i="1"/>
  <c r="EY97" i="1"/>
  <c r="EY98" i="1"/>
  <c r="EY99" i="1"/>
  <c r="EY100" i="1"/>
  <c r="EY101" i="1"/>
  <c r="EY102" i="1"/>
  <c r="EY103" i="1"/>
  <c r="EY104" i="1"/>
  <c r="BN8" i="1"/>
  <c r="FE8" i="1"/>
  <c r="FG8" i="1"/>
  <c r="EW52" i="1"/>
  <c r="BQ8" i="1"/>
  <c r="EX52" i="1"/>
  <c r="EZ52" i="1"/>
  <c r="FW89" i="1"/>
  <c r="BN52" i="1"/>
  <c r="BQ52" i="1"/>
  <c r="EU89" i="1"/>
  <c r="EU90" i="1"/>
  <c r="EU91" i="1"/>
  <c r="EU92" i="1"/>
  <c r="EU93" i="1"/>
  <c r="EU94" i="1"/>
  <c r="EU95" i="1"/>
  <c r="EU96" i="1"/>
  <c r="EU97" i="1"/>
  <c r="EU98" i="1"/>
  <c r="EU99" i="1"/>
  <c r="EU100" i="1"/>
  <c r="EU101" i="1"/>
  <c r="EU102" i="1"/>
  <c r="EU103" i="1"/>
  <c r="EU104" i="1"/>
  <c r="EZ8" i="1"/>
  <c r="EW104" i="1" l="1"/>
  <c r="EW103" i="1"/>
  <c r="EW102" i="1"/>
  <c r="EW101" i="1"/>
  <c r="EW100" i="1"/>
  <c r="EW99" i="1"/>
  <c r="EW98" i="1"/>
  <c r="EW97" i="1"/>
  <c r="EW96" i="1"/>
  <c r="EW95" i="1"/>
  <c r="EW94" i="1"/>
  <c r="EW93" i="1"/>
  <c r="EW92" i="1"/>
  <c r="EW91" i="1"/>
  <c r="EW90" i="1"/>
  <c r="EW89" i="1"/>
  <c r="BS52" i="1"/>
  <c r="BS8" i="1"/>
  <c r="BS24" i="1" s="1"/>
  <c r="BQ24" i="1"/>
  <c r="FA8" i="1"/>
  <c r="EV89" i="1"/>
  <c r="FT52" i="1"/>
  <c r="EV52" i="1"/>
  <c r="FB8" i="1"/>
  <c r="EV92" i="1" l="1"/>
  <c r="FT55" i="1"/>
  <c r="EV55" i="1"/>
  <c r="FB11" i="1"/>
  <c r="AC55" i="1" l="1"/>
  <c r="AC11" i="1"/>
  <c r="AC52" i="1" l="1"/>
  <c r="KB8" i="1"/>
  <c r="CE8" i="1"/>
  <c r="CE52" i="1"/>
  <c r="CD52" i="1"/>
  <c r="CD8" i="1"/>
  <c r="CD24" i="1" s="1"/>
  <c r="AC8" i="1"/>
  <c r="IN52" i="1"/>
  <c r="IM52" i="1"/>
  <c r="KC8" i="1"/>
  <c r="AC54" i="1"/>
  <c r="AC10" i="1"/>
  <c r="LD53" i="1" l="1"/>
  <c r="LD68" i="1" s="1"/>
  <c r="GN8" i="1" l="1"/>
  <c r="GN24" i="1" s="1"/>
  <c r="FT53" i="1"/>
  <c r="EV90" i="1"/>
  <c r="FB9" i="1"/>
  <c r="EV53" i="1"/>
  <c r="AC9" i="1"/>
  <c r="AC53" i="1"/>
  <c r="BA47" i="1" l="1"/>
  <c r="OB3" i="1"/>
  <c r="ND2" i="1"/>
  <c r="KB4" i="1"/>
  <c r="LX3" i="1"/>
  <c r="Y45" i="1"/>
  <c r="GL3" i="1"/>
  <c r="Y1" i="1"/>
  <c r="B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int12</author>
  </authors>
  <commentList>
    <comment ref="W3" authorId="0" shapeId="0" xr:uid="{432C6364-1CF2-B046-AB9D-00BA8AEF9B3C}">
      <text>
        <r>
          <rPr>
            <b/>
            <sz val="24"/>
            <color indexed="81"/>
            <rFont val="Tahoma"/>
            <family val="2"/>
          </rPr>
          <t>int12: FORMULE</t>
        </r>
        <r>
          <rPr>
            <sz val="9"/>
            <color indexed="81"/>
            <rFont val="Tahoma"/>
            <family val="2"/>
          </rPr>
          <t xml:space="preserve">
</t>
        </r>
      </text>
    </comment>
    <comment ref="W4" authorId="0" shapeId="0" xr:uid="{2919A358-E0C1-C847-A50D-E36962D9CDED}">
      <text>
        <r>
          <rPr>
            <b/>
            <sz val="18"/>
            <color indexed="81"/>
            <rFont val="Tahoma"/>
            <family val="2"/>
          </rPr>
          <t>int12: FORMULE</t>
        </r>
      </text>
    </comment>
    <comment ref="Y47" authorId="0" shapeId="0" xr:uid="{813FFA67-9AA6-8F47-BB4D-FE572D167E87}">
      <text>
        <r>
          <rPr>
            <b/>
            <sz val="24"/>
            <color indexed="81"/>
            <rFont val="Tahoma"/>
            <family val="2"/>
          </rPr>
          <t>int12: FORMULE</t>
        </r>
        <r>
          <rPr>
            <sz val="9"/>
            <color indexed="81"/>
            <rFont val="Tahoma"/>
            <family val="2"/>
          </rPr>
          <t xml:space="preserve">
</t>
        </r>
      </text>
    </comment>
    <comment ref="Y48" authorId="0" shapeId="0" xr:uid="{ADFDD1F7-37B9-7F4A-B52B-962569E0B7D1}">
      <text>
        <r>
          <rPr>
            <b/>
            <sz val="18"/>
            <color indexed="81"/>
            <rFont val="Tahoma"/>
            <family val="2"/>
          </rPr>
          <t>int12: FORMULE</t>
        </r>
      </text>
    </comment>
  </commentList>
</comments>
</file>

<file path=xl/sharedStrings.xml><?xml version="1.0" encoding="utf-8"?>
<sst xmlns="http://schemas.openxmlformats.org/spreadsheetml/2006/main" count="560" uniqueCount="261">
  <si>
    <t>RIEPILOGO COMPLETO DELLA COMMESSA DEL CLIENTE</t>
  </si>
  <si>
    <t>DISTINTA DI CARICO DEL SOLO MODELLO</t>
  </si>
  <si>
    <t>DISTINTA DI TAGLIO E PRODUZIONE</t>
  </si>
  <si>
    <t>NON SERVE PER MODERNA</t>
  </si>
  <si>
    <t>COEFFpesoSPEZZONEdiDOGArifilataEtub30x30</t>
  </si>
  <si>
    <t>NON SERVE X MODERNA</t>
  </si>
  <si>
    <t>NON SERVE PER LA MODERNA</t>
  </si>
  <si>
    <t>DISTINTA DI TAGLIO PROFILO LATERALE E INFERIORE "AGGIUNTIVO"</t>
  </si>
  <si>
    <t>PELLICOLA IN QUADRICROMIA</t>
  </si>
  <si>
    <t>MATERIALI PER IMBALLAGGIO:</t>
  </si>
  <si>
    <t xml:space="preserve">Cliente: </t>
  </si>
  <si>
    <t>CORRIERE CONTO ECONOMICO</t>
  </si>
  <si>
    <t>MODERNA</t>
  </si>
  <si>
    <t>COEFFpesoDIparteDELLAcernieraAPERTAeDELgancioNELLAparteDELLAdoga</t>
  </si>
  <si>
    <t>IMBALLO POLISTIROLO</t>
  </si>
  <si>
    <t>Rif.:</t>
  </si>
  <si>
    <t xml:space="preserve"> CORRIERE:</t>
  </si>
  <si>
    <t>PESOguarnORIZZmodernaKGalML</t>
  </si>
  <si>
    <t>SACCO TELONERIA</t>
  </si>
  <si>
    <t>ADESIVO DI AVVERTENZA IN LINGUA:</t>
  </si>
  <si>
    <t>CORRIERE USUALE:</t>
  </si>
  <si>
    <t>pesoALmlDOPPIAsiliconaturaINunaDOGA</t>
  </si>
  <si>
    <t>SALDATURE BUSTA</t>
  </si>
  <si>
    <t>SOPRA E SOTTO</t>
  </si>
  <si>
    <t>LATERALE</t>
  </si>
  <si>
    <t>PER MODERNA LATO SOTTO</t>
  </si>
  <si>
    <t>BARRIERA</t>
  </si>
  <si>
    <t>PROFILO DOGA:</t>
  </si>
  <si>
    <t>DOGA RIFILATA</t>
  </si>
  <si>
    <t>CERNIERA TUBOLARE</t>
  </si>
  <si>
    <t>CANALINO ORIZZONTALE</t>
  </si>
  <si>
    <t>TELAIO AD ELLE</t>
  </si>
  <si>
    <t>PROFILO SOGLIA</t>
  </si>
  <si>
    <t xml:space="preserve">FORO Ffissaggio  DIAM. 5,5 +11,5 mm </t>
  </si>
  <si>
    <t xml:space="preserve">USANDO TELAIO VITALE IN BASSO A DISTANZA\interasse viti partendo dall' esterno del telaio a mm </t>
  </si>
  <si>
    <t>A DOGA ANCORA SFUSE (LA N° 5 DAL BASSO)</t>
  </si>
  <si>
    <t>CERNIERA APERTA</t>
  </si>
  <si>
    <t>PROFILO GANCIO\UNCINO</t>
  </si>
  <si>
    <t>H</t>
  </si>
  <si>
    <t>profilo di tenuta laterale</t>
  </si>
  <si>
    <t>CHIAVISTELLO VERTICALE</t>
  </si>
  <si>
    <t>MANIGLIE IN PVC</t>
  </si>
  <si>
    <t>CALCOLO SOLO PER LA MODERNA E ALLA PRODUZIONE SERVE SOLO VEDERE LA COLONNA DEL CENTRO M,ANIGLIA</t>
  </si>
  <si>
    <t>ACCESSORI</t>
  </si>
  <si>
    <t>GUARNIZIONI</t>
  </si>
  <si>
    <t>NON è POSSIBILE PER MODERNA</t>
  </si>
  <si>
    <t>TAGLIO</t>
  </si>
  <si>
    <t>TASCHE</t>
  </si>
  <si>
    <t>POLISTIROLO DA 2 CM SOPRA  E SOTTO</t>
  </si>
  <si>
    <t>POLISTIROLO DA 2 CM LATERALI LARG+ALT</t>
  </si>
  <si>
    <t xml:space="preserve">U (PROFILO IN GOMMA ESPANSA) </t>
  </si>
  <si>
    <t>POS</t>
  </si>
  <si>
    <t>riferimento</t>
  </si>
  <si>
    <t>TIPO BARRIERA</t>
  </si>
  <si>
    <t>PZ</t>
  </si>
  <si>
    <t>LARG</t>
  </si>
  <si>
    <t>ALT</t>
  </si>
  <si>
    <t>COMANDO OPZIONALE</t>
  </si>
  <si>
    <t xml:space="preserve">LATO COMANDO V.EST. </t>
  </si>
  <si>
    <t>RAL BARRIERA</t>
  </si>
  <si>
    <t>PELLICOLA</t>
  </si>
  <si>
    <t>SISTEMA LUCCHETTO</t>
  </si>
  <si>
    <t xml:space="preserve">PROFILI DI TENUTA LATERALI </t>
  </si>
  <si>
    <t>COPERTINA</t>
  </si>
  <si>
    <t>ALT.:</t>
  </si>
  <si>
    <t>RAL ANGOLARI e COPERTINE*</t>
  </si>
  <si>
    <t>Tipo TUB. O PROF.SX</t>
  </si>
  <si>
    <t>FISSAGGIO A:</t>
  </si>
  <si>
    <t>Tipo TUB. O PROF.DX</t>
  </si>
  <si>
    <t>ALTEZZA  (SX &amp; DX)</t>
  </si>
  <si>
    <t>RAL TUBOLARE</t>
  </si>
  <si>
    <t>TIPO PIATTO</t>
  </si>
  <si>
    <t>DIM. PIATTO</t>
  </si>
  <si>
    <t>N° e tipo P\ROMPITRATTO</t>
  </si>
  <si>
    <t>N° e tipo P\APPOGGIO</t>
  </si>
  <si>
    <t>NOTE:</t>
  </si>
  <si>
    <t>PESO</t>
  </si>
  <si>
    <t>POS:</t>
  </si>
  <si>
    <t>PZ                (1 dx + 1sx)</t>
  </si>
  <si>
    <t xml:space="preserve">PROFILI  LATERALI </t>
  </si>
  <si>
    <t>ALTEZZA</t>
  </si>
  <si>
    <t>TIPOLOGIA COPERTINA</t>
  </si>
  <si>
    <t>TUBOLARE O PROFILO OPZIONALE SX</t>
  </si>
  <si>
    <t>ALTspecialeTUBOLARE O PROFILO OPZIONALE  SX</t>
  </si>
  <si>
    <t>TRATTAMENTO PROFILO SX</t>
  </si>
  <si>
    <t>TUBOLARE O PROFILO OPZIONALE DX</t>
  </si>
  <si>
    <t>ALTspecialeTUBOLARI</t>
  </si>
  <si>
    <t>TRATTAMENTO PROFILO DX</t>
  </si>
  <si>
    <t>tipo di profilo sotto</t>
  </si>
  <si>
    <t>LUNG</t>
  </si>
  <si>
    <t>POZZETTI IN OTTONE PER CHIAVISTELLO VERTICALE n°:OTTONELLE</t>
  </si>
  <si>
    <t>CATENACCIOLO ORIZZONTALE</t>
  </si>
  <si>
    <t>VITI AUTOFIL. 5,2*30 TBCC  INOX A2 ( ER MANIGLIE PVC)</t>
  </si>
  <si>
    <t>VITI AUTOFIL TSCC 2,9*19 INOX A2 (PER CATENACCIOLI ZINCATI ORIZZONTALI9</t>
  </si>
  <si>
    <t>PIANTONE DI UNIONE</t>
  </si>
  <si>
    <t>PIANTONE DI APPOGGIO</t>
  </si>
  <si>
    <t xml:space="preserve">rifilata ad altezza </t>
  </si>
  <si>
    <t>INCLINAZIONE  DI TAGLIO</t>
  </si>
  <si>
    <t>GRADI TAGLIO</t>
  </si>
  <si>
    <t>TIPO PROFILI DI TENUTA LATERALI</t>
  </si>
  <si>
    <t>1 foro</t>
  </si>
  <si>
    <t>1° foro dal basso del telaio</t>
  </si>
  <si>
    <t>2° foro dal basso del telaio</t>
  </si>
  <si>
    <t>3° foro dal basso del telaio</t>
  </si>
  <si>
    <t>4° foro dal basso del telaio</t>
  </si>
  <si>
    <t>5° foro dal basso del telaio</t>
  </si>
  <si>
    <t>6° foro dal basso del telaio</t>
  </si>
  <si>
    <t>1°scasso a dim longitudinale dal basso -30+30 con fresa di diam.10 mm</t>
  </si>
  <si>
    <t>2°scasso a dim longitudinale dal basso -30+30 con fresa di diam.10 MM</t>
  </si>
  <si>
    <t>3°scasso a dim longitudinale dal basso -30+30 con fresa di diam.10 MM</t>
  </si>
  <si>
    <t>N°FORI</t>
  </si>
  <si>
    <t>AD INTERASSE mm (33+22=54 mm DALL' ETERNO LATERALE DELLA DOGA)</t>
  </si>
  <si>
    <t>PRIMA DI ASSEMBLARLE NELLA DOGA N° 5 PARTENDO DAL BASSO</t>
  </si>
  <si>
    <t xml:space="preserve">TIPO PROFILI DI TENUTA LATERALI </t>
  </si>
  <si>
    <t>spessore chiavistello verticale "evita foro" nel profilo a soglia</t>
  </si>
  <si>
    <t>Posizionare in larghezza ogni chiavistello a cm:</t>
  </si>
  <si>
    <t>MANIGLIE SUPERIORI</t>
  </si>
  <si>
    <t>DISTANZA TRA LE VARIE MANIGLIE PARTENDO DA:</t>
  </si>
  <si>
    <t>MANIGLIE FRONTALI ( 1 PER LATO OPPOSTO NELLA penultima doga dall' alto)</t>
  </si>
  <si>
    <t>TAGLIO DOGA</t>
  </si>
  <si>
    <t>COEFFdimDIlargHmodernaRISPETTOallaDOGAmoderna</t>
  </si>
  <si>
    <t>PESO MANIGLIA MODERNA</t>
  </si>
  <si>
    <t xml:space="preserve">PESO KIT  3 PROFILI  CERNIERAin altezza variabile  con maniglia asportabile inseritaE 80 mm DI DOGHE </t>
  </si>
  <si>
    <t>PESO DEGLI  SPEZZONI INSERITI NELLA CVERNIERA: TUB 30*30*2 E DOGA RIFILATA SOTTO</t>
  </si>
  <si>
    <t>PESO DOGHE (SOTRATTE 80 mm (FINO ALLA FINE DEL GANCIO)</t>
  </si>
  <si>
    <t>guarnizione orizzontale completa</t>
  </si>
  <si>
    <t>SILICONATURA</t>
  </si>
  <si>
    <t>peso della HMODERNA</t>
  </si>
  <si>
    <t>meta PESO della barriera con maniglia infialtaTOTALE Maniglia e BARRIERA</t>
  </si>
  <si>
    <t>PESO GUARNIZIONE ORIZZONTALE SOLO SOTTO ALLA DOGA</t>
  </si>
  <si>
    <t>COEFF PESO AL MM DELE DOGHE (variabile in base all'altezza delle DOGHE AL mm)</t>
  </si>
  <si>
    <t>peso della sola doga con la h la sua siliconatura e la guarnzione sottostante</t>
  </si>
  <si>
    <t>se negativo il  meta peso barriera è superiore a quello del peso doga con guarnizione  esiliconata</t>
  </si>
  <si>
    <t>META PESO MENO LA H MODERNA</t>
  </si>
  <si>
    <t>CENTRO ,MANIGLIA IN PVC PARTENDO DA esterno alla h</t>
  </si>
  <si>
    <t>MANIGLIA A L EVA IN ALLUMINIO</t>
  </si>
  <si>
    <t>VITE AUTOFIL PER GANCIO</t>
  </si>
  <si>
    <t>VITE TSCE PER CERNIERA PARTE SOTTO</t>
  </si>
  <si>
    <t>VITE TBCE PER CERNIERA SOPRA</t>
  </si>
  <si>
    <t>TRONCHETTO DI DOGA RIFILATA INSERITO SOTTO NELLA CERNIERA CON TUBOLARE</t>
  </si>
  <si>
    <t>VITE AUTOFIL . A2 TCB 5,8 *30</t>
  </si>
  <si>
    <t>GUARNIZIONE ORIZZONTALE INFERIORE</t>
  </si>
  <si>
    <t>GUARNIZIONE ORIZZONTALE INTERMDEDIA</t>
  </si>
  <si>
    <t>GUARNIZIONE VERTICALE</t>
  </si>
  <si>
    <t>TAPPO LATERALE DI GIUNZIONE GUARNIZIONE VERTICALE CON ORIZZONTALE</t>
  </si>
  <si>
    <t>GUARNIZIONE ORIZZONTALE</t>
  </si>
  <si>
    <t>GUIDA NYLON 8 X 9</t>
  </si>
  <si>
    <t>ANTIFURTO</t>
  </si>
  <si>
    <t>LARGHEZZA</t>
  </si>
  <si>
    <t>TAGLIO IN LARGHEZZA</t>
  </si>
  <si>
    <t>TAGLIO IN ALTEZZA cm</t>
  </si>
  <si>
    <t>SALDARE IN ALTEZZA  FINO A cm</t>
  </si>
  <si>
    <t>LARG. ESTERNA A SALDATURE PER PROFILI LATERALIERALI di tenuta</t>
  </si>
  <si>
    <t>interno sacca X profilato sx</t>
  </si>
  <si>
    <t>interno sacca X profilato dx</t>
  </si>
  <si>
    <t>LATERALE LARG</t>
  </si>
  <si>
    <t>LATERALE ALT</t>
  </si>
  <si>
    <t xml:space="preserve">LATO </t>
  </si>
  <si>
    <t>ESCLUSI</t>
  </si>
  <si>
    <t>ALT BARRIERA +29 mm</t>
  </si>
  <si>
    <t>CONTROLLARLO</t>
  </si>
  <si>
    <t>MONTANTE SX</t>
  </si>
  <si>
    <t>TRAVERSO SUP.</t>
  </si>
  <si>
    <t>MONTANTE DX</t>
  </si>
  <si>
    <t xml:space="preserve">ATTENZIONE: METTERE A POSTO PER PROFILO SOGLIA </t>
  </si>
  <si>
    <t>FORO COMANDO ANTA DI DIAMETRO 20 mm</t>
  </si>
  <si>
    <t>GUIDA O TELAIO</t>
  </si>
  <si>
    <t>TIPO LUCCHETTO</t>
  </si>
  <si>
    <t xml:space="preserve">ACCESSORIO </t>
  </si>
  <si>
    <t>ACCESSORIO  2</t>
  </si>
  <si>
    <t>VITE</t>
  </si>
  <si>
    <t>LAVORAZIONE</t>
  </si>
  <si>
    <t>LATERALE IN LARGHEZZA</t>
  </si>
  <si>
    <t>LATERALE in ALTEZZA</t>
  </si>
  <si>
    <t xml:space="preserve">EVENTUALE LATERALE SOTTO </t>
  </si>
  <si>
    <t>tot</t>
  </si>
  <si>
    <t>TOT PZ</t>
  </si>
  <si>
    <t>ML</t>
  </si>
  <si>
    <t>TOTALE PELLICOLA</t>
  </si>
  <si>
    <t>TOTALE</t>
  </si>
  <si>
    <t>RIEPILOGO ORDINI</t>
  </si>
  <si>
    <t>FARE SCASSO DA 15*30 SOTTO OPPOSTO E FORO DA 13 MM A 7 mm DALLA PARTE OPPOSTA A 17,5 E 17,5 IN PROFONDITA</t>
  </si>
  <si>
    <t>FARE A 7 mm DALL' ALTO 1 FOTO A 12,5 E L'ALTRO DA 47,5- NELLA PARTE BASSA A 14 mm INERTRNO  6,5 mm- FARE FORI A 30 mm ( AL CENTRO) A 50 mm DAL BASSO E DALL' ALTO E POI SOLO SOPRA AGLI 800 mm ANCHE UNO ALCENTRO</t>
  </si>
  <si>
    <t>LARGHEZZA BUSTA</t>
  </si>
  <si>
    <t>tot pezzi</t>
  </si>
  <si>
    <t>DESCRIZIONI</t>
  </si>
  <si>
    <t>FORNITORE</t>
  </si>
  <si>
    <t>PARTENZA</t>
  </si>
  <si>
    <t>ARRIVO</t>
  </si>
  <si>
    <t>COLLI</t>
  </si>
  <si>
    <t>STOCCAGGIO</t>
  </si>
  <si>
    <t>DESCRIZIONE</t>
  </si>
  <si>
    <t>OPERATORE</t>
  </si>
  <si>
    <t>DATA</t>
  </si>
  <si>
    <t>IMBALLAGGIO</t>
  </si>
  <si>
    <t>NOTA TUBOLARE:</t>
  </si>
  <si>
    <t xml:space="preserve">DA CONTROOLLARE PRIMA DI ORDNARE </t>
  </si>
  <si>
    <t>ESEMPIO BUSTA POS 1</t>
  </si>
  <si>
    <t>(LARGHEZZA BARRIERA +? )</t>
  </si>
  <si>
    <t>TOTALE SPESE DI TRASPORTO</t>
  </si>
  <si>
    <t>VERNICIATURA</t>
  </si>
  <si>
    <t>ADRIATICA ALLUMINIO</t>
  </si>
  <si>
    <t>DATA CONSEGNA</t>
  </si>
  <si>
    <t>DATA ARRIVO</t>
  </si>
  <si>
    <t>POS ARRIVO</t>
  </si>
  <si>
    <t>TEMPO OPERATORE</t>
  </si>
  <si>
    <t>n°</t>
  </si>
  <si>
    <t>di</t>
  </si>
  <si>
    <t>CASSA</t>
  </si>
  <si>
    <t>IMBALLAGGI RAVENNA</t>
  </si>
  <si>
    <t>ANGOLARI</t>
  </si>
  <si>
    <t>POLISITROLO DA 1CM</t>
  </si>
  <si>
    <t>INOX</t>
  </si>
  <si>
    <t>PIATTO</t>
  </si>
  <si>
    <t>POLISTIROLO DA 2CM</t>
  </si>
  <si>
    <t>ATTENZIONE!!! DISTINTA DA CONTROLLARE</t>
  </si>
  <si>
    <t>PATELLA</t>
  </si>
  <si>
    <t>CORRIERE:</t>
  </si>
  <si>
    <t>BRT</t>
  </si>
  <si>
    <t>GLS</t>
  </si>
  <si>
    <t>VITERIA</t>
  </si>
  <si>
    <t>STRISCE BLU IN ESPANSO</t>
  </si>
  <si>
    <t>TASCA ProF diTEN.</t>
  </si>
  <si>
    <t>EVENTAULE TASCA</t>
  </si>
  <si>
    <t>EVENTAUAE  TASCA</t>
  </si>
  <si>
    <t>GOMMA</t>
  </si>
  <si>
    <t>PROFILI</t>
  </si>
  <si>
    <t>SIGLA OPERATORE</t>
  </si>
  <si>
    <t>SPEDITO IL E SIGLA OPERATORE</t>
  </si>
  <si>
    <t>DISTINTA DI CARICO</t>
  </si>
  <si>
    <t>DISTINTA DI TAGLIO PROFILO INFERIORE</t>
  </si>
  <si>
    <t>ROMPITRATTO E PIANTONI DI APPOGGIO</t>
  </si>
  <si>
    <t xml:space="preserve"> CORRIERE</t>
  </si>
  <si>
    <t>PZ. 2</t>
  </si>
  <si>
    <t>CANALINO</t>
  </si>
  <si>
    <t>ANGOLARE</t>
  </si>
  <si>
    <t>MODELLO:</t>
  </si>
  <si>
    <t>POLISTIROLO DA 2 CM</t>
  </si>
  <si>
    <t>TRATTAMENTO PROFILI LATERALI ED EVENTUALE COPERTINA</t>
  </si>
  <si>
    <t>VERNICIATURA BARRIERA</t>
  </si>
  <si>
    <t>catenaccio verticale</t>
  </si>
  <si>
    <t>spessore catenaccio "evita foro" nel profilo a soglia</t>
  </si>
  <si>
    <t>DISTANZA TRA LE VARIE MANIGLIE PARTENDO DA: 18,0 cm dalla fine della barriera)</t>
  </si>
  <si>
    <t>kg PESO TEORICO SENZA IMBALLO BARRIERA</t>
  </si>
  <si>
    <t>(STD=Lalu60X30)</t>
  </si>
  <si>
    <t>TOTALE PELLEICOLA</t>
  </si>
  <si>
    <t>ALT TOT  BUSTA</t>
  </si>
  <si>
    <t>DIMENSIONE DOGA FINO ALL'UNCINO</t>
  </si>
  <si>
    <t>FARE SCASSO IN BASSO DA25*15 H E TRANCIARE CON PINZE DOPO AVER TAGLIATO A 25 mm CON SEGA- DALLA PARTE OPPOSTA FARE INCISIONE DA 15 mm A 23 mm POI TRANCIARE CON CESOIA SX E POI QUELLA DX E AL LIMITE UN COLPO DI LIMA</t>
  </si>
  <si>
    <t>DOGA</t>
  </si>
  <si>
    <t>FPROFILO LATERALE A "H"</t>
  </si>
  <si>
    <t>CERNIERA APERTA LATO DOGHE</t>
  </si>
  <si>
    <t>FARE FORMULA PER SPOSTARLO ON CASOI DI DIMENSIONE MINIMA OP PICCOLA</t>
  </si>
  <si>
    <t>DOGA/DOGHE ALL'INTERNO DELLA CERNIERA APERTA FINO ALL'UNCINO</t>
  </si>
  <si>
    <t>TUBOLARE 30*30 *2</t>
  </si>
  <si>
    <t>Posizione Catenaccio</t>
  </si>
  <si>
    <t>spessore catenaccio evita profilo a soglia</t>
  </si>
  <si>
    <t>OTTONELLE</t>
  </si>
  <si>
    <t>MANIGLIE FRONTALI ( ai lati penultima doga dall' alto)</t>
  </si>
  <si>
    <t>MM DI DISTANZA TRA LE VARIE COPPIE DI MANIGLIE</t>
  </si>
  <si>
    <t>CENTRO MANIGLIA PARTENDO DALL'INTERNO DELLA H VERSO LA MANIGLIA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</si>
</sst>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6" formatCode="0.00000"/>
    <numFmt numFmtId="167" formatCode="_(&quot;€&quot;* #,##0.00_);_(&quot;€&quot;* \(#,##0.00\);_(&quot;€&quot;* &quot;-&quot;??_);_(@_)"/>
  </numFmts>
  <fonts count="82">
    <font>
      <sz val="12"/>
      <color theme="1"/>
      <name val="Aptos Narrow"/>
      <family val="2"/>
      <scheme val="minor"/>
    </font>
    <font>
      <sz val="12"/>
      <color theme="1"/>
      <name val="Aptos Narrow"/>
      <family val="2"/>
      <scheme val="minor"/>
    </font>
    <font>
      <sz val="36"/>
      <color theme="0"/>
      <name val="Arial"/>
      <family val="2"/>
    </font>
    <font>
      <sz val="10"/>
      <color theme="0"/>
      <name val="Arial"/>
      <family val="2"/>
    </font>
    <font>
      <b/>
      <sz val="36"/>
      <color theme="0"/>
      <name val="Univers Condensed"/>
      <family val="2"/>
    </font>
    <font>
      <sz val="36"/>
      <name val="Arial"/>
      <family val="2"/>
    </font>
    <font>
      <sz val="36"/>
      <name val="Arial Black"/>
      <family val="2"/>
    </font>
    <font>
      <b/>
      <sz val="36"/>
      <name val="Arial"/>
      <family val="2"/>
    </font>
    <font>
      <sz val="22"/>
      <color rgb="FF0000FF"/>
      <name val="Arial"/>
      <family val="2"/>
    </font>
    <font>
      <sz val="22"/>
      <name val="Arial"/>
      <family val="2"/>
    </font>
    <font>
      <sz val="16"/>
      <name val="Arial"/>
      <family val="2"/>
    </font>
    <font>
      <sz val="36"/>
      <color theme="1"/>
      <name val="Arial"/>
      <family val="2"/>
    </font>
    <font>
      <sz val="26"/>
      <name val="Arial"/>
      <family val="2"/>
    </font>
    <font>
      <sz val="36"/>
      <color rgb="FFFF0000"/>
      <name val="Arial"/>
      <family val="2"/>
    </font>
    <font>
      <b/>
      <sz val="36"/>
      <color theme="1"/>
      <name val="Arial"/>
      <family val="2"/>
    </font>
    <font>
      <sz val="36"/>
      <name val="Code 128"/>
      <charset val="2"/>
    </font>
    <font>
      <sz val="26"/>
      <color rgb="FFFF0000"/>
      <name val="Arial"/>
      <family val="2"/>
    </font>
    <font>
      <sz val="26"/>
      <color rgb="FF0000FF"/>
      <name val="Arial"/>
      <family val="2"/>
    </font>
    <font>
      <sz val="28"/>
      <name val="Arial"/>
      <family val="2"/>
    </font>
    <font>
      <b/>
      <sz val="12"/>
      <color theme="1"/>
      <name val="Arial"/>
      <family val="2"/>
    </font>
    <font>
      <b/>
      <sz val="20"/>
      <color rgb="FF0000FF"/>
      <name val="Univers Condensed"/>
      <family val="2"/>
    </font>
    <font>
      <sz val="28"/>
      <name val="Code 128"/>
      <charset val="2"/>
    </font>
    <font>
      <sz val="16"/>
      <color rgb="FF0000FF"/>
      <name val="Arial"/>
      <family val="2"/>
    </font>
    <font>
      <sz val="10"/>
      <color rgb="FFFF0000"/>
      <name val="Arial"/>
      <family val="2"/>
    </font>
    <font>
      <b/>
      <sz val="36"/>
      <color rgb="FFFF0000"/>
      <name val="Arial"/>
      <family val="2"/>
    </font>
    <font>
      <sz val="16"/>
      <color rgb="FFFF0000"/>
      <name val="Arial"/>
      <family val="2"/>
    </font>
    <font>
      <sz val="18"/>
      <name val="Arial"/>
      <family val="2"/>
    </font>
    <font>
      <sz val="28"/>
      <color rgb="FFFF0000"/>
      <name val="Arial"/>
      <family val="2"/>
    </font>
    <font>
      <b/>
      <sz val="22"/>
      <name val="Arial"/>
      <family val="2"/>
    </font>
    <font>
      <b/>
      <i/>
      <sz val="22"/>
      <name val="Arial"/>
      <family val="2"/>
    </font>
    <font>
      <sz val="28"/>
      <color theme="1"/>
      <name val="Arial"/>
      <family val="2"/>
    </font>
    <font>
      <sz val="10"/>
      <color theme="1"/>
      <name val="Arial"/>
      <family val="2"/>
    </font>
    <font>
      <b/>
      <i/>
      <sz val="22"/>
      <color theme="1"/>
      <name val="Arial"/>
      <family val="2"/>
    </font>
    <font>
      <b/>
      <i/>
      <sz val="22"/>
      <color rgb="FFFF0000"/>
      <name val="Arial"/>
      <family val="2"/>
    </font>
    <font>
      <b/>
      <i/>
      <sz val="22"/>
      <color theme="0"/>
      <name val="Arial"/>
      <family val="2"/>
    </font>
    <font>
      <b/>
      <sz val="16"/>
      <name val="Arial"/>
      <family val="2"/>
    </font>
    <font>
      <b/>
      <sz val="16"/>
      <color theme="1"/>
      <name val="Aptos Narrow"/>
      <family val="2"/>
      <scheme val="minor"/>
    </font>
    <font>
      <sz val="16"/>
      <color theme="1"/>
      <name val="Aptos Narrow"/>
      <family val="2"/>
      <scheme val="minor"/>
    </font>
    <font>
      <b/>
      <sz val="14"/>
      <name val="Arial"/>
      <family val="2"/>
    </font>
    <font>
      <sz val="14"/>
      <name val="Arial"/>
      <family val="2"/>
    </font>
    <font>
      <b/>
      <sz val="10"/>
      <name val="Arial"/>
      <family val="2"/>
    </font>
    <font>
      <sz val="20"/>
      <name val="Arial"/>
      <family val="2"/>
    </font>
    <font>
      <b/>
      <i/>
      <sz val="16"/>
      <name val="Arial"/>
      <family val="2"/>
    </font>
    <font>
      <b/>
      <sz val="24"/>
      <name val="Arial"/>
      <family val="2"/>
    </font>
    <font>
      <b/>
      <sz val="16"/>
      <color rgb="FFFF0000"/>
      <name val="Arial"/>
      <family val="2"/>
    </font>
    <font>
      <b/>
      <sz val="16"/>
      <color theme="0"/>
      <name val="Arial"/>
      <family val="2"/>
    </font>
    <font>
      <sz val="24"/>
      <name val="Arial"/>
      <family val="2"/>
    </font>
    <font>
      <sz val="24"/>
      <color rgb="FFFF0000"/>
      <name val="Arial"/>
      <family val="2"/>
    </font>
    <font>
      <sz val="24"/>
      <color theme="0"/>
      <name val="Arial"/>
      <family val="2"/>
    </font>
    <font>
      <sz val="28"/>
      <color rgb="FFFF0000"/>
      <name val="Univers Condensed"/>
      <family val="2"/>
    </font>
    <font>
      <sz val="24"/>
      <color rgb="FFFF0000"/>
      <name val="Lucida Console"/>
      <family val="3"/>
    </font>
    <font>
      <sz val="14"/>
      <color rgb="FFFF0000"/>
      <name val="Lucida Console"/>
      <family val="3"/>
    </font>
    <font>
      <sz val="24"/>
      <color theme="1"/>
      <name val="Aptos Narrow"/>
      <family val="2"/>
      <scheme val="minor"/>
    </font>
    <font>
      <sz val="28"/>
      <color rgb="FFFF0000"/>
      <name val="Lucida Console"/>
      <family val="3"/>
    </font>
    <font>
      <sz val="24"/>
      <name val="Lucida Console"/>
      <family val="3"/>
    </font>
    <font>
      <sz val="10"/>
      <name val="Lucida Console"/>
      <family val="3"/>
    </font>
    <font>
      <sz val="10"/>
      <name val="Arial"/>
      <family val="2"/>
    </font>
    <font>
      <sz val="26"/>
      <name val="Lucida Console"/>
      <family val="3"/>
    </font>
    <font>
      <sz val="28"/>
      <name val="Lucida Console"/>
      <family val="3"/>
    </font>
    <font>
      <sz val="18"/>
      <color rgb="FFFF0000"/>
      <name val="Lucida Console"/>
      <family val="3"/>
    </font>
    <font>
      <sz val="16"/>
      <color rgb="FFFF0000"/>
      <name val="Lucida Console"/>
      <family val="3"/>
    </font>
    <font>
      <b/>
      <sz val="16"/>
      <color rgb="FFFF0000"/>
      <name val="Lucida Console"/>
      <family val="3"/>
    </font>
    <font>
      <b/>
      <sz val="24"/>
      <color rgb="FFFF0000"/>
      <name val="Arial"/>
      <family val="2"/>
    </font>
    <font>
      <b/>
      <sz val="24"/>
      <color theme="0"/>
      <name val="Arial"/>
      <family val="2"/>
    </font>
    <font>
      <sz val="20"/>
      <color rgb="FFFF0000"/>
      <name val="Lucida Console"/>
      <family val="3"/>
    </font>
    <font>
      <sz val="20"/>
      <name val="Lucida Console"/>
      <family val="3"/>
    </font>
    <font>
      <sz val="72"/>
      <name val="Arial"/>
      <family val="2"/>
    </font>
    <font>
      <sz val="36"/>
      <name val="Bahnschrift"/>
      <family val="2"/>
    </font>
    <font>
      <b/>
      <sz val="18"/>
      <color rgb="FFFF0000"/>
      <name val="Arial"/>
      <family val="2"/>
    </font>
    <font>
      <sz val="20"/>
      <color rgb="FFFF0000"/>
      <name val="Arial"/>
      <family val="2"/>
    </font>
    <font>
      <b/>
      <sz val="26"/>
      <name val="Arial"/>
      <family val="2"/>
    </font>
    <font>
      <b/>
      <sz val="18"/>
      <name val="Arial"/>
      <family val="2"/>
    </font>
    <font>
      <b/>
      <sz val="28"/>
      <name val="Arial"/>
      <family val="2"/>
    </font>
    <font>
      <b/>
      <sz val="20"/>
      <name val="Arial"/>
      <family val="2"/>
    </font>
    <font>
      <b/>
      <sz val="26"/>
      <color rgb="FFFF0000"/>
      <name val="Arial"/>
      <family val="2"/>
    </font>
    <font>
      <b/>
      <sz val="10"/>
      <color rgb="FFFF0000"/>
      <name val="Arial"/>
      <family val="2"/>
    </font>
    <font>
      <b/>
      <sz val="10"/>
      <color theme="0"/>
      <name val="Arial"/>
      <family val="2"/>
    </font>
    <font>
      <b/>
      <sz val="11"/>
      <name val="Arial"/>
      <family val="2"/>
    </font>
    <font>
      <sz val="22"/>
      <color rgb="FFFF0000"/>
      <name val="Arial"/>
      <family val="2"/>
    </font>
    <font>
      <b/>
      <sz val="24"/>
      <color indexed="81"/>
      <name val="Tahoma"/>
      <family val="2"/>
    </font>
    <font>
      <sz val="9"/>
      <color indexed="81"/>
      <name val="Tahoma"/>
      <family val="2"/>
    </font>
    <font>
      <b/>
      <sz val="18"/>
      <color indexed="81"/>
      <name val="Tahoma"/>
      <family val="2"/>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CCFFFF"/>
        <bgColor indexed="64"/>
      </patternFill>
    </fill>
    <fill>
      <patternFill patternType="solid">
        <fgColor rgb="FFFF66FF"/>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double">
        <color indexed="64"/>
      </left>
      <right style="double">
        <color indexed="64"/>
      </right>
      <top style="thin">
        <color indexed="64"/>
      </top>
      <bottom/>
      <diagonal/>
    </border>
    <border>
      <left style="double">
        <color indexed="64"/>
      </left>
      <right/>
      <top/>
      <bottom/>
      <diagonal/>
    </border>
    <border>
      <left style="double">
        <color indexed="64"/>
      </left>
      <right style="double">
        <color indexed="64"/>
      </right>
      <top/>
      <bottom/>
      <diagonal/>
    </border>
    <border>
      <left style="double">
        <color indexed="64"/>
      </left>
      <right/>
      <top/>
      <bottom style="thin">
        <color indexed="64"/>
      </bottom>
      <diagonal/>
    </border>
    <border>
      <left style="double">
        <color indexed="64"/>
      </left>
      <right style="double">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482">
    <xf numFmtId="0" fontId="0" fillId="0" borderId="0" xfId="0"/>
    <xf numFmtId="0" fontId="2" fillId="2" borderId="0" xfId="0" applyFont="1" applyFill="1"/>
    <xf numFmtId="0" fontId="3" fillId="2" borderId="0" xfId="0" applyFont="1" applyFill="1"/>
    <xf numFmtId="0" fontId="4" fillId="2" borderId="0" xfId="0" applyFont="1" applyFill="1" applyAlignment="1">
      <alignment horizontal="right"/>
    </xf>
    <xf numFmtId="0" fontId="5" fillId="0" borderId="0" xfId="0" applyFont="1"/>
    <xf numFmtId="0" fontId="6" fillId="0" borderId="0" xfId="0" applyFont="1" applyAlignment="1">
      <alignment horizontal="left"/>
    </xf>
    <xf numFmtId="0" fontId="5" fillId="0" borderId="0" xfId="0" applyFont="1" applyAlignment="1">
      <alignment horizontal="right"/>
    </xf>
    <xf numFmtId="0" fontId="7" fillId="0" borderId="0" xfId="0" applyFont="1"/>
    <xf numFmtId="0" fontId="8" fillId="0" borderId="0" xfId="0" applyFont="1" applyAlignment="1">
      <alignment horizontal="right"/>
    </xf>
    <xf numFmtId="0" fontId="9" fillId="3" borderId="0" xfId="0" applyFont="1" applyFill="1"/>
    <xf numFmtId="0" fontId="10" fillId="0" borderId="0" xfId="0" applyFont="1"/>
    <xf numFmtId="0" fontId="11" fillId="2" borderId="0" xfId="0" applyFont="1" applyFill="1"/>
    <xf numFmtId="0" fontId="5" fillId="2" borderId="0" xfId="0" applyFont="1" applyFill="1"/>
    <xf numFmtId="0" fontId="12" fillId="2" borderId="0" xfId="0" applyFont="1" applyFill="1"/>
    <xf numFmtId="0" fontId="0" fillId="2" borderId="0" xfId="0" applyFill="1"/>
    <xf numFmtId="0" fontId="6" fillId="3" borderId="0" xfId="0" applyFont="1" applyFill="1" applyAlignment="1">
      <alignment horizontal="left"/>
    </xf>
    <xf numFmtId="0" fontId="13" fillId="4" borderId="0" xfId="0" applyFont="1" applyFill="1" applyAlignment="1">
      <alignment horizontal="left"/>
    </xf>
    <xf numFmtId="0" fontId="14" fillId="0" borderId="0" xfId="0" applyFont="1" applyAlignment="1">
      <alignment horizontal="left"/>
    </xf>
    <xf numFmtId="0" fontId="15" fillId="0" borderId="0" xfId="0" applyFont="1" applyAlignment="1">
      <alignment horizontal="center"/>
    </xf>
    <xf numFmtId="22" fontId="16" fillId="0" borderId="0" xfId="0" applyNumberFormat="1" applyFont="1"/>
    <xf numFmtId="0" fontId="7" fillId="3" borderId="0" xfId="0" applyFont="1" applyFill="1"/>
    <xf numFmtId="0" fontId="11" fillId="0" borderId="0" xfId="0" applyFont="1" applyAlignment="1">
      <alignment horizontal="right"/>
    </xf>
    <xf numFmtId="0" fontId="13" fillId="4" borderId="0" xfId="0" applyFont="1" applyFill="1"/>
    <xf numFmtId="0" fontId="15" fillId="0" borderId="0" xfId="0" applyFont="1" applyAlignment="1">
      <alignment horizontal="right"/>
    </xf>
    <xf numFmtId="2" fontId="17" fillId="0" borderId="0" xfId="0" applyNumberFormat="1" applyFont="1" applyAlignment="1">
      <alignment horizontal="right"/>
    </xf>
    <xf numFmtId="0" fontId="16" fillId="3" borderId="0" xfId="0" applyFont="1" applyFill="1" applyAlignment="1">
      <alignment horizontal="right"/>
    </xf>
    <xf numFmtId="0" fontId="18" fillId="0" borderId="0" xfId="0" applyFont="1" applyAlignment="1">
      <alignment horizontal="right"/>
    </xf>
    <xf numFmtId="0" fontId="16" fillId="4" borderId="0" xfId="0" applyFont="1" applyFill="1"/>
    <xf numFmtId="0" fontId="19" fillId="0" borderId="0" xfId="0" applyFont="1" applyAlignment="1">
      <alignment horizontal="center"/>
    </xf>
    <xf numFmtId="0" fontId="20" fillId="0" borderId="0" xfId="0" applyFont="1" applyAlignment="1">
      <alignment horizontal="right"/>
    </xf>
    <xf numFmtId="0" fontId="21" fillId="5" borderId="0" xfId="0" applyFont="1" applyFill="1" applyAlignment="1">
      <alignment horizontal="right"/>
    </xf>
    <xf numFmtId="0" fontId="0" fillId="0" borderId="0" xfId="0" applyAlignment="1">
      <alignment horizontal="right"/>
    </xf>
    <xf numFmtId="0" fontId="9" fillId="0" borderId="0" xfId="0" applyFont="1"/>
    <xf numFmtId="0" fontId="22" fillId="0" borderId="0" xfId="0" applyFont="1" applyAlignment="1">
      <alignment horizontal="right"/>
    </xf>
    <xf numFmtId="0" fontId="18" fillId="3" borderId="0" xfId="0" applyFont="1" applyFill="1"/>
    <xf numFmtId="22" fontId="23" fillId="0" borderId="0" xfId="0" applyNumberFormat="1" applyFont="1"/>
    <xf numFmtId="0" fontId="24" fillId="4" borderId="0" xfId="0" applyFont="1" applyFill="1" applyAlignment="1">
      <alignment horizontal="left"/>
    </xf>
    <xf numFmtId="22" fontId="25" fillId="5" borderId="0" xfId="0" applyNumberFormat="1" applyFont="1" applyFill="1"/>
    <xf numFmtId="0" fontId="26" fillId="0" borderId="0" xfId="0" applyFont="1" applyAlignment="1">
      <alignment horizontal="right"/>
    </xf>
    <xf numFmtId="0" fontId="27" fillId="6" borderId="0" xfId="0" applyFont="1" applyFill="1" applyAlignment="1">
      <alignment horizontal="left"/>
    </xf>
    <xf numFmtId="0" fontId="19" fillId="5" borderId="0" xfId="0" applyFont="1" applyFill="1" applyAlignment="1">
      <alignment horizontal="right"/>
    </xf>
    <xf numFmtId="0" fontId="17" fillId="0" borderId="0" xfId="0" applyFont="1" applyAlignment="1">
      <alignment horizontal="right"/>
    </xf>
    <xf numFmtId="2" fontId="12" fillId="3" borderId="0" xfId="0" applyNumberFormat="1" applyFont="1" applyFill="1" applyAlignment="1">
      <alignment horizontal="right"/>
    </xf>
    <xf numFmtId="0" fontId="28" fillId="0" borderId="1" xfId="0" applyFont="1" applyBorder="1" applyAlignment="1">
      <alignment horizontal="center"/>
    </xf>
    <xf numFmtId="0" fontId="29" fillId="0" borderId="0" xfId="0" applyFont="1"/>
    <xf numFmtId="0" fontId="29" fillId="0" borderId="0" xfId="0" applyFont="1" applyAlignment="1">
      <alignment horizontal="right"/>
    </xf>
    <xf numFmtId="0" fontId="29" fillId="0" borderId="2" xfId="0" applyFont="1" applyBorder="1" applyAlignment="1">
      <alignment horizontal="center"/>
    </xf>
    <xf numFmtId="0" fontId="29" fillId="0" borderId="3" xfId="0" applyFont="1" applyBorder="1" applyAlignment="1">
      <alignment horizontal="center"/>
    </xf>
    <xf numFmtId="0" fontId="29" fillId="0" borderId="4" xfId="0" applyFont="1" applyBorder="1" applyAlignment="1">
      <alignment horizontal="center"/>
    </xf>
    <xf numFmtId="0" fontId="29" fillId="0" borderId="5" xfId="0" applyFont="1" applyBorder="1"/>
    <xf numFmtId="0" fontId="29" fillId="0" borderId="6" xfId="0" applyFont="1" applyBorder="1"/>
    <xf numFmtId="0" fontId="18" fillId="0" borderId="0" xfId="0" applyFont="1"/>
    <xf numFmtId="0" fontId="29" fillId="0" borderId="7" xfId="0" applyFont="1" applyBorder="1"/>
    <xf numFmtId="0" fontId="29" fillId="0" borderId="8" xfId="0" applyFont="1" applyBorder="1"/>
    <xf numFmtId="0" fontId="18" fillId="0" borderId="9" xfId="0" applyFont="1" applyBorder="1"/>
    <xf numFmtId="0" fontId="18" fillId="0" borderId="8" xfId="0" applyFont="1" applyBorder="1"/>
    <xf numFmtId="0" fontId="0" fillId="0" borderId="8" xfId="0" applyBorder="1"/>
    <xf numFmtId="0" fontId="29" fillId="2" borderId="0" xfId="0" applyFont="1" applyFill="1"/>
    <xf numFmtId="0" fontId="29" fillId="0" borderId="10" xfId="0" applyFont="1" applyBorder="1"/>
    <xf numFmtId="0" fontId="29" fillId="0" borderId="11" xfId="0" applyFont="1" applyBorder="1"/>
    <xf numFmtId="0" fontId="29" fillId="0" borderId="12" xfId="0" applyFont="1" applyBorder="1"/>
    <xf numFmtId="0" fontId="29" fillId="0" borderId="13" xfId="0" applyFont="1" applyBorder="1"/>
    <xf numFmtId="0" fontId="29" fillId="0" borderId="14" xfId="0" applyFont="1" applyBorder="1"/>
    <xf numFmtId="0" fontId="30" fillId="2" borderId="0" xfId="0" applyFont="1" applyFill="1"/>
    <xf numFmtId="0" fontId="31" fillId="2" borderId="0" xfId="0" applyFont="1" applyFill="1"/>
    <xf numFmtId="0" fontId="32" fillId="2" borderId="0" xfId="0" applyFont="1" applyFill="1"/>
    <xf numFmtId="0" fontId="29" fillId="0" borderId="1" xfId="0" applyFont="1" applyBorder="1" applyAlignment="1">
      <alignment horizontal="center"/>
    </xf>
    <xf numFmtId="0" fontId="29" fillId="0" borderId="1" xfId="0" applyFont="1" applyBorder="1"/>
    <xf numFmtId="0" fontId="29" fillId="0" borderId="10" xfId="0" applyFont="1" applyBorder="1" applyAlignment="1">
      <alignment horizontal="center"/>
    </xf>
    <xf numFmtId="0" fontId="29" fillId="0" borderId="15" xfId="0" applyFont="1" applyBorder="1" applyAlignment="1">
      <alignment horizontal="center"/>
    </xf>
    <xf numFmtId="0" fontId="29" fillId="0" borderId="16" xfId="0" applyFont="1" applyBorder="1" applyAlignment="1">
      <alignment horizontal="center"/>
    </xf>
    <xf numFmtId="0" fontId="29" fillId="0" borderId="5" xfId="0" applyFont="1" applyBorder="1" applyAlignment="1">
      <alignment horizontal="left"/>
    </xf>
    <xf numFmtId="0" fontId="29" fillId="0" borderId="7" xfId="0" applyFont="1" applyBorder="1" applyAlignment="1">
      <alignment horizontal="center"/>
    </xf>
    <xf numFmtId="0" fontId="29" fillId="0" borderId="9" xfId="0" applyFont="1" applyBorder="1" applyAlignment="1">
      <alignment horizontal="center"/>
    </xf>
    <xf numFmtId="0" fontId="29" fillId="0" borderId="8" xfId="0" applyFont="1" applyBorder="1" applyAlignment="1">
      <alignment horizontal="center"/>
    </xf>
    <xf numFmtId="0" fontId="29" fillId="0" borderId="14" xfId="0" applyFont="1" applyBorder="1" applyAlignment="1">
      <alignment horizontal="center"/>
    </xf>
    <xf numFmtId="0" fontId="29" fillId="0" borderId="5" xfId="0" applyFont="1" applyBorder="1" applyAlignment="1">
      <alignment horizontal="center" vertical="top" wrapText="1"/>
    </xf>
    <xf numFmtId="0" fontId="29" fillId="0" borderId="6" xfId="0" applyFont="1" applyBorder="1" applyAlignment="1">
      <alignment horizontal="center" vertical="top" wrapText="1"/>
    </xf>
    <xf numFmtId="0" fontId="29" fillId="0" borderId="7" xfId="0" applyFont="1" applyBorder="1" applyAlignment="1">
      <alignment horizontal="center" vertical="top" wrapText="1"/>
    </xf>
    <xf numFmtId="0" fontId="33" fillId="0" borderId="0" xfId="0" applyFont="1" applyAlignment="1">
      <alignment horizontal="right"/>
    </xf>
    <xf numFmtId="0" fontId="34" fillId="0" borderId="0" xfId="0" applyFont="1"/>
    <xf numFmtId="0" fontId="35" fillId="0" borderId="1" xfId="0" applyFont="1" applyBorder="1" applyAlignment="1">
      <alignment horizontal="center" wrapText="1"/>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0" fontId="37" fillId="0" borderId="1" xfId="0" applyFont="1" applyBorder="1" applyAlignment="1">
      <alignment horizontal="left" vertical="center" textRotation="90" wrapText="1"/>
    </xf>
    <xf numFmtId="0" fontId="10" fillId="0" borderId="0" xfId="0" applyFont="1" applyAlignment="1">
      <alignment wrapText="1"/>
    </xf>
    <xf numFmtId="0" fontId="36" fillId="0" borderId="10" xfId="0" applyFont="1" applyBorder="1" applyAlignment="1">
      <alignment vertical="center" wrapText="1"/>
    </xf>
    <xf numFmtId="0" fontId="36" fillId="0" borderId="16"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35" fillId="0" borderId="17" xfId="0" applyFont="1" applyBorder="1" applyAlignment="1">
      <alignment wrapText="1"/>
    </xf>
    <xf numFmtId="0" fontId="10" fillId="0" borderId="18" xfId="0" applyFont="1" applyBorder="1" applyAlignment="1">
      <alignment horizontal="right" wrapText="1"/>
    </xf>
    <xf numFmtId="0" fontId="10" fillId="0" borderId="19" xfId="0" applyFont="1" applyBorder="1" applyAlignment="1">
      <alignment wrapText="1"/>
    </xf>
    <xf numFmtId="0" fontId="36" fillId="0" borderId="0" xfId="0" applyFont="1" applyAlignment="1">
      <alignment horizontal="left" vertical="center" wrapText="1"/>
    </xf>
    <xf numFmtId="0" fontId="35" fillId="0" borderId="20" xfId="0" applyFont="1" applyBorder="1" applyAlignment="1">
      <alignment wrapText="1"/>
    </xf>
    <xf numFmtId="0" fontId="35" fillId="0" borderId="17" xfId="0" applyFont="1" applyBorder="1" applyAlignment="1">
      <alignment vertical="top" wrapText="1"/>
    </xf>
    <xf numFmtId="0" fontId="35" fillId="0" borderId="18" xfId="0" applyFont="1" applyBorder="1" applyAlignment="1">
      <alignment vertical="top" wrapText="1"/>
    </xf>
    <xf numFmtId="0" fontId="10" fillId="0" borderId="8" xfId="0" applyFont="1" applyBorder="1" applyAlignment="1">
      <alignment wrapText="1"/>
    </xf>
    <xf numFmtId="22" fontId="35" fillId="0" borderId="5" xfId="0" applyNumberFormat="1" applyFont="1" applyBorder="1" applyAlignment="1">
      <alignment vertical="top" wrapText="1"/>
    </xf>
    <xf numFmtId="0" fontId="35" fillId="0" borderId="1" xfId="0" applyFont="1" applyBorder="1" applyAlignment="1">
      <alignment wrapText="1"/>
    </xf>
    <xf numFmtId="22" fontId="35" fillId="0" borderId="1" xfId="0" applyNumberFormat="1" applyFont="1" applyBorder="1" applyAlignment="1">
      <alignment vertical="top" wrapText="1"/>
    </xf>
    <xf numFmtId="22" fontId="35" fillId="0" borderId="1" xfId="0" applyNumberFormat="1" applyFont="1" applyBorder="1" applyAlignment="1">
      <alignment horizontal="center" vertical="top" wrapText="1"/>
    </xf>
    <xf numFmtId="0" fontId="35" fillId="0" borderId="0" xfId="0" applyFont="1" applyAlignment="1">
      <alignment wrapText="1"/>
    </xf>
    <xf numFmtId="0" fontId="10" fillId="0" borderId="20" xfId="0" applyFont="1" applyBorder="1" applyAlignment="1">
      <alignment vertical="top" wrapText="1"/>
    </xf>
    <xf numFmtId="0" fontId="10" fillId="0" borderId="1" xfId="0" applyFont="1" applyBorder="1" applyAlignment="1">
      <alignment horizontal="left" vertical="top" textRotation="90" wrapText="1"/>
    </xf>
    <xf numFmtId="0" fontId="35" fillId="0" borderId="20" xfId="0" applyFont="1" applyBorder="1" applyAlignment="1">
      <alignment horizontal="center" vertical="center" wrapText="1"/>
    </xf>
    <xf numFmtId="0" fontId="35" fillId="0" borderId="19" xfId="0" applyFont="1" applyBorder="1" applyAlignment="1">
      <alignment wrapText="1"/>
    </xf>
    <xf numFmtId="0" fontId="38" fillId="0" borderId="1" xfId="0" applyFont="1" applyBorder="1" applyAlignment="1">
      <alignment horizontal="center" wrapText="1"/>
    </xf>
    <xf numFmtId="0" fontId="38" fillId="0" borderId="1" xfId="0" applyFont="1" applyBorder="1" applyAlignment="1">
      <alignment wrapText="1"/>
    </xf>
    <xf numFmtId="0" fontId="35" fillId="0" borderId="21" xfId="0" applyFont="1" applyBorder="1" applyAlignment="1">
      <alignment wrapText="1"/>
    </xf>
    <xf numFmtId="0" fontId="39" fillId="0" borderId="22" xfId="0" applyFont="1" applyBorder="1" applyAlignment="1">
      <alignment wrapText="1"/>
    </xf>
    <xf numFmtId="0" fontId="38" fillId="0" borderId="10" xfId="0" applyFont="1" applyBorder="1" applyAlignment="1">
      <alignment wrapText="1"/>
    </xf>
    <xf numFmtId="0" fontId="38" fillId="0" borderId="0" xfId="0" applyFont="1" applyAlignment="1">
      <alignment wrapText="1"/>
    </xf>
    <xf numFmtId="0" fontId="40" fillId="0" borderId="9" xfId="0" applyFont="1" applyBorder="1" applyAlignment="1">
      <alignment wrapText="1"/>
    </xf>
    <xf numFmtId="0" fontId="38" fillId="0" borderId="21" xfId="0" applyFont="1" applyBorder="1" applyAlignment="1">
      <alignment wrapText="1"/>
    </xf>
    <xf numFmtId="0" fontId="0" fillId="0" borderId="0" xfId="0" applyAlignment="1">
      <alignment wrapText="1"/>
    </xf>
    <xf numFmtId="1" fontId="38" fillId="0" borderId="1" xfId="0" applyNumberFormat="1" applyFont="1" applyBorder="1" applyAlignment="1">
      <alignment horizontal="center" vertical="center" wrapText="1"/>
    </xf>
    <xf numFmtId="0" fontId="41" fillId="0" borderId="1" xfId="0" applyFont="1" applyBorder="1" applyAlignment="1">
      <alignment vertical="center" wrapText="1"/>
    </xf>
    <xf numFmtId="0" fontId="41" fillId="0" borderId="0" xfId="0" applyFont="1" applyAlignment="1">
      <alignment vertical="center" wrapText="1"/>
    </xf>
    <xf numFmtId="0" fontId="35" fillId="0" borderId="23" xfId="0" applyFont="1" applyBorder="1" applyAlignment="1">
      <alignment wrapText="1"/>
    </xf>
    <xf numFmtId="0" fontId="35" fillId="0" borderId="9" xfId="0" applyFont="1" applyBorder="1" applyAlignment="1">
      <alignment wrapText="1"/>
    </xf>
    <xf numFmtId="0" fontId="35" fillId="0" borderId="14" xfId="0" applyFont="1" applyBorder="1" applyAlignment="1">
      <alignment wrapText="1"/>
    </xf>
    <xf numFmtId="0" fontId="35" fillId="0" borderId="2" xfId="0" applyFont="1" applyBorder="1" applyAlignment="1">
      <alignment vertical="top" wrapText="1"/>
    </xf>
    <xf numFmtId="0" fontId="35" fillId="0" borderId="4" xfId="0" applyFont="1" applyBorder="1" applyAlignment="1">
      <alignment vertical="top" wrapText="1"/>
    </xf>
    <xf numFmtId="0" fontId="35" fillId="0" borderId="3" xfId="0" applyFont="1" applyBorder="1" applyAlignment="1">
      <alignment vertical="top" wrapText="1"/>
    </xf>
    <xf numFmtId="0" fontId="35" fillId="0" borderId="8" xfId="0" applyFont="1" applyBorder="1" applyAlignment="1">
      <alignment wrapText="1"/>
    </xf>
    <xf numFmtId="2" fontId="10" fillId="0" borderId="1" xfId="0" applyNumberFormat="1" applyFont="1" applyBorder="1" applyAlignment="1">
      <alignment wrapText="1"/>
    </xf>
    <xf numFmtId="0" fontId="42" fillId="0" borderId="1" xfId="0" applyFont="1" applyBorder="1" applyAlignment="1">
      <alignment vertical="top" wrapText="1"/>
    </xf>
    <xf numFmtId="0" fontId="35" fillId="0" borderId="1" xfId="0" applyFont="1" applyBorder="1" applyAlignment="1">
      <alignment vertical="top" wrapText="1"/>
    </xf>
    <xf numFmtId="0" fontId="35" fillId="0" borderId="24" xfId="0" applyFont="1" applyBorder="1" applyAlignment="1">
      <alignment vertical="top" wrapText="1"/>
    </xf>
    <xf numFmtId="0" fontId="35" fillId="0" borderId="0" xfId="0" applyFont="1" applyAlignment="1">
      <alignment vertical="top" wrapText="1"/>
    </xf>
    <xf numFmtId="0" fontId="35" fillId="0" borderId="5" xfId="0" applyFont="1" applyBorder="1" applyAlignment="1">
      <alignment horizontal="center" wrapText="1"/>
    </xf>
    <xf numFmtId="0" fontId="35" fillId="0" borderId="25" xfId="0" applyFont="1" applyBorder="1" applyAlignment="1">
      <alignment horizontal="center" wrapText="1"/>
    </xf>
    <xf numFmtId="0" fontId="0" fillId="0" borderId="26" xfId="0" applyBorder="1"/>
    <xf numFmtId="0" fontId="35" fillId="0" borderId="10" xfId="0" applyFont="1" applyBorder="1" applyAlignment="1">
      <alignment horizontal="center" wrapText="1"/>
    </xf>
    <xf numFmtId="0" fontId="35" fillId="0" borderId="16" xfId="0" applyFont="1" applyBorder="1" applyAlignment="1">
      <alignment horizontal="center" wrapText="1"/>
    </xf>
    <xf numFmtId="0" fontId="35" fillId="0" borderId="27" xfId="0" applyFont="1" applyBorder="1" applyAlignment="1">
      <alignment wrapText="1"/>
    </xf>
    <xf numFmtId="0" fontId="43" fillId="0" borderId="1" xfId="0" applyFont="1" applyBorder="1" applyAlignment="1">
      <alignment horizontal="center" wrapText="1"/>
    </xf>
    <xf numFmtId="0" fontId="29" fillId="0" borderId="9" xfId="0" applyFont="1" applyBorder="1"/>
    <xf numFmtId="0" fontId="43" fillId="0" borderId="1" xfId="0" applyFont="1" applyBorder="1" applyAlignment="1">
      <alignment wrapText="1"/>
    </xf>
    <xf numFmtId="0" fontId="43" fillId="0" borderId="0" xfId="0" applyFont="1" applyAlignment="1">
      <alignment wrapText="1"/>
    </xf>
    <xf numFmtId="0" fontId="10" fillId="0" borderId="28" xfId="0" applyFont="1" applyBorder="1" applyAlignment="1">
      <alignment horizontal="center" wrapText="1"/>
    </xf>
    <xf numFmtId="0" fontId="10" fillId="0" borderId="29" xfId="0" applyFont="1" applyBorder="1" applyAlignment="1">
      <alignment wrapText="1"/>
    </xf>
    <xf numFmtId="0" fontId="10" fillId="0" borderId="30" xfId="0" applyFont="1" applyBorder="1" applyAlignment="1">
      <alignment wrapText="1"/>
    </xf>
    <xf numFmtId="0" fontId="10" fillId="0" borderId="31" xfId="0" applyFont="1" applyBorder="1" applyAlignment="1">
      <alignment wrapText="1"/>
    </xf>
    <xf numFmtId="0" fontId="10" fillId="0" borderId="32" xfId="0" applyFont="1" applyBorder="1" applyAlignment="1">
      <alignment wrapText="1"/>
    </xf>
    <xf numFmtId="0" fontId="10" fillId="0" borderId="24" xfId="0" applyFont="1" applyBorder="1" applyAlignment="1">
      <alignment wrapText="1"/>
    </xf>
    <xf numFmtId="0" fontId="35" fillId="0" borderId="24" xfId="0" applyFont="1" applyBorder="1" applyAlignment="1">
      <alignment wrapText="1"/>
    </xf>
    <xf numFmtId="0" fontId="44" fillId="0" borderId="0" xfId="0" applyFont="1" applyAlignment="1">
      <alignment wrapText="1"/>
    </xf>
    <xf numFmtId="0" fontId="45" fillId="0" borderId="0" xfId="0" applyFont="1" applyAlignment="1">
      <alignment wrapText="1"/>
    </xf>
    <xf numFmtId="0" fontId="46" fillId="0" borderId="0" xfId="0" applyFont="1"/>
    <xf numFmtId="0" fontId="46" fillId="3" borderId="0" xfId="0" applyFont="1" applyFill="1" applyAlignment="1">
      <alignment horizontal="center" vertical="center"/>
    </xf>
    <xf numFmtId="0" fontId="46" fillId="3" borderId="0" xfId="0" applyFont="1" applyFill="1" applyAlignment="1">
      <alignment vertical="center"/>
    </xf>
    <xf numFmtId="0" fontId="46" fillId="0" borderId="21" xfId="0" applyFont="1" applyBorder="1"/>
    <xf numFmtId="0" fontId="46" fillId="0" borderId="0" xfId="0" applyFont="1" applyAlignment="1">
      <alignment horizontal="right"/>
    </xf>
    <xf numFmtId="0" fontId="46" fillId="0" borderId="23" xfId="0" applyFont="1" applyBorder="1"/>
    <xf numFmtId="0" fontId="47" fillId="6" borderId="0" xfId="0" applyFont="1" applyFill="1"/>
    <xf numFmtId="0" fontId="46" fillId="0" borderId="15" xfId="0" applyFont="1" applyBorder="1"/>
    <xf numFmtId="0" fontId="48" fillId="2" borderId="21" xfId="0" applyFont="1" applyFill="1" applyBorder="1" applyAlignment="1">
      <alignment wrapText="1"/>
    </xf>
    <xf numFmtId="0" fontId="46" fillId="3" borderId="0" xfId="0" applyFont="1" applyFill="1"/>
    <xf numFmtId="0" fontId="46" fillId="0" borderId="33" xfId="0" applyFont="1" applyBorder="1"/>
    <xf numFmtId="0" fontId="46" fillId="0" borderId="34" xfId="0" applyFont="1" applyBorder="1"/>
    <xf numFmtId="0" fontId="46" fillId="0" borderId="5" xfId="0" applyFont="1" applyBorder="1" applyAlignment="1">
      <alignment horizontal="center" vertical="center"/>
    </xf>
    <xf numFmtId="0" fontId="46" fillId="0" borderId="6" xfId="0" applyFont="1" applyBorder="1" applyAlignment="1">
      <alignment horizontal="center" vertical="center"/>
    </xf>
    <xf numFmtId="0" fontId="46" fillId="0" borderId="35" xfId="0" applyFont="1" applyBorder="1" applyAlignment="1">
      <alignment horizontal="center" vertical="center"/>
    </xf>
    <xf numFmtId="0" fontId="46" fillId="0" borderId="36" xfId="0" applyFont="1" applyBorder="1" applyAlignment="1">
      <alignment horizontal="center" vertical="center"/>
    </xf>
    <xf numFmtId="0" fontId="46" fillId="0" borderId="37" xfId="0" applyFont="1" applyBorder="1" applyAlignment="1">
      <alignment horizontal="center" vertical="center"/>
    </xf>
    <xf numFmtId="0" fontId="47" fillId="4" borderId="0" xfId="0" applyFont="1" applyFill="1"/>
    <xf numFmtId="0" fontId="46" fillId="0" borderId="1" xfId="0" applyFont="1" applyBorder="1" applyAlignment="1">
      <alignment horizontal="center"/>
    </xf>
    <xf numFmtId="0" fontId="49" fillId="4" borderId="1" xfId="0" applyFont="1" applyFill="1" applyBorder="1" applyAlignment="1">
      <alignment horizontal="left" vertical="center" wrapText="1"/>
    </xf>
    <xf numFmtId="0" fontId="47" fillId="7" borderId="1" xfId="0" applyFont="1" applyFill="1" applyBorder="1" applyAlignment="1">
      <alignment horizontal="left" vertical="center" shrinkToFit="1"/>
    </xf>
    <xf numFmtId="0" fontId="47" fillId="5" borderId="1" xfId="0" applyFont="1" applyFill="1" applyBorder="1" applyAlignment="1">
      <alignment horizontal="center" vertical="center" shrinkToFit="1"/>
    </xf>
    <xf numFmtId="164" fontId="50" fillId="7" borderId="1" xfId="0" applyNumberFormat="1" applyFont="1" applyFill="1" applyBorder="1" applyAlignment="1">
      <alignment horizontal="left" vertical="center" shrinkToFit="1"/>
    </xf>
    <xf numFmtId="0" fontId="50" fillId="5" borderId="1" xfId="0" applyFont="1" applyFill="1" applyBorder="1" applyAlignment="1">
      <alignment horizontal="left" vertical="center" shrinkToFit="1"/>
    </xf>
    <xf numFmtId="0" fontId="51" fillId="5" borderId="1" xfId="0" applyFont="1" applyFill="1" applyBorder="1" applyAlignment="1">
      <alignment horizontal="left" vertical="center" shrinkToFit="1"/>
    </xf>
    <xf numFmtId="0" fontId="50" fillId="5" borderId="1" xfId="0" applyFont="1" applyFill="1" applyBorder="1"/>
    <xf numFmtId="0" fontId="47" fillId="4" borderId="1" xfId="0" applyFont="1" applyFill="1" applyBorder="1" applyAlignment="1">
      <alignment horizontal="left" shrinkToFit="1"/>
    </xf>
    <xf numFmtId="0" fontId="47" fillId="4" borderId="1" xfId="0" applyFont="1" applyFill="1" applyBorder="1" applyAlignment="1">
      <alignment horizontal="center" vertical="top"/>
    </xf>
    <xf numFmtId="0" fontId="27" fillId="4" borderId="38" xfId="0" applyFont="1" applyFill="1" applyBorder="1" applyAlignment="1">
      <alignment horizontal="center" vertical="center" shrinkToFit="1"/>
    </xf>
    <xf numFmtId="0" fontId="50" fillId="5" borderId="31" xfId="0" applyFont="1" applyFill="1" applyBorder="1" applyAlignment="1">
      <alignment shrinkToFit="1"/>
    </xf>
    <xf numFmtId="0" fontId="47" fillId="6" borderId="1" xfId="0" applyFont="1" applyFill="1" applyBorder="1" applyAlignment="1">
      <alignment horizontal="left" shrinkToFit="1"/>
    </xf>
    <xf numFmtId="1" fontId="50" fillId="6" borderId="1" xfId="0" applyNumberFormat="1" applyFont="1" applyFill="1" applyBorder="1"/>
    <xf numFmtId="0" fontId="46" fillId="0" borderId="1" xfId="0" applyFont="1" applyBorder="1" applyAlignment="1">
      <alignment horizontal="left" shrinkToFit="1"/>
    </xf>
    <xf numFmtId="0" fontId="47" fillId="4" borderId="1" xfId="0" applyFont="1" applyFill="1" applyBorder="1" applyAlignment="1">
      <alignment horizontal="center" vertical="top" shrinkToFit="1"/>
    </xf>
    <xf numFmtId="0" fontId="47" fillId="4" borderId="1" xfId="0" applyFont="1" applyFill="1" applyBorder="1" applyAlignment="1">
      <alignment horizontal="center" shrinkToFit="1"/>
    </xf>
    <xf numFmtId="0" fontId="50" fillId="4" borderId="1" xfId="0" applyFont="1" applyFill="1" applyBorder="1" applyAlignment="1">
      <alignment horizontal="left" vertical="center" shrinkToFit="1"/>
    </xf>
    <xf numFmtId="164" fontId="47" fillId="4" borderId="1" xfId="0" applyNumberFormat="1" applyFont="1" applyFill="1" applyBorder="1" applyAlignment="1">
      <alignment horizontal="left" shrinkToFit="1"/>
    </xf>
    <xf numFmtId="0" fontId="47" fillId="4" borderId="1" xfId="0" applyFont="1" applyFill="1" applyBorder="1" applyAlignment="1">
      <alignment horizontal="left" vertical="center" shrinkToFit="1"/>
    </xf>
    <xf numFmtId="0" fontId="47" fillId="4" borderId="10" xfId="0" applyFont="1" applyFill="1" applyBorder="1" applyAlignment="1">
      <alignment horizontal="left" vertical="top" wrapText="1" shrinkToFit="1"/>
    </xf>
    <xf numFmtId="164" fontId="47" fillId="4" borderId="1" xfId="0" applyNumberFormat="1" applyFont="1" applyFill="1" applyBorder="1"/>
    <xf numFmtId="0" fontId="52" fillId="0" borderId="1" xfId="0" applyFont="1" applyBorder="1" applyAlignment="1">
      <alignment horizontal="center" vertical="center" wrapText="1"/>
    </xf>
    <xf numFmtId="0" fontId="50" fillId="4" borderId="31" xfId="0" applyFont="1" applyFill="1" applyBorder="1" applyAlignment="1">
      <alignment horizontal="center"/>
    </xf>
    <xf numFmtId="0" fontId="50" fillId="4" borderId="32" xfId="0" applyFont="1" applyFill="1" applyBorder="1" applyAlignment="1">
      <alignment horizontal="right" vertical="center"/>
    </xf>
    <xf numFmtId="0" fontId="50" fillId="4" borderId="32" xfId="0" applyFont="1" applyFill="1" applyBorder="1" applyAlignment="1">
      <alignment horizontal="center" vertical="center"/>
    </xf>
    <xf numFmtId="0" fontId="50" fillId="5" borderId="0" xfId="0" applyFont="1" applyFill="1" applyAlignment="1">
      <alignment horizontal="left" vertical="center" shrinkToFit="1"/>
    </xf>
    <xf numFmtId="0" fontId="50" fillId="4" borderId="39" xfId="0" applyFont="1" applyFill="1" applyBorder="1" applyAlignment="1">
      <alignment horizontal="center"/>
    </xf>
    <xf numFmtId="1" fontId="50" fillId="5" borderId="1" xfId="0" applyNumberFormat="1" applyFont="1" applyFill="1" applyBorder="1"/>
    <xf numFmtId="164" fontId="50" fillId="5" borderId="1" xfId="0" applyNumberFormat="1" applyFont="1" applyFill="1" applyBorder="1" applyAlignment="1">
      <alignment wrapText="1"/>
    </xf>
    <xf numFmtId="0" fontId="47" fillId="8" borderId="32" xfId="0" applyFont="1" applyFill="1" applyBorder="1" applyAlignment="1">
      <alignment horizontal="center" vertical="center"/>
    </xf>
    <xf numFmtId="164" fontId="50" fillId="5" borderId="31" xfId="0" applyNumberFormat="1" applyFont="1" applyFill="1" applyBorder="1" applyAlignment="1">
      <alignment shrinkToFit="1"/>
    </xf>
    <xf numFmtId="164" fontId="50" fillId="5" borderId="32" xfId="0" applyNumberFormat="1" applyFont="1" applyFill="1" applyBorder="1" applyAlignment="1">
      <alignment wrapText="1"/>
    </xf>
    <xf numFmtId="0" fontId="47" fillId="4" borderId="32" xfId="0" applyFont="1" applyFill="1" applyBorder="1" applyAlignment="1">
      <alignment horizontal="left" vertical="center"/>
    </xf>
    <xf numFmtId="164" fontId="50" fillId="5" borderId="39" xfId="0" applyNumberFormat="1" applyFont="1" applyFill="1" applyBorder="1" applyAlignment="1">
      <alignment shrinkToFit="1"/>
    </xf>
    <xf numFmtId="0" fontId="47" fillId="4" borderId="32" xfId="0" applyFont="1" applyFill="1" applyBorder="1" applyAlignment="1">
      <alignment horizontal="center" vertical="center"/>
    </xf>
    <xf numFmtId="0" fontId="47" fillId="4" borderId="31" xfId="0" applyFont="1" applyFill="1" applyBorder="1" applyAlignment="1">
      <alignment horizontal="center"/>
    </xf>
    <xf numFmtId="0" fontId="47" fillId="6" borderId="1" xfId="0" applyFont="1" applyFill="1" applyBorder="1" applyAlignment="1">
      <alignment wrapText="1"/>
    </xf>
    <xf numFmtId="0" fontId="50" fillId="6" borderId="10" xfId="0" applyFont="1" applyFill="1" applyBorder="1"/>
    <xf numFmtId="0" fontId="50" fillId="6" borderId="30" xfId="0" applyFont="1" applyFill="1" applyBorder="1" applyAlignment="1">
      <alignment horizontal="center" wrapText="1"/>
    </xf>
    <xf numFmtId="0" fontId="50" fillId="6" borderId="16" xfId="0" applyFont="1" applyFill="1" applyBorder="1" applyAlignment="1">
      <alignment horizontal="center" wrapText="1"/>
    </xf>
    <xf numFmtId="0" fontId="50" fillId="6" borderId="1" xfId="0" applyFont="1" applyFill="1" applyBorder="1" applyAlignment="1">
      <alignment horizontal="center" wrapText="1"/>
    </xf>
    <xf numFmtId="0" fontId="47" fillId="5" borderId="38" xfId="0" applyFont="1" applyFill="1" applyBorder="1" applyAlignment="1">
      <alignment horizontal="center" vertical="center" wrapText="1"/>
    </xf>
    <xf numFmtId="0" fontId="50" fillId="6" borderId="31" xfId="0" applyFont="1" applyFill="1" applyBorder="1"/>
    <xf numFmtId="0" fontId="50" fillId="4" borderId="32" xfId="0" applyFont="1" applyFill="1" applyBorder="1"/>
    <xf numFmtId="0" fontId="53" fillId="6" borderId="31" xfId="0" applyFont="1" applyFill="1" applyBorder="1"/>
    <xf numFmtId="0" fontId="50" fillId="4" borderId="31" xfId="0" applyFont="1" applyFill="1" applyBorder="1" applyAlignment="1">
      <alignment horizontal="left"/>
    </xf>
    <xf numFmtId="0" fontId="50" fillId="5" borderId="1" xfId="0" applyFont="1" applyFill="1" applyBorder="1" applyAlignment="1">
      <alignment vertical="top"/>
    </xf>
    <xf numFmtId="0" fontId="50" fillId="4" borderId="31" xfId="0" applyFont="1" applyFill="1" applyBorder="1"/>
    <xf numFmtId="0" fontId="50" fillId="6" borderId="32" xfId="0" applyFont="1" applyFill="1" applyBorder="1" applyAlignment="1">
      <alignment horizontal="right"/>
    </xf>
    <xf numFmtId="0" fontId="54" fillId="0" borderId="0" xfId="0" applyFont="1"/>
    <xf numFmtId="0" fontId="53" fillId="4" borderId="31" xfId="0" applyFont="1" applyFill="1" applyBorder="1"/>
    <xf numFmtId="0" fontId="50" fillId="6" borderId="16" xfId="0" applyFont="1" applyFill="1" applyBorder="1" applyAlignment="1">
      <alignment horizontal="center"/>
    </xf>
    <xf numFmtId="0" fontId="55" fillId="0" borderId="0" xfId="0" applyFont="1"/>
    <xf numFmtId="43" fontId="50" fillId="5" borderId="31" xfId="1" applyFont="1" applyFill="1" applyBorder="1" applyAlignment="1">
      <alignment shrinkToFit="1"/>
    </xf>
    <xf numFmtId="0" fontId="50" fillId="4" borderId="31" xfId="0" applyFont="1" applyFill="1" applyBorder="1" applyAlignment="1">
      <alignment horizontal="right"/>
    </xf>
    <xf numFmtId="0" fontId="54" fillId="0" borderId="0" xfId="0" applyFont="1" applyAlignment="1">
      <alignment horizontal="right"/>
    </xf>
    <xf numFmtId="0" fontId="57" fillId="0" borderId="0" xfId="0" applyFont="1" applyAlignment="1">
      <alignment horizontal="center"/>
    </xf>
    <xf numFmtId="0" fontId="50" fillId="6" borderId="31" xfId="0" applyFont="1" applyFill="1" applyBorder="1" applyAlignment="1">
      <alignment horizontal="left"/>
    </xf>
    <xf numFmtId="0" fontId="50" fillId="6" borderId="32" xfId="0" applyFont="1" applyFill="1" applyBorder="1" applyAlignment="1">
      <alignment horizontal="left"/>
    </xf>
    <xf numFmtId="1" fontId="50" fillId="6" borderId="1" xfId="0" applyNumberFormat="1" applyFont="1" applyFill="1" applyBorder="1" applyAlignment="1">
      <alignment wrapText="1"/>
    </xf>
    <xf numFmtId="0" fontId="50" fillId="6" borderId="1" xfId="0" applyFont="1" applyFill="1" applyBorder="1" applyAlignment="1">
      <alignment vertical="top"/>
    </xf>
    <xf numFmtId="0" fontId="50" fillId="4" borderId="1" xfId="0" applyFont="1" applyFill="1" applyBorder="1" applyAlignment="1">
      <alignment horizontal="left"/>
    </xf>
    <xf numFmtId="0" fontId="50" fillId="4" borderId="1" xfId="0" applyFont="1" applyFill="1" applyBorder="1" applyAlignment="1">
      <alignment vertical="top"/>
    </xf>
    <xf numFmtId="0" fontId="50" fillId="6" borderId="1" xfId="0" applyFont="1" applyFill="1" applyBorder="1" applyAlignment="1">
      <alignment horizontal="left"/>
    </xf>
    <xf numFmtId="0" fontId="58" fillId="0" borderId="0" xfId="0" applyFont="1"/>
    <xf numFmtId="0" fontId="50" fillId="6" borderId="1" xfId="0" applyFont="1" applyFill="1" applyBorder="1"/>
    <xf numFmtId="0" fontId="50" fillId="4" borderId="1" xfId="0" applyFont="1" applyFill="1" applyBorder="1" applyAlignment="1">
      <alignment horizontal="center"/>
    </xf>
    <xf numFmtId="0" fontId="50" fillId="4" borderId="1" xfId="0" applyFont="1" applyFill="1" applyBorder="1"/>
    <xf numFmtId="164" fontId="59" fillId="5" borderId="1" xfId="0" applyNumberFormat="1" applyFont="1" applyFill="1" applyBorder="1" applyAlignment="1">
      <alignment wrapText="1"/>
    </xf>
    <xf numFmtId="1" fontId="50" fillId="4" borderId="32" xfId="0" applyNumberFormat="1" applyFont="1" applyFill="1" applyBorder="1"/>
    <xf numFmtId="1" fontId="50" fillId="4" borderId="1" xfId="0" applyNumberFormat="1" applyFont="1" applyFill="1" applyBorder="1" applyAlignment="1">
      <alignment horizontal="center" vertical="center" wrapText="1"/>
    </xf>
    <xf numFmtId="1" fontId="50" fillId="4" borderId="1" xfId="0" applyNumberFormat="1" applyFont="1" applyFill="1" applyBorder="1" applyAlignment="1">
      <alignment horizontal="center" vertical="center" shrinkToFit="1"/>
    </xf>
    <xf numFmtId="1" fontId="50" fillId="7" borderId="1" xfId="0" applyNumberFormat="1" applyFont="1" applyFill="1" applyBorder="1" applyAlignment="1">
      <alignment horizontal="center" vertical="center" wrapText="1"/>
    </xf>
    <xf numFmtId="0" fontId="50" fillId="6" borderId="31" xfId="0" applyFont="1" applyFill="1" applyBorder="1" applyAlignment="1">
      <alignment horizontal="center" wrapText="1"/>
    </xf>
    <xf numFmtId="164" fontId="50" fillId="6" borderId="1" xfId="0" applyNumberFormat="1" applyFont="1" applyFill="1" applyBorder="1"/>
    <xf numFmtId="0" fontId="50" fillId="6" borderId="32" xfId="0" applyFont="1" applyFill="1" applyBorder="1" applyAlignment="1">
      <alignment horizontal="center" wrapText="1"/>
    </xf>
    <xf numFmtId="0" fontId="25" fillId="6" borderId="1" xfId="0" applyFont="1" applyFill="1" applyBorder="1"/>
    <xf numFmtId="0" fontId="60" fillId="4" borderId="1" xfId="0" applyFont="1" applyFill="1" applyBorder="1"/>
    <xf numFmtId="0" fontId="60" fillId="6" borderId="1" xfId="0" applyFont="1" applyFill="1" applyBorder="1"/>
    <xf numFmtId="0" fontId="61" fillId="6" borderId="1" xfId="0" applyFont="1" applyFill="1" applyBorder="1"/>
    <xf numFmtId="166" fontId="60" fillId="4" borderId="1" xfId="0" applyNumberFormat="1" applyFont="1" applyFill="1" applyBorder="1"/>
    <xf numFmtId="1" fontId="53" fillId="4" borderId="1" xfId="0" applyNumberFormat="1" applyFont="1" applyFill="1" applyBorder="1" applyAlignment="1">
      <alignment horizontal="left"/>
    </xf>
    <xf numFmtId="0" fontId="50" fillId="4" borderId="0" xfId="0" applyFont="1" applyFill="1" applyAlignment="1">
      <alignment horizontal="center" vertical="center"/>
    </xf>
    <xf numFmtId="0" fontId="50" fillId="4" borderId="31" xfId="0" applyFont="1" applyFill="1" applyBorder="1" applyAlignment="1">
      <alignment horizontal="center" vertical="center"/>
    </xf>
    <xf numFmtId="0" fontId="50" fillId="4" borderId="31" xfId="0" applyFont="1" applyFill="1" applyBorder="1" applyAlignment="1">
      <alignment horizontal="left" vertical="center"/>
    </xf>
    <xf numFmtId="0" fontId="53" fillId="4" borderId="31" xfId="0" applyFont="1" applyFill="1" applyBorder="1" applyAlignment="1">
      <alignment horizontal="center" vertical="center"/>
    </xf>
    <xf numFmtId="0" fontId="50" fillId="4" borderId="29" xfId="0" applyFont="1" applyFill="1" applyBorder="1" applyAlignment="1">
      <alignment horizontal="center"/>
    </xf>
    <xf numFmtId="0" fontId="50" fillId="4" borderId="30" xfId="0" applyFont="1" applyFill="1" applyBorder="1" applyAlignment="1">
      <alignment horizontal="center" vertical="center"/>
    </xf>
    <xf numFmtId="1" fontId="50" fillId="5" borderId="32" xfId="0" applyNumberFormat="1" applyFont="1" applyFill="1" applyBorder="1" applyAlignment="1">
      <alignment wrapText="1"/>
    </xf>
    <xf numFmtId="0" fontId="47" fillId="6" borderId="1" xfId="0" applyFont="1" applyFill="1" applyBorder="1"/>
    <xf numFmtId="0" fontId="47" fillId="4" borderId="1" xfId="0" applyFont="1" applyFill="1" applyBorder="1"/>
    <xf numFmtId="0" fontId="62" fillId="4" borderId="1" xfId="0" applyFont="1" applyFill="1" applyBorder="1" applyAlignment="1">
      <alignment vertical="top" wrapText="1"/>
    </xf>
    <xf numFmtId="0" fontId="46" fillId="0" borderId="0" xfId="0" applyFont="1" applyAlignment="1">
      <alignment horizontal="left"/>
    </xf>
    <xf numFmtId="0" fontId="50" fillId="5" borderId="10" xfId="0" applyFont="1" applyFill="1" applyBorder="1" applyAlignment="1">
      <alignment horizontal="center"/>
    </xf>
    <xf numFmtId="0" fontId="50" fillId="5" borderId="31" xfId="0" applyFont="1" applyFill="1" applyBorder="1"/>
    <xf numFmtId="0" fontId="50" fillId="5" borderId="39" xfId="0" applyFont="1" applyFill="1" applyBorder="1" applyAlignment="1">
      <alignment horizontal="center"/>
    </xf>
    <xf numFmtId="0" fontId="50" fillId="5" borderId="31" xfId="0" applyFont="1" applyFill="1" applyBorder="1" applyAlignment="1">
      <alignment horizontal="center"/>
    </xf>
    <xf numFmtId="0" fontId="50" fillId="4" borderId="10" xfId="0" applyFont="1" applyFill="1" applyBorder="1" applyAlignment="1">
      <alignment horizontal="center"/>
    </xf>
    <xf numFmtId="0" fontId="50" fillId="5" borderId="40" xfId="0" applyFont="1" applyFill="1" applyBorder="1" applyAlignment="1">
      <alignment horizontal="center"/>
    </xf>
    <xf numFmtId="0" fontId="43" fillId="0" borderId="0" xfId="0" applyFont="1"/>
    <xf numFmtId="0" fontId="62" fillId="0" borderId="0" xfId="0" applyFont="1"/>
    <xf numFmtId="0" fontId="63" fillId="0" borderId="0" xfId="0" applyFont="1"/>
    <xf numFmtId="0" fontId="48" fillId="0" borderId="0" xfId="0" applyFont="1"/>
    <xf numFmtId="164" fontId="50" fillId="5" borderId="10" xfId="0" applyNumberFormat="1" applyFont="1" applyFill="1" applyBorder="1" applyAlignment="1">
      <alignment wrapText="1"/>
    </xf>
    <xf numFmtId="0" fontId="46" fillId="0" borderId="40" xfId="0" applyFont="1" applyBorder="1" applyAlignment="1">
      <alignment horizontal="center"/>
    </xf>
    <xf numFmtId="0" fontId="55" fillId="6" borderId="0" xfId="0" applyFont="1" applyFill="1"/>
    <xf numFmtId="164" fontId="59" fillId="5" borderId="10" xfId="0" applyNumberFormat="1" applyFont="1" applyFill="1" applyBorder="1" applyAlignment="1">
      <alignment wrapText="1"/>
    </xf>
    <xf numFmtId="1" fontId="50" fillId="4" borderId="29" xfId="0" applyNumberFormat="1" applyFont="1" applyFill="1" applyBorder="1" applyAlignment="1">
      <alignment horizontal="center" vertical="center" wrapText="1"/>
    </xf>
    <xf numFmtId="1" fontId="50" fillId="7" borderId="32" xfId="0" applyNumberFormat="1" applyFont="1" applyFill="1" applyBorder="1" applyAlignment="1">
      <alignment horizontal="center" vertical="center" wrapText="1"/>
    </xf>
    <xf numFmtId="164" fontId="50" fillId="5" borderId="41" xfId="0" applyNumberFormat="1" applyFont="1" applyFill="1" applyBorder="1" applyAlignment="1">
      <alignment shrinkToFit="1"/>
    </xf>
    <xf numFmtId="164" fontId="50" fillId="5" borderId="42" xfId="0" applyNumberFormat="1" applyFont="1" applyFill="1" applyBorder="1" applyAlignment="1">
      <alignment shrinkToFit="1"/>
    </xf>
    <xf numFmtId="0" fontId="35" fillId="0" borderId="0" xfId="0" applyFont="1"/>
    <xf numFmtId="0" fontId="50" fillId="4" borderId="0" xfId="0" applyFont="1" applyFill="1"/>
    <xf numFmtId="0" fontId="47" fillId="5" borderId="1" xfId="0" applyFont="1" applyFill="1" applyBorder="1" applyAlignment="1">
      <alignment horizontal="center" vertical="center" wrapText="1"/>
    </xf>
    <xf numFmtId="0" fontId="27" fillId="4" borderId="1" xfId="0" applyFont="1" applyFill="1" applyBorder="1" applyAlignment="1">
      <alignment horizontal="center" vertical="center" shrinkToFit="1"/>
    </xf>
    <xf numFmtId="0" fontId="50" fillId="4" borderId="41" xfId="0" applyFont="1" applyFill="1" applyBorder="1" applyAlignment="1">
      <alignment horizontal="center"/>
    </xf>
    <xf numFmtId="0" fontId="50" fillId="4" borderId="43" xfId="0" applyFont="1" applyFill="1" applyBorder="1" applyAlignment="1">
      <alignment horizontal="right" vertical="center"/>
    </xf>
    <xf numFmtId="0" fontId="50" fillId="4" borderId="43" xfId="0" applyFont="1" applyFill="1" applyBorder="1" applyAlignment="1">
      <alignment horizontal="center" vertical="center"/>
    </xf>
    <xf numFmtId="0" fontId="50" fillId="4" borderId="42" xfId="0" applyFont="1" applyFill="1" applyBorder="1" applyAlignment="1">
      <alignment horizontal="center"/>
    </xf>
    <xf numFmtId="0" fontId="46" fillId="0" borderId="35" xfId="0" applyFont="1" applyBorder="1"/>
    <xf numFmtId="164" fontId="50" fillId="5" borderId="44" xfId="0" applyNumberFormat="1" applyFont="1" applyFill="1" applyBorder="1" applyAlignment="1">
      <alignment wrapText="1"/>
    </xf>
    <xf numFmtId="0" fontId="47" fillId="8" borderId="43" xfId="0" applyFont="1" applyFill="1" applyBorder="1" applyAlignment="1">
      <alignment horizontal="center" vertical="center"/>
    </xf>
    <xf numFmtId="164" fontId="50" fillId="5" borderId="43" xfId="0" applyNumberFormat="1" applyFont="1" applyFill="1" applyBorder="1" applyAlignment="1">
      <alignment wrapText="1"/>
    </xf>
    <xf numFmtId="0" fontId="47" fillId="4" borderId="43" xfId="0" applyFont="1" applyFill="1" applyBorder="1" applyAlignment="1">
      <alignment horizontal="left" vertical="center"/>
    </xf>
    <xf numFmtId="0" fontId="47" fillId="4" borderId="43" xfId="0" applyFont="1" applyFill="1" applyBorder="1" applyAlignment="1">
      <alignment horizontal="center" vertical="center"/>
    </xf>
    <xf numFmtId="0" fontId="46" fillId="0" borderId="45" xfId="0" applyFont="1" applyBorder="1" applyAlignment="1">
      <alignment horizontal="center"/>
    </xf>
    <xf numFmtId="0" fontId="50" fillId="6" borderId="41" xfId="0" applyFont="1" applyFill="1" applyBorder="1"/>
    <xf numFmtId="0" fontId="50" fillId="4" borderId="43" xfId="0" applyFont="1" applyFill="1" applyBorder="1"/>
    <xf numFmtId="0" fontId="50" fillId="4" borderId="41" xfId="0" applyFont="1" applyFill="1" applyBorder="1"/>
    <xf numFmtId="0" fontId="53" fillId="4" borderId="41" xfId="0" applyFont="1" applyFill="1" applyBorder="1"/>
    <xf numFmtId="0" fontId="0" fillId="0" borderId="35" xfId="0" applyBorder="1"/>
    <xf numFmtId="0" fontId="50" fillId="5" borderId="41" xfId="0" applyFont="1" applyFill="1" applyBorder="1" applyAlignment="1">
      <alignment shrinkToFit="1"/>
    </xf>
    <xf numFmtId="164" fontId="59" fillId="5" borderId="44" xfId="0" applyNumberFormat="1" applyFont="1" applyFill="1" applyBorder="1" applyAlignment="1">
      <alignment wrapText="1"/>
    </xf>
    <xf numFmtId="1" fontId="50" fillId="4" borderId="43" xfId="0" applyNumberFormat="1" applyFont="1" applyFill="1" applyBorder="1"/>
    <xf numFmtId="1" fontId="50" fillId="4" borderId="46" xfId="0" applyNumberFormat="1" applyFont="1" applyFill="1" applyBorder="1" applyAlignment="1">
      <alignment horizontal="center" vertical="center" wrapText="1"/>
    </xf>
    <xf numFmtId="1" fontId="50" fillId="7" borderId="43" xfId="0" applyNumberFormat="1" applyFont="1" applyFill="1" applyBorder="1" applyAlignment="1">
      <alignment horizontal="center" vertical="center" wrapText="1"/>
    </xf>
    <xf numFmtId="0" fontId="50" fillId="6" borderId="41" xfId="0" applyFont="1" applyFill="1" applyBorder="1" applyAlignment="1">
      <alignment horizontal="center" wrapText="1"/>
    </xf>
    <xf numFmtId="164" fontId="50" fillId="6" borderId="47" xfId="0" applyNumberFormat="1" applyFont="1" applyFill="1" applyBorder="1"/>
    <xf numFmtId="0" fontId="50" fillId="6" borderId="43" xfId="0" applyFont="1" applyFill="1" applyBorder="1" applyAlignment="1">
      <alignment horizontal="center" wrapText="1"/>
    </xf>
    <xf numFmtId="0" fontId="50" fillId="4" borderId="41" xfId="0" applyFont="1" applyFill="1" applyBorder="1" applyAlignment="1">
      <alignment horizontal="center" vertical="center"/>
    </xf>
    <xf numFmtId="0" fontId="53" fillId="4" borderId="41" xfId="0" applyFont="1" applyFill="1" applyBorder="1" applyAlignment="1">
      <alignment horizontal="center" vertical="center"/>
    </xf>
    <xf numFmtId="0" fontId="50" fillId="5" borderId="41" xfId="0" applyFont="1" applyFill="1" applyBorder="1" applyAlignment="1">
      <alignment horizontal="center"/>
    </xf>
    <xf numFmtId="0" fontId="50" fillId="5" borderId="41" xfId="0" applyFont="1" applyFill="1" applyBorder="1"/>
    <xf numFmtId="0" fontId="50" fillId="5" borderId="44" xfId="0" applyFont="1" applyFill="1" applyBorder="1" applyAlignment="1">
      <alignment horizontal="center"/>
    </xf>
    <xf numFmtId="0" fontId="50" fillId="4" borderId="44" xfId="0" applyFont="1" applyFill="1" applyBorder="1" applyAlignment="1">
      <alignment horizontal="center"/>
    </xf>
    <xf numFmtId="0" fontId="50" fillId="5" borderId="45" xfId="0" applyFont="1" applyFill="1" applyBorder="1" applyAlignment="1">
      <alignment horizontal="center"/>
    </xf>
    <xf numFmtId="164" fontId="47" fillId="4" borderId="0" xfId="0" applyNumberFormat="1" applyFont="1" applyFill="1"/>
    <xf numFmtId="0" fontId="64" fillId="4" borderId="22" xfId="0" applyFont="1" applyFill="1" applyBorder="1" applyAlignment="1">
      <alignment horizontal="center"/>
    </xf>
    <xf numFmtId="0" fontId="65" fillId="0" borderId="0" xfId="0" applyFont="1"/>
    <xf numFmtId="0" fontId="47" fillId="4" borderId="22" xfId="0" applyFont="1" applyFill="1" applyBorder="1"/>
    <xf numFmtId="0" fontId="47" fillId="4" borderId="20" xfId="0" applyFont="1" applyFill="1" applyBorder="1"/>
    <xf numFmtId="0" fontId="46" fillId="0" borderId="0" xfId="0" applyFont="1" applyAlignment="1">
      <alignment horizontal="center"/>
    </xf>
    <xf numFmtId="0" fontId="43" fillId="0" borderId="0" xfId="0" applyFont="1" applyAlignment="1">
      <alignment horizontal="right"/>
    </xf>
    <xf numFmtId="2" fontId="47" fillId="0" borderId="0" xfId="0" applyNumberFormat="1" applyFont="1"/>
    <xf numFmtId="0" fontId="56" fillId="0" borderId="0" xfId="0" applyFont="1"/>
    <xf numFmtId="0" fontId="12" fillId="3" borderId="0" xfId="0" applyFont="1" applyFill="1" applyAlignment="1">
      <alignment horizontal="right"/>
    </xf>
    <xf numFmtId="0" fontId="41" fillId="0" borderId="0" xfId="0" applyFont="1"/>
    <xf numFmtId="0" fontId="64" fillId="0" borderId="16" xfId="0" applyFont="1" applyBorder="1" applyAlignment="1">
      <alignment horizontal="right"/>
    </xf>
    <xf numFmtId="0" fontId="64" fillId="0" borderId="16" xfId="0" applyFont="1" applyBorder="1" applyAlignment="1">
      <alignment horizontal="center"/>
    </xf>
    <xf numFmtId="0" fontId="18" fillId="0" borderId="1" xfId="0" applyFont="1" applyBorder="1"/>
    <xf numFmtId="0" fontId="18" fillId="0" borderId="10" xfId="0" applyFont="1" applyBorder="1"/>
    <xf numFmtId="0" fontId="0" fillId="0" borderId="15" xfId="0" applyBorder="1"/>
    <xf numFmtId="0" fontId="0" fillId="0" borderId="16" xfId="0" applyBorder="1"/>
    <xf numFmtId="0" fontId="18" fillId="0" borderId="34" xfId="0" applyFont="1" applyBorder="1" applyAlignment="1">
      <alignment horizontal="left"/>
    </xf>
    <xf numFmtId="0" fontId="0" fillId="0" borderId="34" xfId="0" applyBorder="1" applyAlignment="1">
      <alignment horizontal="left"/>
    </xf>
    <xf numFmtId="0" fontId="40" fillId="0" borderId="0" xfId="0" applyFont="1" applyAlignment="1">
      <alignment horizontal="center" vertical="center"/>
    </xf>
    <xf numFmtId="22" fontId="46" fillId="0" borderId="0" xfId="0" applyNumberFormat="1" applyFont="1" applyAlignment="1">
      <alignment horizontal="right"/>
    </xf>
    <xf numFmtId="0" fontId="46" fillId="0" borderId="48" xfId="0" applyFont="1" applyBorder="1"/>
    <xf numFmtId="0" fontId="47" fillId="0" borderId="49" xfId="0" applyFont="1" applyBorder="1" applyAlignment="1">
      <alignment horizontal="center"/>
    </xf>
    <xf numFmtId="0" fontId="16" fillId="0" borderId="0" xfId="0" applyFont="1" applyAlignment="1">
      <alignment horizontal="center"/>
    </xf>
    <xf numFmtId="167" fontId="47" fillId="0" borderId="0" xfId="0" applyNumberFormat="1" applyFont="1"/>
    <xf numFmtId="0" fontId="18" fillId="0" borderId="24" xfId="0" applyFont="1" applyBorder="1" applyAlignment="1">
      <alignment horizontal="left"/>
    </xf>
    <xf numFmtId="0" fontId="0" fillId="0" borderId="24" xfId="0" applyBorder="1"/>
    <xf numFmtId="0" fontId="7" fillId="0" borderId="0" xfId="0" applyFont="1" applyAlignment="1">
      <alignment horizontal="center" vertical="center"/>
    </xf>
    <xf numFmtId="0" fontId="24" fillId="4" borderId="0" xfId="0" applyFont="1" applyFill="1" applyAlignment="1">
      <alignment horizontal="center" vertical="center"/>
    </xf>
    <xf numFmtId="0" fontId="7" fillId="0" borderId="0" xfId="0" applyFont="1" applyAlignment="1">
      <alignment horizontal="right" vertical="center"/>
    </xf>
    <xf numFmtId="0" fontId="0" fillId="0" borderId="48" xfId="0" applyBorder="1"/>
    <xf numFmtId="0" fontId="0" fillId="0" borderId="49" xfId="0" applyBorder="1"/>
    <xf numFmtId="0" fontId="0" fillId="0" borderId="22" xfId="0" applyBorder="1"/>
    <xf numFmtId="0" fontId="18" fillId="0" borderId="1" xfId="0" applyFont="1" applyBorder="1" applyAlignment="1">
      <alignment horizontal="left"/>
    </xf>
    <xf numFmtId="0" fontId="0" fillId="0" borderId="1" xfId="0" applyBorder="1"/>
    <xf numFmtId="0" fontId="46" fillId="2" borderId="0" xfId="0" applyFont="1" applyFill="1"/>
    <xf numFmtId="0" fontId="66" fillId="0" borderId="0" xfId="0" applyFont="1"/>
    <xf numFmtId="0" fontId="0" fillId="0" borderId="10" xfId="0" applyBorder="1"/>
    <xf numFmtId="0" fontId="46" fillId="0" borderId="16" xfId="0" applyFont="1" applyBorder="1" applyAlignment="1">
      <alignment wrapText="1"/>
    </xf>
    <xf numFmtId="0" fontId="46" fillId="0" borderId="1" xfId="0" applyFont="1" applyBorder="1" applyAlignment="1">
      <alignment wrapText="1"/>
    </xf>
    <xf numFmtId="0" fontId="9" fillId="0" borderId="20" xfId="0" applyFont="1" applyBorder="1"/>
    <xf numFmtId="0" fontId="46" fillId="0" borderId="50" xfId="0" applyFont="1" applyBorder="1"/>
    <xf numFmtId="0" fontId="46" fillId="0" borderId="51" xfId="0" applyFont="1" applyBorder="1" applyAlignment="1">
      <alignment horizontal="center" textRotation="180" wrapText="1"/>
    </xf>
    <xf numFmtId="0" fontId="0" fillId="0" borderId="6" xfId="0" applyBorder="1"/>
    <xf numFmtId="0" fontId="47" fillId="0" borderId="0" xfId="0" applyFont="1"/>
    <xf numFmtId="0" fontId="46" fillId="0" borderId="52" xfId="0" applyFont="1" applyBorder="1"/>
    <xf numFmtId="0" fontId="46" fillId="0" borderId="53" xfId="0" applyFont="1" applyBorder="1" applyAlignment="1">
      <alignment horizontal="center" textRotation="180" wrapText="1"/>
    </xf>
    <xf numFmtId="0" fontId="56" fillId="0" borderId="14" xfId="0" applyFont="1" applyBorder="1"/>
    <xf numFmtId="0" fontId="56" fillId="0" borderId="9" xfId="0" applyFont="1" applyBorder="1"/>
    <xf numFmtId="0" fontId="0" fillId="0" borderId="14" xfId="0" applyBorder="1"/>
    <xf numFmtId="0" fontId="0" fillId="0" borderId="36" xfId="0" applyBorder="1"/>
    <xf numFmtId="0" fontId="0" fillId="0" borderId="37" xfId="0" applyBorder="1"/>
    <xf numFmtId="0" fontId="46" fillId="0" borderId="54" xfId="0" applyFont="1" applyBorder="1"/>
    <xf numFmtId="0" fontId="46" fillId="0" borderId="55" xfId="0" applyFont="1" applyBorder="1" applyAlignment="1">
      <alignment horizontal="center" textRotation="180" wrapText="1"/>
    </xf>
    <xf numFmtId="0" fontId="21" fillId="0" borderId="0" xfId="0" applyFont="1" applyAlignment="1">
      <alignment horizontal="center"/>
    </xf>
    <xf numFmtId="0" fontId="16" fillId="4" borderId="0" xfId="0" applyFont="1" applyFill="1" applyAlignment="1">
      <alignment horizontal="left"/>
    </xf>
    <xf numFmtId="22" fontId="25" fillId="0" borderId="0" xfId="0" applyNumberFormat="1" applyFont="1"/>
    <xf numFmtId="0" fontId="67" fillId="0" borderId="0" xfId="0" applyFont="1" applyAlignment="1">
      <alignment horizontal="left"/>
    </xf>
    <xf numFmtId="0" fontId="20" fillId="0" borderId="0" xfId="0" applyFont="1" applyAlignment="1">
      <alignment horizontal="left"/>
    </xf>
    <xf numFmtId="0" fontId="23" fillId="4" borderId="0" xfId="0" applyFont="1" applyFill="1"/>
    <xf numFmtId="0" fontId="23" fillId="4" borderId="0" xfId="0" applyFont="1" applyFill="1" applyAlignment="1">
      <alignment horizontal="left"/>
    </xf>
    <xf numFmtId="0" fontId="39" fillId="0" borderId="0" xfId="0" applyFont="1" applyAlignment="1">
      <alignment horizontal="right"/>
    </xf>
    <xf numFmtId="0" fontId="68" fillId="0" borderId="0" xfId="0" applyFont="1"/>
    <xf numFmtId="22" fontId="25" fillId="5" borderId="0" xfId="0" applyNumberFormat="1" applyFont="1" applyFill="1" applyAlignment="1">
      <alignment horizontal="center"/>
    </xf>
    <xf numFmtId="0" fontId="18" fillId="3" borderId="35" xfId="0" applyFont="1" applyFill="1" applyBorder="1" applyAlignment="1">
      <alignment horizontal="center"/>
    </xf>
    <xf numFmtId="0" fontId="18" fillId="3" borderId="0" xfId="0" applyFont="1" applyFill="1" applyAlignment="1">
      <alignment horizontal="center"/>
    </xf>
    <xf numFmtId="0" fontId="41" fillId="0" borderId="1" xfId="0" applyFont="1" applyBorder="1" applyAlignment="1">
      <alignment horizontal="center"/>
    </xf>
    <xf numFmtId="0" fontId="10" fillId="0" borderId="5" xfId="0" applyFont="1" applyBorder="1"/>
    <xf numFmtId="0" fontId="10" fillId="0" borderId="7" xfId="0" applyFont="1" applyBorder="1"/>
    <xf numFmtId="0" fontId="10" fillId="0" borderId="9" xfId="0" applyFont="1" applyBorder="1"/>
    <xf numFmtId="0" fontId="10" fillId="0" borderId="14" xfId="0" applyFont="1" applyBorder="1"/>
    <xf numFmtId="0" fontId="40" fillId="0" borderId="0" xfId="0" applyFont="1" applyAlignment="1">
      <alignment wrapText="1"/>
    </xf>
    <xf numFmtId="0" fontId="69" fillId="4" borderId="0" xfId="0" applyFont="1" applyFill="1"/>
    <xf numFmtId="0" fontId="18" fillId="0" borderId="1" xfId="0" applyFont="1" applyBorder="1" applyAlignment="1">
      <alignment horizontal="center"/>
    </xf>
    <xf numFmtId="0" fontId="28" fillId="0" borderId="0" xfId="0" applyFont="1"/>
    <xf numFmtId="0" fontId="12" fillId="0" borderId="10"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43" fillId="0" borderId="17" xfId="0" applyFont="1" applyBorder="1" applyAlignment="1">
      <alignment horizontal="center"/>
    </xf>
    <xf numFmtId="0" fontId="43" fillId="0" borderId="19" xfId="0" applyFont="1" applyBorder="1" applyAlignment="1">
      <alignment horizontal="center"/>
    </xf>
    <xf numFmtId="0" fontId="43" fillId="0" borderId="0" xfId="0" applyFont="1" applyAlignment="1">
      <alignment horizontal="center"/>
    </xf>
    <xf numFmtId="0" fontId="3" fillId="0" borderId="0" xfId="0" applyFont="1"/>
    <xf numFmtId="0" fontId="37" fillId="0" borderId="0" xfId="0" applyFont="1" applyAlignment="1">
      <alignment horizontal="left" vertical="center" textRotation="90" wrapText="1"/>
    </xf>
    <xf numFmtId="0" fontId="37" fillId="0" borderId="22" xfId="0" applyFont="1" applyBorder="1" applyAlignment="1">
      <alignment horizontal="left" vertical="center" wrapText="1"/>
    </xf>
    <xf numFmtId="0" fontId="35" fillId="0" borderId="33" xfId="0" applyFont="1" applyBorder="1"/>
    <xf numFmtId="0" fontId="41" fillId="0" borderId="34" xfId="0" applyFont="1" applyBorder="1" applyAlignment="1">
      <alignment horizontal="right"/>
    </xf>
    <xf numFmtId="0" fontId="41" fillId="0" borderId="56" xfId="0" applyFont="1" applyBorder="1"/>
    <xf numFmtId="0" fontId="35" fillId="0" borderId="1" xfId="0" applyFont="1" applyBorder="1"/>
    <xf numFmtId="0" fontId="35" fillId="0" borderId="4" xfId="0" applyFont="1" applyBorder="1" applyAlignment="1">
      <alignment horizontal="center" vertical="top" wrapText="1"/>
    </xf>
    <xf numFmtId="0" fontId="40" fillId="0" borderId="1" xfId="0" applyFont="1" applyBorder="1"/>
    <xf numFmtId="0" fontId="40" fillId="0" borderId="0" xfId="0" applyFont="1"/>
    <xf numFmtId="0" fontId="12" fillId="0" borderId="1" xfId="0" applyFont="1" applyBorder="1" applyAlignment="1">
      <alignment horizontal="left" vertical="top" textRotation="90" wrapText="1"/>
    </xf>
    <xf numFmtId="0" fontId="12" fillId="0" borderId="0" xfId="0" applyFont="1" applyAlignment="1">
      <alignment horizontal="left" vertical="top" textRotation="90" wrapText="1"/>
    </xf>
    <xf numFmtId="0" fontId="70" fillId="0" borderId="1" xfId="0" applyFont="1" applyBorder="1" applyAlignment="1">
      <alignment wrapText="1"/>
    </xf>
    <xf numFmtId="0" fontId="35" fillId="0" borderId="20" xfId="0" applyFont="1" applyBorder="1" applyAlignment="1">
      <alignment horizontal="center" vertical="center"/>
    </xf>
    <xf numFmtId="0" fontId="35" fillId="0" borderId="17" xfId="0" applyFont="1" applyBorder="1"/>
    <xf numFmtId="0" fontId="35" fillId="0" borderId="19" xfId="0" applyFont="1" applyBorder="1"/>
    <xf numFmtId="0" fontId="35" fillId="0" borderId="21" xfId="0" applyFont="1" applyBorder="1"/>
    <xf numFmtId="0" fontId="35" fillId="0" borderId="23" xfId="0" applyFont="1" applyBorder="1"/>
    <xf numFmtId="0" fontId="71" fillId="0" borderId="2" xfId="0" applyFont="1" applyBorder="1" applyAlignment="1">
      <alignment vertical="top" wrapText="1"/>
    </xf>
    <xf numFmtId="0" fontId="71" fillId="0" borderId="18" xfId="0" applyFont="1" applyBorder="1" applyAlignment="1">
      <alignment vertical="top" wrapText="1"/>
    </xf>
    <xf numFmtId="0" fontId="71" fillId="0" borderId="1" xfId="0" applyFont="1" applyBorder="1" applyAlignment="1">
      <alignment vertical="top" wrapText="1"/>
    </xf>
    <xf numFmtId="0" fontId="72" fillId="0" borderId="10" xfId="0" applyFont="1" applyBorder="1" applyAlignment="1">
      <alignment horizontal="center"/>
    </xf>
    <xf numFmtId="0" fontId="72" fillId="0" borderId="1" xfId="0" applyFont="1" applyBorder="1"/>
    <xf numFmtId="0" fontId="72" fillId="0" borderId="1" xfId="0" applyFont="1" applyBorder="1" applyAlignment="1">
      <alignment wrapText="1"/>
    </xf>
    <xf numFmtId="0" fontId="72" fillId="0" borderId="0" xfId="0" applyFont="1"/>
    <xf numFmtId="0" fontId="72" fillId="0" borderId="1" xfId="0" applyFont="1" applyBorder="1" applyAlignment="1">
      <alignment horizontal="center"/>
    </xf>
    <xf numFmtId="0" fontId="73" fillId="0" borderId="1" xfId="0" applyFont="1" applyBorder="1" applyAlignment="1">
      <alignment wrapText="1"/>
    </xf>
    <xf numFmtId="0" fontId="28" fillId="0" borderId="1" xfId="0" applyFont="1" applyBorder="1" applyAlignment="1">
      <alignment wrapText="1"/>
    </xf>
    <xf numFmtId="0" fontId="9" fillId="0" borderId="10" xfId="0" applyFont="1" applyBorder="1" applyAlignment="1">
      <alignment horizontal="center"/>
    </xf>
    <xf numFmtId="0" fontId="9" fillId="0" borderId="31" xfId="0" applyFont="1" applyBorder="1"/>
    <xf numFmtId="0" fontId="9" fillId="0" borderId="32" xfId="0" applyFont="1" applyBorder="1"/>
    <xf numFmtId="0" fontId="9" fillId="0" borderId="1" xfId="0" applyFont="1" applyBorder="1"/>
    <xf numFmtId="0" fontId="71" fillId="0" borderId="1" xfId="0" applyFont="1" applyBorder="1"/>
    <xf numFmtId="0" fontId="26" fillId="0" borderId="1" xfId="0" applyFont="1" applyBorder="1"/>
    <xf numFmtId="0" fontId="40" fillId="0" borderId="1" xfId="0" applyFont="1" applyBorder="1" applyAlignment="1">
      <alignment horizontal="center" vertical="center" wrapText="1"/>
    </xf>
    <xf numFmtId="0" fontId="74" fillId="0" borderId="1" xfId="0" applyFont="1" applyBorder="1" applyAlignment="1">
      <alignment horizontal="center"/>
    </xf>
    <xf numFmtId="0" fontId="74" fillId="0" borderId="1" xfId="0" applyFont="1" applyBorder="1"/>
    <xf numFmtId="0" fontId="75" fillId="0" borderId="0" xfId="0" applyFont="1"/>
    <xf numFmtId="0" fontId="76" fillId="0" borderId="0" xfId="0" applyFont="1"/>
    <xf numFmtId="0" fontId="0" fillId="0" borderId="23" xfId="0" applyBorder="1"/>
    <xf numFmtId="0" fontId="0" fillId="0" borderId="21" xfId="0" applyBorder="1"/>
    <xf numFmtId="0" fontId="47" fillId="4" borderId="0" xfId="0" applyFont="1" applyFill="1" applyAlignment="1">
      <alignment horizontal="center" vertical="top"/>
    </xf>
    <xf numFmtId="0" fontId="50" fillId="4" borderId="32" xfId="0" applyFont="1" applyFill="1" applyBorder="1" applyAlignment="1">
      <alignment horizontal="right"/>
    </xf>
    <xf numFmtId="0" fontId="50" fillId="4" borderId="40" xfId="0" applyFont="1" applyFill="1" applyBorder="1" applyAlignment="1">
      <alignment horizontal="center"/>
    </xf>
    <xf numFmtId="164" fontId="50" fillId="5" borderId="28" xfId="0" applyNumberFormat="1" applyFont="1" applyFill="1" applyBorder="1" applyAlignment="1">
      <alignment wrapText="1"/>
    </xf>
    <xf numFmtId="0" fontId="50" fillId="6" borderId="0" xfId="0" applyFont="1" applyFill="1" applyAlignment="1">
      <alignment horizontal="center" wrapText="1"/>
    </xf>
    <xf numFmtId="0" fontId="46" fillId="0" borderId="57" xfId="0" applyFont="1" applyBorder="1" applyAlignment="1">
      <alignment horizontal="center"/>
    </xf>
    <xf numFmtId="1" fontId="50" fillId="4" borderId="34" xfId="0" applyNumberFormat="1" applyFont="1" applyFill="1" applyBorder="1" applyAlignment="1">
      <alignment horizontal="center" vertical="center" wrapText="1"/>
    </xf>
    <xf numFmtId="0" fontId="50" fillId="0" borderId="16" xfId="0" applyFont="1" applyBorder="1" applyAlignment="1">
      <alignment horizontal="center"/>
    </xf>
    <xf numFmtId="164" fontId="47" fillId="6" borderId="28" xfId="0" applyNumberFormat="1" applyFont="1" applyFill="1" applyBorder="1" applyAlignment="1">
      <alignment horizontal="center" vertical="center" wrapText="1"/>
    </xf>
    <xf numFmtId="0" fontId="62" fillId="0" borderId="1" xfId="0" applyFont="1" applyBorder="1" applyAlignment="1">
      <alignment horizontal="center"/>
    </xf>
    <xf numFmtId="0" fontId="62" fillId="0" borderId="1" xfId="0" applyFont="1" applyBorder="1"/>
    <xf numFmtId="0" fontId="50" fillId="0" borderId="0" xfId="0" applyFont="1" applyAlignment="1">
      <alignment horizontal="center"/>
    </xf>
    <xf numFmtId="0" fontId="50" fillId="4" borderId="45" xfId="0" applyFont="1" applyFill="1" applyBorder="1" applyAlignment="1">
      <alignment horizontal="center"/>
    </xf>
    <xf numFmtId="0" fontId="43" fillId="0" borderId="0" xfId="0" applyFont="1" applyAlignment="1">
      <alignment horizontal="center"/>
    </xf>
    <xf numFmtId="0" fontId="16" fillId="4" borderId="1" xfId="0" applyFont="1" applyFill="1" applyBorder="1"/>
    <xf numFmtId="0" fontId="69" fillId="4" borderId="1" xfId="0" applyFont="1" applyFill="1" applyBorder="1"/>
    <xf numFmtId="0" fontId="64" fillId="4" borderId="1" xfId="0" applyFont="1" applyFill="1" applyBorder="1"/>
    <xf numFmtId="0" fontId="18" fillId="0" borderId="0" xfId="0" applyFont="1" applyAlignment="1">
      <alignment horizontal="center"/>
    </xf>
    <xf numFmtId="164" fontId="69" fillId="4" borderId="0" xfId="0" applyNumberFormat="1" applyFont="1" applyFill="1"/>
    <xf numFmtId="0" fontId="12" fillId="0" borderId="0" xfId="0" applyFont="1"/>
    <xf numFmtId="0" fontId="70" fillId="0" borderId="0" xfId="0" applyFont="1" applyAlignment="1">
      <alignment horizontal="right"/>
    </xf>
    <xf numFmtId="0" fontId="69" fillId="4" borderId="22" xfId="0" applyFont="1" applyFill="1" applyBorder="1"/>
    <xf numFmtId="2" fontId="23" fillId="0" borderId="0" xfId="0" applyNumberFormat="1" applyFont="1"/>
    <xf numFmtId="0" fontId="72" fillId="0" borderId="0" xfId="0" applyFont="1" applyAlignment="1">
      <alignment horizontal="center"/>
    </xf>
    <xf numFmtId="0" fontId="77" fillId="0" borderId="15" xfId="0" applyFont="1" applyBorder="1" applyAlignment="1">
      <alignment horizontal="center" wrapText="1"/>
    </xf>
    <xf numFmtId="0" fontId="40" fillId="0" borderId="21" xfId="0" applyFont="1" applyBorder="1" applyAlignment="1">
      <alignment wrapText="1"/>
    </xf>
    <xf numFmtId="0" fontId="40" fillId="0" borderId="23" xfId="0" applyFont="1" applyBorder="1" applyAlignment="1">
      <alignment wrapText="1"/>
    </xf>
    <xf numFmtId="0" fontId="28" fillId="0" borderId="2" xfId="0" applyFont="1" applyBorder="1" applyAlignment="1">
      <alignment wrapText="1"/>
    </xf>
    <xf numFmtId="0" fontId="28" fillId="0" borderId="1" xfId="0" applyFont="1" applyBorder="1" applyAlignment="1">
      <alignment vertical="center" wrapText="1"/>
    </xf>
    <xf numFmtId="0" fontId="40" fillId="0" borderId="19" xfId="0" applyFont="1" applyBorder="1" applyAlignment="1">
      <alignment wrapText="1"/>
    </xf>
    <xf numFmtId="0" fontId="40" fillId="0" borderId="14" xfId="0" applyFont="1" applyBorder="1" applyAlignment="1">
      <alignment wrapText="1"/>
    </xf>
    <xf numFmtId="0" fontId="56" fillId="0" borderId="1" xfId="0" applyFont="1" applyBorder="1" applyAlignment="1">
      <alignment horizontal="center" wrapText="1"/>
    </xf>
    <xf numFmtId="2" fontId="23" fillId="4" borderId="0" xfId="0" applyNumberFormat="1" applyFont="1" applyFill="1"/>
    <xf numFmtId="0" fontId="26" fillId="0" borderId="15" xfId="0" applyFont="1" applyBorder="1" applyAlignment="1">
      <alignment horizontal="center"/>
    </xf>
    <xf numFmtId="0" fontId="47" fillId="4" borderId="31" xfId="0" applyFont="1" applyFill="1" applyBorder="1"/>
    <xf numFmtId="1" fontId="16" fillId="6" borderId="29" xfId="0" applyNumberFormat="1" applyFont="1" applyFill="1" applyBorder="1" applyAlignment="1">
      <alignment horizontal="center" vertical="center" wrapText="1"/>
    </xf>
    <xf numFmtId="1" fontId="16" fillId="7" borderId="1" xfId="0" applyNumberFormat="1" applyFont="1" applyFill="1" applyBorder="1" applyAlignment="1">
      <alignment horizontal="center" vertical="center" wrapText="1"/>
    </xf>
    <xf numFmtId="1" fontId="25" fillId="6" borderId="34" xfId="0" applyNumberFormat="1" applyFont="1" applyFill="1" applyBorder="1" applyAlignment="1">
      <alignment horizontal="center" vertical="center" wrapText="1"/>
    </xf>
    <xf numFmtId="0" fontId="69" fillId="6" borderId="32" xfId="0" applyFont="1" applyFill="1" applyBorder="1" applyAlignment="1">
      <alignment wrapText="1"/>
    </xf>
    <xf numFmtId="0" fontId="69" fillId="6" borderId="16" xfId="0" applyFont="1" applyFill="1" applyBorder="1" applyAlignment="1">
      <alignment horizontal="center" wrapText="1"/>
    </xf>
    <xf numFmtId="0" fontId="69" fillId="6" borderId="1" xfId="0" applyFont="1" applyFill="1" applyBorder="1" applyAlignment="1">
      <alignment wrapText="1"/>
    </xf>
    <xf numFmtId="1" fontId="47" fillId="4" borderId="1" xfId="0" applyNumberFormat="1" applyFont="1" applyFill="1" applyBorder="1" applyAlignment="1">
      <alignment horizontal="center"/>
    </xf>
    <xf numFmtId="0" fontId="78" fillId="4" borderId="32" xfId="0" applyFont="1" applyFill="1" applyBorder="1" applyAlignment="1">
      <alignment horizontal="center" vertical="center"/>
    </xf>
    <xf numFmtId="0" fontId="47" fillId="4" borderId="41" xfId="0" applyFont="1" applyFill="1" applyBorder="1"/>
    <xf numFmtId="0" fontId="78" fillId="4" borderId="43" xfId="0" applyFont="1" applyFill="1" applyBorder="1" applyAlignment="1">
      <alignment horizontal="center" vertical="center"/>
    </xf>
  </cellXfs>
  <cellStyles count="2">
    <cellStyle name="Migliaia" xfId="1" builtinId="3"/>
    <cellStyle name="Normale" xfId="0" builtinId="0"/>
  </cellStyles>
  <dxfs count="22">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245</xdr:col>
      <xdr:colOff>71437</xdr:colOff>
      <xdr:row>63</xdr:row>
      <xdr:rowOff>47625</xdr:rowOff>
    </xdr:from>
    <xdr:to>
      <xdr:col>246</xdr:col>
      <xdr:colOff>71437</xdr:colOff>
      <xdr:row>63</xdr:row>
      <xdr:rowOff>47625</xdr:rowOff>
    </xdr:to>
    <xdr:cxnSp macro="">
      <xdr:nvCxnSpPr>
        <xdr:cNvPr id="2" name="Connettore 2 1">
          <a:extLst>
            <a:ext uri="{FF2B5EF4-FFF2-40B4-BE49-F238E27FC236}">
              <a16:creationId xmlns:a16="http://schemas.microsoft.com/office/drawing/2014/main" id="{951B8349-6B8D-7E4B-A809-F45402CBEAA3}"/>
            </a:ext>
          </a:extLst>
        </xdr:cNvPr>
        <xdr:cNvCxnSpPr/>
      </xdr:nvCxnSpPr>
      <xdr:spPr>
        <a:xfrm>
          <a:off x="215844437" y="31645225"/>
          <a:ext cx="16891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242</xdr:col>
      <xdr:colOff>23812</xdr:colOff>
      <xdr:row>63</xdr:row>
      <xdr:rowOff>0</xdr:rowOff>
    </xdr:from>
    <xdr:to>
      <xdr:col>244</xdr:col>
      <xdr:colOff>428625</xdr:colOff>
      <xdr:row>63</xdr:row>
      <xdr:rowOff>23812</xdr:rowOff>
    </xdr:to>
    <xdr:cxnSp macro="">
      <xdr:nvCxnSpPr>
        <xdr:cNvPr id="3" name="Connettore 2 2">
          <a:extLst>
            <a:ext uri="{FF2B5EF4-FFF2-40B4-BE49-F238E27FC236}">
              <a16:creationId xmlns:a16="http://schemas.microsoft.com/office/drawing/2014/main" id="{F8D9FF53-27F8-7E49-B589-BE580F0066E3}"/>
            </a:ext>
          </a:extLst>
        </xdr:cNvPr>
        <xdr:cNvCxnSpPr/>
      </xdr:nvCxnSpPr>
      <xdr:spPr>
        <a:xfrm>
          <a:off x="211707412" y="31597600"/>
          <a:ext cx="2043113" cy="2381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242</xdr:col>
      <xdr:colOff>23813</xdr:colOff>
      <xdr:row>61</xdr:row>
      <xdr:rowOff>428625</xdr:rowOff>
    </xdr:from>
    <xdr:to>
      <xdr:col>245</xdr:col>
      <xdr:colOff>1476374</xdr:colOff>
      <xdr:row>62</xdr:row>
      <xdr:rowOff>47624</xdr:rowOff>
    </xdr:to>
    <xdr:cxnSp macro="">
      <xdr:nvCxnSpPr>
        <xdr:cNvPr id="4" name="Connettore 2 3">
          <a:extLst>
            <a:ext uri="{FF2B5EF4-FFF2-40B4-BE49-F238E27FC236}">
              <a16:creationId xmlns:a16="http://schemas.microsoft.com/office/drawing/2014/main" id="{40DA934B-C9D3-3046-8B15-E0EC6BB4E42A}"/>
            </a:ext>
          </a:extLst>
        </xdr:cNvPr>
        <xdr:cNvCxnSpPr/>
      </xdr:nvCxnSpPr>
      <xdr:spPr>
        <a:xfrm>
          <a:off x="211707413" y="31175325"/>
          <a:ext cx="5541961" cy="634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246</xdr:col>
      <xdr:colOff>2476501</xdr:colOff>
      <xdr:row>65</xdr:row>
      <xdr:rowOff>23813</xdr:rowOff>
    </xdr:from>
    <xdr:to>
      <xdr:col>246</xdr:col>
      <xdr:colOff>2603500</xdr:colOff>
      <xdr:row>69</xdr:row>
      <xdr:rowOff>317500</xdr:rowOff>
    </xdr:to>
    <xdr:cxnSp macro="">
      <xdr:nvCxnSpPr>
        <xdr:cNvPr id="5" name="Connettore 2 4">
          <a:extLst>
            <a:ext uri="{FF2B5EF4-FFF2-40B4-BE49-F238E27FC236}">
              <a16:creationId xmlns:a16="http://schemas.microsoft.com/office/drawing/2014/main" id="{F9E47252-5C1C-B04A-B782-DF40467215A4}"/>
            </a:ext>
          </a:extLst>
        </xdr:cNvPr>
        <xdr:cNvCxnSpPr/>
      </xdr:nvCxnSpPr>
      <xdr:spPr>
        <a:xfrm>
          <a:off x="218681301" y="32434213"/>
          <a:ext cx="0" cy="195738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246</xdr:col>
      <xdr:colOff>404811</xdr:colOff>
      <xdr:row>67</xdr:row>
      <xdr:rowOff>23812</xdr:rowOff>
    </xdr:from>
    <xdr:to>
      <xdr:col>246</xdr:col>
      <xdr:colOff>428625</xdr:colOff>
      <xdr:row>70</xdr:row>
      <xdr:rowOff>119061</xdr:rowOff>
    </xdr:to>
    <xdr:cxnSp macro="">
      <xdr:nvCxnSpPr>
        <xdr:cNvPr id="6" name="Connettore 2 5">
          <a:extLst>
            <a:ext uri="{FF2B5EF4-FFF2-40B4-BE49-F238E27FC236}">
              <a16:creationId xmlns:a16="http://schemas.microsoft.com/office/drawing/2014/main" id="{15CA88C7-5620-454E-B391-B3AEC7BE1711}"/>
            </a:ext>
          </a:extLst>
        </xdr:cNvPr>
        <xdr:cNvCxnSpPr/>
      </xdr:nvCxnSpPr>
      <xdr:spPr>
        <a:xfrm flipH="1">
          <a:off x="217866911" y="33247012"/>
          <a:ext cx="23814" cy="132714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246</xdr:col>
      <xdr:colOff>428625</xdr:colOff>
      <xdr:row>65</xdr:row>
      <xdr:rowOff>23812</xdr:rowOff>
    </xdr:from>
    <xdr:to>
      <xdr:col>246</xdr:col>
      <xdr:colOff>452437</xdr:colOff>
      <xdr:row>66</xdr:row>
      <xdr:rowOff>119062</xdr:rowOff>
    </xdr:to>
    <xdr:cxnSp macro="">
      <xdr:nvCxnSpPr>
        <xdr:cNvPr id="7" name="Connettore 2 6">
          <a:extLst>
            <a:ext uri="{FF2B5EF4-FFF2-40B4-BE49-F238E27FC236}">
              <a16:creationId xmlns:a16="http://schemas.microsoft.com/office/drawing/2014/main" id="{171189B9-D749-374D-8209-C78EF5F2F3C2}"/>
            </a:ext>
          </a:extLst>
        </xdr:cNvPr>
        <xdr:cNvCxnSpPr/>
      </xdr:nvCxnSpPr>
      <xdr:spPr>
        <a:xfrm flipH="1">
          <a:off x="217890725" y="32434212"/>
          <a:ext cx="23812" cy="5016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246</xdr:col>
      <xdr:colOff>404813</xdr:colOff>
      <xdr:row>66</xdr:row>
      <xdr:rowOff>71437</xdr:rowOff>
    </xdr:from>
    <xdr:to>
      <xdr:col>246</xdr:col>
      <xdr:colOff>428625</xdr:colOff>
      <xdr:row>67</xdr:row>
      <xdr:rowOff>166688</xdr:rowOff>
    </xdr:to>
    <xdr:cxnSp macro="">
      <xdr:nvCxnSpPr>
        <xdr:cNvPr id="8" name="Connettore 2 7">
          <a:extLst>
            <a:ext uri="{FF2B5EF4-FFF2-40B4-BE49-F238E27FC236}">
              <a16:creationId xmlns:a16="http://schemas.microsoft.com/office/drawing/2014/main" id="{A78EAF47-4FFA-624B-9A48-58A5A2046BB2}"/>
            </a:ext>
          </a:extLst>
        </xdr:cNvPr>
        <xdr:cNvCxnSpPr/>
      </xdr:nvCxnSpPr>
      <xdr:spPr>
        <a:xfrm flipH="1">
          <a:off x="217866913" y="32888237"/>
          <a:ext cx="23812" cy="5016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giovanniantonioni/Desktop/Universita&#768;/Lavoro/p2k2_converter/test/data/barriere.xlsm" TargetMode="External"/><Relationship Id="rId1" Type="http://schemas.openxmlformats.org/officeDocument/2006/relationships/externalLinkPath" Target="/Users/giovanniantonioni/Desktop/Universita&#768;/Lavoro/p2k2_converter/test/data/barrier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iveunibo-my.sharepoint.com/personal/giovanni_antonioni2_studio_unibo_it/Documents/Lavoro/BARRIERA_ANTIALLAGAMENTO%20PROVA%202022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ARRIERA_ANTIALLAGAMENTO%20ap%20produzione%20moderna3.202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goli"/>
      <sheetName val="RILIEVO E PROFILI AI 3 LATI"/>
      <sheetName val="tecnico"/>
      <sheetName val="certificati"/>
      <sheetName val="LISTINO PREZZI INSTALLAZIONE ES"/>
      <sheetName val="conf "/>
      <sheetName val="conf en"/>
      <sheetName val="conf es"/>
      <sheetName val="conf fr"/>
      <sheetName val="conf IT"/>
      <sheetName val="IMMISSIONE DATI"/>
      <sheetName val="CONTROTELAIO"/>
      <sheetName val="rivenditori"/>
      <sheetName val="prev vert"/>
      <sheetName val="Preventivo CLIENTE"/>
      <sheetName val="PREVENTIVO RICH WEB S INTALL"/>
      <sheetName val="CONTRATTO"/>
      <sheetName val="MATRICE PROD...."/>
      <sheetName val="prod CLICK_RAPID"/>
      <sheetName val="prod MODERNA"/>
      <sheetName val="prod MODI "/>
      <sheetName val="prod CLOSE"/>
      <sheetName val="Foglio1"/>
      <sheetName val="Foglio2"/>
      <sheetName val="Foglio3"/>
      <sheetName val="Foglio4"/>
      <sheetName val="Foglio5"/>
      <sheetName val="Foglio6"/>
      <sheetName val="Foglio7"/>
      <sheetName val="Foglio8"/>
      <sheetName val="Foglio9"/>
      <sheetName val="Foglio10"/>
      <sheetName val="Foglio11"/>
      <sheetName val="Foglio12"/>
      <sheetName val="Foglio13"/>
      <sheetName val="Barre"/>
      <sheetName val="CLOSE"/>
      <sheetName val="tab fori cerniere close e gate"/>
      <sheetName val="prod MODERNA CUT"/>
      <sheetName val="prod MODERNA PLUS"/>
      <sheetName val="prod MODU"/>
      <sheetName val="ORD CTEL FULLG"/>
      <sheetName val="INSTALLAZIONI"/>
      <sheetName val="DATI"/>
      <sheetName val="DICHIARAZIONE DI INSTALLAZIONE"/>
      <sheetName val="pulsanti E convalida dati"/>
      <sheetName val="COLORI"/>
      <sheetName val="imballi"/>
      <sheetName val="TRASPORTI"/>
      <sheetName val="REVERSE PROFILI"/>
      <sheetName val="REVERSE TABELLA"/>
      <sheetName val="MATERIALI"/>
      <sheetName val="lamiera ALU"/>
      <sheetName val="profili ALU "/>
      <sheetName val="ProfiliINOX"/>
      <sheetName val="CLEAR F"/>
      <sheetName val="MODIFICHE AL PROSSIMO LISTINO"/>
      <sheetName val="CONDIZIONI"/>
      <sheetName val="CLICK"/>
      <sheetName val="GATE"/>
      <sheetName val="MODERNA"/>
      <sheetName val="MODERNACUT"/>
      <sheetName val="MODERNA_PLUS"/>
      <sheetName val="TELAIO A L 3 LATI "/>
      <sheetName val="telaio a L 4 lati"/>
      <sheetName val="FULL_G"/>
      <sheetName val="FULL_W"/>
      <sheetName val="FULL_GIC"/>
      <sheetName val="FULL_GIF"/>
      <sheetName val="FULL_D"/>
      <sheetName val="MODi"/>
      <sheetName val="TEMPI LAVORO"/>
      <sheetName val="MODI_Minimal"/>
      <sheetName val="MOd PROVA LIST"/>
      <sheetName val="MODu prova list"/>
      <sheetName val="MODU"/>
      <sheetName val="MODU_minimal"/>
      <sheetName val="TAPPI"/>
      <sheetName val="REVERSE EGINEERING  LISTINI"/>
      <sheetName val="MATRICE"/>
      <sheetName val="AC25"/>
      <sheetName val="BT30"/>
      <sheetName val="AB25"/>
      <sheetName val="AB40"/>
      <sheetName val="AC40"/>
      <sheetName val="Tab Ordini"/>
      <sheetName val="IF"/>
      <sheetName val="IP"/>
      <sheetName val="pagamenti"/>
      <sheetName val="calcolo IVA"/>
      <sheetName val="calcoloRATE"/>
      <sheetName val="DDTprodotto"/>
      <sheetName val="fattACCONTO1"/>
      <sheetName val="fattACCONTO2"/>
      <sheetName val="fattSALDO"/>
      <sheetName val="fattSALDOaccompagnatoria"/>
      <sheetName val="tmp"/>
    </sheetNames>
    <sheetDataSet>
      <sheetData sheetId="0"/>
      <sheetData sheetId="1"/>
      <sheetData sheetId="2"/>
      <sheetData sheetId="3"/>
      <sheetData sheetId="4"/>
      <sheetData sheetId="5"/>
      <sheetData sheetId="6"/>
      <sheetData sheetId="7"/>
      <sheetData sheetId="8"/>
      <sheetData sheetId="9"/>
      <sheetData sheetId="10">
        <row r="1">
          <cell r="F1" t="str">
            <v>RA01</v>
          </cell>
        </row>
        <row r="11">
          <cell r="F11" t="str">
            <v>Giovanni Antonioni</v>
          </cell>
        </row>
        <row r="60">
          <cell r="AR60" t="str">
            <v>PROFILO PERIMETRALE</v>
          </cell>
        </row>
        <row r="64">
          <cell r="I64" t="str">
            <v>MODERNA</v>
          </cell>
          <cell r="J64" t="str">
            <v>MODERNA</v>
          </cell>
          <cell r="K64">
            <v>100</v>
          </cell>
          <cell r="L64">
            <v>80</v>
          </cell>
          <cell r="M64" t="str">
            <v>DX (di serie)</v>
          </cell>
          <cell r="R64">
            <v>100</v>
          </cell>
          <cell r="S64">
            <v>100</v>
          </cell>
          <cell r="AM64" t="str">
            <v>ESCLUSI</v>
          </cell>
          <cell r="AP64" t="str">
            <v/>
          </cell>
          <cell r="AQ64" t="str">
            <v/>
          </cell>
          <cell r="AV64" t="str">
            <v>PIATTOalu60x3</v>
          </cell>
          <cell r="BD64" t="str">
            <v/>
          </cell>
          <cell r="BF64">
            <v>0</v>
          </cell>
          <cell r="BG64" t="str">
            <v/>
          </cell>
          <cell r="BL64">
            <v>1</v>
          </cell>
          <cell r="BM64">
            <v>8</v>
          </cell>
          <cell r="BO64">
            <v>1</v>
          </cell>
          <cell r="BP64">
            <v>2</v>
          </cell>
          <cell r="BR64">
            <v>7</v>
          </cell>
        </row>
        <row r="65">
          <cell r="I65" t="str">
            <v>CLICK_RAPID</v>
          </cell>
          <cell r="J65" t="str">
            <v>CLICK_RAPID</v>
          </cell>
          <cell r="K65">
            <v>99.9</v>
          </cell>
          <cell r="L65">
            <v>100</v>
          </cell>
          <cell r="M65" t="str">
            <v>CENTRALE</v>
          </cell>
          <cell r="R65">
            <v>99.9</v>
          </cell>
          <cell r="S65">
            <v>99.9</v>
          </cell>
          <cell r="AM65" t="str">
            <v>Lalu60x30</v>
          </cell>
          <cell r="AP65" t="str">
            <v/>
          </cell>
          <cell r="AQ65" t="str">
            <v/>
          </cell>
          <cell r="AV65" t="str">
            <v>PIATTOalu60x3</v>
          </cell>
          <cell r="BD65" t="str">
            <v/>
          </cell>
          <cell r="BF65">
            <v>0</v>
          </cell>
          <cell r="BG65" t="str">
            <v/>
          </cell>
          <cell r="BL65">
            <v>4</v>
          </cell>
          <cell r="BM65">
            <v>9.99</v>
          </cell>
          <cell r="BO65">
            <v>1</v>
          </cell>
          <cell r="BP65">
            <v>4</v>
          </cell>
          <cell r="BR65">
            <v>6</v>
          </cell>
        </row>
        <row r="66">
          <cell r="I66" t="str">
            <v>CLOSE</v>
          </cell>
          <cell r="J66" t="str">
            <v>CLOSE</v>
          </cell>
          <cell r="K66">
            <v>99.9</v>
          </cell>
          <cell r="L66">
            <v>100</v>
          </cell>
          <cell r="M66" t="str">
            <v>DX (di serie)</v>
          </cell>
          <cell r="R66">
            <v>99.9</v>
          </cell>
          <cell r="S66">
            <v>99.9</v>
          </cell>
          <cell r="AM66" t="str">
            <v>TEL. L</v>
          </cell>
          <cell r="AP66" t="str">
            <v/>
          </cell>
          <cell r="AQ66" t="str">
            <v/>
          </cell>
          <cell r="AV66">
            <v>0</v>
          </cell>
          <cell r="BD66" t="str">
            <v/>
          </cell>
          <cell r="BF66">
            <v>0</v>
          </cell>
          <cell r="BG66" t="str">
            <v/>
          </cell>
          <cell r="BL66" t="e">
            <v>#REF!</v>
          </cell>
          <cell r="BM66">
            <v>9.99</v>
          </cell>
          <cell r="BO66">
            <v>1</v>
          </cell>
          <cell r="BP66">
            <v>4</v>
          </cell>
          <cell r="BR66">
            <v>6</v>
          </cell>
        </row>
        <row r="67">
          <cell r="I67" t="str">
            <v>CLOSE</v>
          </cell>
          <cell r="J67" t="str">
            <v>CLOSE</v>
          </cell>
          <cell r="K67">
            <v>99.9</v>
          </cell>
          <cell r="L67">
            <v>100</v>
          </cell>
          <cell r="M67" t="str">
            <v>DX (di serie)</v>
          </cell>
          <cell r="R67">
            <v>99.9</v>
          </cell>
          <cell r="S67">
            <v>99.9</v>
          </cell>
          <cell r="AM67" t="str">
            <v>TEL. L</v>
          </cell>
          <cell r="AP67" t="str">
            <v/>
          </cell>
          <cell r="AQ67" t="str">
            <v/>
          </cell>
          <cell r="AV67">
            <v>0</v>
          </cell>
          <cell r="BD67" t="str">
            <v/>
          </cell>
          <cell r="BF67">
            <v>0</v>
          </cell>
          <cell r="BG67" t="str">
            <v/>
          </cell>
          <cell r="BL67" t="e">
            <v>#REF!</v>
          </cell>
          <cell r="BM67">
            <v>9.99</v>
          </cell>
          <cell r="BO67">
            <v>1</v>
          </cell>
          <cell r="BP67">
            <v>4</v>
          </cell>
          <cell r="BR67">
            <v>6</v>
          </cell>
        </row>
        <row r="68">
          <cell r="J68" t="str">
            <v/>
          </cell>
          <cell r="M68" t="str">
            <v/>
          </cell>
          <cell r="R68" t="str">
            <v/>
          </cell>
          <cell r="S68" t="str">
            <v/>
          </cell>
          <cell r="AM68" t="str">
            <v/>
          </cell>
          <cell r="AP68" t="str">
            <v/>
          </cell>
          <cell r="AQ68" t="str">
            <v/>
          </cell>
          <cell r="AV68" t="str">
            <v/>
          </cell>
          <cell r="BD68" t="str">
            <v/>
          </cell>
          <cell r="BF68" t="str">
            <v/>
          </cell>
          <cell r="BG68" t="str">
            <v/>
          </cell>
          <cell r="BL68" t="str">
            <v/>
          </cell>
          <cell r="BM68" t="str">
            <v/>
          </cell>
          <cell r="BO68" t="str">
            <v/>
          </cell>
          <cell r="BP68" t="str">
            <v/>
          </cell>
          <cell r="BR68" t="str">
            <v/>
          </cell>
        </row>
        <row r="69">
          <cell r="J69" t="str">
            <v/>
          </cell>
          <cell r="M69" t="str">
            <v/>
          </cell>
          <cell r="R69" t="str">
            <v/>
          </cell>
          <cell r="S69" t="str">
            <v/>
          </cell>
          <cell r="AM69" t="str">
            <v/>
          </cell>
          <cell r="AP69" t="str">
            <v/>
          </cell>
          <cell r="AQ69" t="str">
            <v/>
          </cell>
          <cell r="AV69" t="str">
            <v/>
          </cell>
          <cell r="BD69" t="str">
            <v/>
          </cell>
          <cell r="BF69" t="str">
            <v/>
          </cell>
          <cell r="BG69" t="str">
            <v/>
          </cell>
          <cell r="BL69" t="str">
            <v/>
          </cell>
          <cell r="BM69" t="str">
            <v/>
          </cell>
          <cell r="BO69" t="str">
            <v/>
          </cell>
          <cell r="BP69" t="str">
            <v/>
          </cell>
          <cell r="BR69" t="str">
            <v/>
          </cell>
        </row>
        <row r="70">
          <cell r="J70" t="str">
            <v/>
          </cell>
          <cell r="M70" t="str">
            <v/>
          </cell>
          <cell r="R70" t="str">
            <v/>
          </cell>
          <cell r="S70" t="str">
            <v/>
          </cell>
          <cell r="AM70" t="str">
            <v/>
          </cell>
          <cell r="AP70" t="str">
            <v/>
          </cell>
          <cell r="AQ70" t="str">
            <v/>
          </cell>
          <cell r="AV70" t="str">
            <v/>
          </cell>
          <cell r="BD70" t="str">
            <v/>
          </cell>
          <cell r="BF70" t="str">
            <v/>
          </cell>
          <cell r="BG70" t="str">
            <v/>
          </cell>
          <cell r="BL70" t="str">
            <v/>
          </cell>
          <cell r="BM70" t="str">
            <v/>
          </cell>
          <cell r="BO70" t="str">
            <v/>
          </cell>
          <cell r="BP70" t="str">
            <v/>
          </cell>
          <cell r="BR70" t="str">
            <v/>
          </cell>
        </row>
        <row r="71">
          <cell r="J71" t="str">
            <v/>
          </cell>
          <cell r="M71" t="str">
            <v/>
          </cell>
          <cell r="R71" t="str">
            <v/>
          </cell>
          <cell r="S71" t="str">
            <v/>
          </cell>
          <cell r="AM71" t="str">
            <v/>
          </cell>
          <cell r="AP71" t="str">
            <v/>
          </cell>
          <cell r="AQ71" t="str">
            <v/>
          </cell>
          <cell r="AV71" t="str">
            <v/>
          </cell>
          <cell r="BD71" t="str">
            <v/>
          </cell>
          <cell r="BF71" t="str">
            <v/>
          </cell>
          <cell r="BG71" t="str">
            <v/>
          </cell>
          <cell r="BL71" t="str">
            <v/>
          </cell>
          <cell r="BM71" t="str">
            <v/>
          </cell>
          <cell r="BO71" t="str">
            <v/>
          </cell>
          <cell r="BP71" t="str">
            <v/>
          </cell>
          <cell r="BR71" t="str">
            <v/>
          </cell>
        </row>
        <row r="72">
          <cell r="J72" t="str">
            <v/>
          </cell>
          <cell r="M72" t="str">
            <v/>
          </cell>
          <cell r="R72" t="str">
            <v/>
          </cell>
          <cell r="S72" t="str">
            <v/>
          </cell>
          <cell r="AM72" t="str">
            <v/>
          </cell>
          <cell r="AP72" t="str">
            <v/>
          </cell>
          <cell r="AQ72" t="str">
            <v/>
          </cell>
          <cell r="AV72" t="str">
            <v/>
          </cell>
          <cell r="BD72" t="str">
            <v/>
          </cell>
          <cell r="BF72" t="str">
            <v/>
          </cell>
          <cell r="BG72" t="str">
            <v/>
          </cell>
          <cell r="BL72" t="str">
            <v/>
          </cell>
          <cell r="BM72" t="str">
            <v/>
          </cell>
          <cell r="BO72" t="str">
            <v/>
          </cell>
          <cell r="BP72" t="str">
            <v/>
          </cell>
          <cell r="BR72" t="str">
            <v/>
          </cell>
        </row>
        <row r="73">
          <cell r="J73" t="str">
            <v/>
          </cell>
          <cell r="M73" t="str">
            <v/>
          </cell>
          <cell r="S73" t="str">
            <v/>
          </cell>
          <cell r="AM73" t="str">
            <v/>
          </cell>
          <cell r="AP73" t="str">
            <v/>
          </cell>
          <cell r="AQ73" t="str">
            <v/>
          </cell>
          <cell r="AV73" t="str">
            <v/>
          </cell>
          <cell r="BD73" t="str">
            <v/>
          </cell>
          <cell r="BF73" t="str">
            <v/>
          </cell>
          <cell r="BG73" t="str">
            <v/>
          </cell>
          <cell r="BL73" t="str">
            <v/>
          </cell>
          <cell r="BM73" t="str">
            <v/>
          </cell>
          <cell r="BO73" t="str">
            <v/>
          </cell>
          <cell r="BP73" t="str">
            <v/>
          </cell>
          <cell r="BR73" t="str">
            <v/>
          </cell>
        </row>
        <row r="74">
          <cell r="J74" t="str">
            <v/>
          </cell>
          <cell r="M74" t="str">
            <v/>
          </cell>
          <cell r="S74" t="str">
            <v/>
          </cell>
          <cell r="AM74" t="str">
            <v/>
          </cell>
          <cell r="AP74" t="str">
            <v/>
          </cell>
          <cell r="AQ74" t="str">
            <v/>
          </cell>
          <cell r="AV74" t="str">
            <v/>
          </cell>
          <cell r="BD74" t="str">
            <v/>
          </cell>
          <cell r="BF74" t="str">
            <v/>
          </cell>
          <cell r="BG74" t="str">
            <v/>
          </cell>
          <cell r="BL74" t="str">
            <v/>
          </cell>
          <cell r="BM74" t="str">
            <v/>
          </cell>
          <cell r="BO74" t="str">
            <v/>
          </cell>
          <cell r="BP74" t="str">
            <v/>
          </cell>
          <cell r="BR74" t="str">
            <v/>
          </cell>
        </row>
        <row r="75">
          <cell r="J75" t="str">
            <v/>
          </cell>
          <cell r="M75" t="str">
            <v/>
          </cell>
          <cell r="S75" t="str">
            <v/>
          </cell>
          <cell r="AM75" t="str">
            <v/>
          </cell>
          <cell r="AP75" t="str">
            <v/>
          </cell>
          <cell r="AQ75" t="str">
            <v/>
          </cell>
          <cell r="AV75" t="str">
            <v/>
          </cell>
          <cell r="BD75" t="str">
            <v/>
          </cell>
          <cell r="BF75" t="str">
            <v/>
          </cell>
          <cell r="BG75" t="str">
            <v/>
          </cell>
          <cell r="BL75" t="str">
            <v/>
          </cell>
          <cell r="BM75" t="str">
            <v/>
          </cell>
          <cell r="BO75" t="str">
            <v/>
          </cell>
          <cell r="BP75" t="str">
            <v/>
          </cell>
          <cell r="BR75" t="str">
            <v/>
          </cell>
        </row>
        <row r="76">
          <cell r="J76" t="str">
            <v/>
          </cell>
          <cell r="M76" t="str">
            <v/>
          </cell>
          <cell r="S76" t="str">
            <v/>
          </cell>
          <cell r="AM76" t="str">
            <v/>
          </cell>
          <cell r="AP76" t="str">
            <v/>
          </cell>
          <cell r="AQ76" t="str">
            <v/>
          </cell>
          <cell r="AV76" t="str">
            <v/>
          </cell>
          <cell r="BD76" t="str">
            <v/>
          </cell>
          <cell r="BF76" t="str">
            <v/>
          </cell>
          <cell r="BG76" t="str">
            <v/>
          </cell>
          <cell r="BL76" t="str">
            <v/>
          </cell>
          <cell r="BM76" t="str">
            <v/>
          </cell>
          <cell r="BO76" t="str">
            <v/>
          </cell>
          <cell r="BP76" t="str">
            <v/>
          </cell>
          <cell r="BR76" t="str">
            <v/>
          </cell>
        </row>
        <row r="77">
          <cell r="J77" t="str">
            <v/>
          </cell>
          <cell r="M77" t="str">
            <v/>
          </cell>
          <cell r="S77" t="str">
            <v/>
          </cell>
          <cell r="AM77" t="str">
            <v/>
          </cell>
          <cell r="AP77" t="str">
            <v/>
          </cell>
          <cell r="AQ77" t="str">
            <v/>
          </cell>
          <cell r="AV77" t="str">
            <v/>
          </cell>
          <cell r="BD77" t="str">
            <v/>
          </cell>
          <cell r="BF77" t="str">
            <v/>
          </cell>
          <cell r="BG77" t="str">
            <v/>
          </cell>
          <cell r="BL77" t="str">
            <v/>
          </cell>
          <cell r="BM77" t="str">
            <v/>
          </cell>
          <cell r="BO77" t="str">
            <v/>
          </cell>
          <cell r="BP77" t="str">
            <v/>
          </cell>
          <cell r="BR77" t="str">
            <v/>
          </cell>
        </row>
        <row r="78">
          <cell r="J78" t="str">
            <v/>
          </cell>
          <cell r="M78" t="str">
            <v/>
          </cell>
          <cell r="S78" t="str">
            <v/>
          </cell>
          <cell r="AM78" t="str">
            <v/>
          </cell>
          <cell r="AP78" t="str">
            <v/>
          </cell>
          <cell r="AQ78" t="str">
            <v/>
          </cell>
          <cell r="AV78" t="str">
            <v/>
          </cell>
          <cell r="BD78" t="str">
            <v/>
          </cell>
          <cell r="BF78" t="str">
            <v/>
          </cell>
          <cell r="BG78" t="str">
            <v/>
          </cell>
          <cell r="BL78" t="str">
            <v/>
          </cell>
          <cell r="BM78" t="str">
            <v/>
          </cell>
          <cell r="BO78" t="str">
            <v/>
          </cell>
          <cell r="BP78" t="str">
            <v/>
          </cell>
          <cell r="BR78" t="str">
            <v/>
          </cell>
        </row>
        <row r="79">
          <cell r="J79" t="str">
            <v/>
          </cell>
          <cell r="M79" t="str">
            <v/>
          </cell>
          <cell r="S79" t="str">
            <v/>
          </cell>
          <cell r="AM79" t="str">
            <v/>
          </cell>
          <cell r="AP79" t="str">
            <v/>
          </cell>
          <cell r="AQ79" t="str">
            <v/>
          </cell>
          <cell r="AV79" t="str">
            <v/>
          </cell>
          <cell r="BD79" t="str">
            <v/>
          </cell>
          <cell r="BF79" t="str">
            <v/>
          </cell>
          <cell r="BG79" t="str">
            <v/>
          </cell>
          <cell r="BL79" t="str">
            <v/>
          </cell>
          <cell r="BM79" t="str">
            <v/>
          </cell>
          <cell r="BO79" t="str">
            <v/>
          </cell>
          <cell r="BP79" t="str">
            <v/>
          </cell>
          <cell r="BR79" t="str">
            <v/>
          </cell>
        </row>
        <row r="80">
          <cell r="G80">
            <v>4</v>
          </cell>
        </row>
        <row r="91">
          <cell r="K91">
            <v>0</v>
          </cell>
        </row>
        <row r="125">
          <cell r="M125" t="str">
            <v>ATTENZIONE! Bonifico bancario da effettuare ad AVVISO di MERCE PRONTA, l'appuntamento d'installazione verrà concordato a pagamento liquido ed esigibile.</v>
          </cell>
        </row>
      </sheetData>
      <sheetData sheetId="11"/>
      <sheetData sheetId="12">
        <row r="3">
          <cell r="H3">
            <v>8</v>
          </cell>
          <cell r="AY3">
            <v>51</v>
          </cell>
        </row>
        <row r="5">
          <cell r="A5" t="str">
            <v>1A BAUSERVICE GMBH</v>
          </cell>
          <cell r="D5" t="str">
            <v>SCHNALLA, 5</v>
          </cell>
          <cell r="E5" t="str">
            <v xml:space="preserve">4911 </v>
          </cell>
          <cell r="F5" t="str">
            <v>TUMELTSHAM</v>
          </cell>
          <cell r="H5" t="str">
            <v>AUSTRIA</v>
          </cell>
          <cell r="J5" t="str">
            <v>ATU68441769</v>
          </cell>
          <cell r="K5" t="str">
            <v>XXXXXXX</v>
          </cell>
          <cell r="M5" t="str">
            <v>ASMIR DIZDAREVIC</v>
          </cell>
          <cell r="N5" t="str">
            <v>+43 6641857057</v>
          </cell>
          <cell r="P5" t="str">
            <v>eins.a.bauservice@gmail.com</v>
          </cell>
          <cell r="R5" t="str">
            <v>BANKÜBERWEISUNG, AM DATUM UNSERER AUFTRAGSBESTÄTIGUNG</v>
          </cell>
          <cell r="X5">
            <v>0</v>
          </cell>
          <cell r="AB5">
            <v>0</v>
          </cell>
          <cell r="AC5">
            <v>0</v>
          </cell>
          <cell r="AD5">
            <v>0</v>
          </cell>
          <cell r="AE5">
            <v>0.3</v>
          </cell>
          <cell r="AF5">
            <v>0</v>
          </cell>
          <cell r="AG5">
            <v>0</v>
          </cell>
          <cell r="AH5">
            <v>0</v>
          </cell>
          <cell r="AI5">
            <v>0</v>
          </cell>
          <cell r="AJ5">
            <v>0</v>
          </cell>
          <cell r="AK5">
            <v>0</v>
          </cell>
          <cell r="AL5">
            <v>0</v>
          </cell>
          <cell r="AM5">
            <v>0.3</v>
          </cell>
          <cell r="AN5">
            <v>0</v>
          </cell>
          <cell r="AO5">
            <v>0</v>
          </cell>
          <cell r="AP5">
            <v>0</v>
          </cell>
          <cell r="AQ5">
            <v>0</v>
          </cell>
          <cell r="AR5">
            <v>0</v>
          </cell>
          <cell r="AS5">
            <v>0</v>
          </cell>
          <cell r="AT5">
            <v>0</v>
          </cell>
          <cell r="AU5">
            <v>0.84</v>
          </cell>
          <cell r="AV5">
            <v>20</v>
          </cell>
          <cell r="AZ5">
            <v>0.3</v>
          </cell>
          <cell r="BA5">
            <v>0.3</v>
          </cell>
        </row>
        <row r="6">
          <cell r="A6" t="str">
            <v>2 F SISTEMI PER PORTE E FINESTRE</v>
          </cell>
          <cell r="D6" t="str">
            <v>VIA BEZZECCA, 57</v>
          </cell>
          <cell r="E6" t="str">
            <v>72100</v>
          </cell>
          <cell r="F6" t="str">
            <v>BRINDISI</v>
          </cell>
          <cell r="G6" t="str">
            <v>BR</v>
          </cell>
          <cell r="H6" t="str">
            <v>ITALIA</v>
          </cell>
          <cell r="I6" t="str">
            <v>MRTGLN72B55B180P</v>
          </cell>
          <cell r="J6" t="str">
            <v>02414750741</v>
          </cell>
          <cell r="M6" t="str">
            <v>UFFICIO ACQUISTI</v>
          </cell>
          <cell r="N6" t="str">
            <v>0831 431498</v>
          </cell>
          <cell r="O6" t="str">
            <v>393 2136910</v>
          </cell>
          <cell r="P6" t="str">
            <v>2fsistemi@gmail.com</v>
          </cell>
          <cell r="R6" t="str">
            <v>BONIFICO BANCARIO, ALLA DATA DELLA NOSTRA CONFERMA D'ORDINE</v>
          </cell>
          <cell r="X6">
            <v>0.25</v>
          </cell>
          <cell r="Y6">
            <v>-0.04</v>
          </cell>
          <cell r="AB6">
            <v>0.25</v>
          </cell>
          <cell r="AC6">
            <v>0.25</v>
          </cell>
          <cell r="AD6">
            <v>0.25</v>
          </cell>
          <cell r="AE6">
            <v>0.25</v>
          </cell>
          <cell r="AF6">
            <v>0.25</v>
          </cell>
          <cell r="AG6">
            <v>0.25</v>
          </cell>
          <cell r="AH6">
            <v>0.25</v>
          </cell>
          <cell r="AI6">
            <v>0.25</v>
          </cell>
          <cell r="AJ6">
            <v>0.25</v>
          </cell>
          <cell r="AK6">
            <v>0.25</v>
          </cell>
          <cell r="AL6">
            <v>0.25</v>
          </cell>
          <cell r="AM6">
            <v>0.25</v>
          </cell>
          <cell r="AN6">
            <v>0.25</v>
          </cell>
          <cell r="AO6">
            <v>0.25</v>
          </cell>
          <cell r="AP6">
            <v>0.25</v>
          </cell>
          <cell r="AQ6">
            <v>0.25</v>
          </cell>
          <cell r="AR6">
            <v>0.25</v>
          </cell>
          <cell r="AS6">
            <v>0.25</v>
          </cell>
          <cell r="AT6">
            <v>-0.04</v>
          </cell>
          <cell r="AU6">
            <v>0.92</v>
          </cell>
          <cell r="AV6">
            <v>20</v>
          </cell>
          <cell r="AZ6">
            <v>0.25</v>
          </cell>
          <cell r="BA6">
            <v>0.25</v>
          </cell>
        </row>
        <row r="7">
          <cell r="A7" t="str">
            <v>2 G DI MATTANA LUIGI</v>
          </cell>
          <cell r="B7" t="str">
            <v>ATTENZIONE, SE LE FA LUI IN POLICARBONATO O PANNELLI DI ALLUMINIO (PICCOLO TUTTO FARE) AP 08/02/2022</v>
          </cell>
          <cell r="D7" t="str">
            <v>VIA CA' BOTTARA, 31</v>
          </cell>
          <cell r="E7" t="str">
            <v>36015</v>
          </cell>
          <cell r="F7" t="str">
            <v>SCHIO</v>
          </cell>
          <cell r="G7" t="str">
            <v>VI</v>
          </cell>
          <cell r="H7" t="str">
            <v>ITALIA</v>
          </cell>
          <cell r="I7" t="str">
            <v>MTTLGU74R01B354S</v>
          </cell>
          <cell r="J7" t="str">
            <v>04132630247</v>
          </cell>
          <cell r="K7" t="str">
            <v>SUBM70N</v>
          </cell>
          <cell r="M7" t="str">
            <v>UFFICIO ACQUISTI</v>
          </cell>
          <cell r="O7" t="str">
            <v>392 4075768 LUIGI</v>
          </cell>
          <cell r="P7" t="str">
            <v>2gmattana@gmail.com</v>
          </cell>
          <cell r="R7" t="str">
            <v>BONIFICO BANCARIO, ALLA DATA DELLA NOSTRA CONFERMA D'ORDINE</v>
          </cell>
          <cell r="X7">
            <v>0.2</v>
          </cell>
          <cell r="Y7">
            <v>-0.04</v>
          </cell>
          <cell r="AB7">
            <v>0.2</v>
          </cell>
          <cell r="AC7">
            <v>0.2</v>
          </cell>
          <cell r="AD7">
            <v>0.2</v>
          </cell>
          <cell r="AE7">
            <v>0.2</v>
          </cell>
          <cell r="AF7">
            <v>0.2</v>
          </cell>
          <cell r="AG7">
            <v>0.2</v>
          </cell>
          <cell r="AH7">
            <v>0.2</v>
          </cell>
          <cell r="AI7">
            <v>0.2</v>
          </cell>
          <cell r="AJ7">
            <v>0.2</v>
          </cell>
          <cell r="AK7">
            <v>0.2</v>
          </cell>
          <cell r="AL7">
            <v>0.2</v>
          </cell>
          <cell r="AM7">
            <v>0.2</v>
          </cell>
          <cell r="AN7">
            <v>0.2</v>
          </cell>
          <cell r="AO7">
            <v>0.2</v>
          </cell>
          <cell r="AP7">
            <v>0.2</v>
          </cell>
          <cell r="AQ7">
            <v>0.2</v>
          </cell>
          <cell r="AR7">
            <v>0.2</v>
          </cell>
          <cell r="AS7">
            <v>0.2</v>
          </cell>
          <cell r="AT7">
            <v>-0.04</v>
          </cell>
          <cell r="AU7">
            <v>0.92</v>
          </cell>
          <cell r="AV7">
            <v>20</v>
          </cell>
          <cell r="AZ7">
            <v>0.2</v>
          </cell>
          <cell r="BA7">
            <v>0.2</v>
          </cell>
        </row>
        <row r="8">
          <cell r="A8" t="str">
            <v>2 L'EAU PROTECTION</v>
          </cell>
          <cell r="B8" t="str">
            <v>DEALER FRANCESE/BRETAGNA DI: ACQUASTOP / AQUALOCK / TEMPO-DAM / WATERGATE / floodgate / floodstop</v>
          </cell>
          <cell r="D8" t="str">
            <v>1020 KERONVEL TREGONDERN</v>
          </cell>
          <cell r="E8" t="str">
            <v>29250</v>
          </cell>
          <cell r="F8" t="str">
            <v>SAINT-POL-DE-LEON</v>
          </cell>
          <cell r="H8" t="str">
            <v>FRANCIA</v>
          </cell>
          <cell r="J8" t="str">
            <v>FR83480625938</v>
          </cell>
          <cell r="K8" t="str">
            <v>XXXXXXX</v>
          </cell>
          <cell r="L8" t="str">
            <v>1020 KERONVEL TREGONDERN - 29250 SAINT-POL-DE-LEON</v>
          </cell>
          <cell r="M8" t="str">
            <v>MR. STEPHANE QUEMENEUR</v>
          </cell>
          <cell r="N8" t="str">
            <v>+33 (0)2 98 19 43 86</v>
          </cell>
          <cell r="O8" t="str">
            <v xml:space="preserve">'+33 (0)6 82 32 34 59 </v>
          </cell>
          <cell r="P8" t="str">
            <v xml:space="preserve">stephane.quemeneur@2leau-protection.com; information@2leau-protection.com; catherine.guignard@2leau-protection.com </v>
          </cell>
          <cell r="R8" t="str">
            <v>VIREMENT BANCAIRE, À LA DATE DE NOTRE CONFIRMATION DE COMMANDE</v>
          </cell>
          <cell r="X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U8">
            <v>0.84</v>
          </cell>
          <cell r="AV8">
            <v>20</v>
          </cell>
          <cell r="AZ8">
            <v>0</v>
          </cell>
          <cell r="BA8">
            <v>0</v>
          </cell>
          <cell r="BF8" t="str">
            <v>CLICK RAPID con carpenteria30/08/2021</v>
          </cell>
        </row>
        <row r="9">
          <cell r="A9" t="str">
            <v>2 M SRL</v>
          </cell>
          <cell r="D9" t="str">
            <v>VIA TOMMASO NATALE, 147</v>
          </cell>
          <cell r="E9" t="str">
            <v>90147</v>
          </cell>
          <cell r="F9" t="str">
            <v>PALERMO</v>
          </cell>
          <cell r="G9" t="str">
            <v>PA</v>
          </cell>
          <cell r="H9" t="str">
            <v>ITALIA</v>
          </cell>
          <cell r="M9" t="str">
            <v>UFFICIO ACQUISTI</v>
          </cell>
          <cell r="N9" t="str">
            <v>091 532106 - 534971</v>
          </cell>
          <cell r="P9" t="str">
            <v>info@2msrl.com</v>
          </cell>
          <cell r="R9" t="str">
            <v>BONIFICO BANCARIO, ALLA DATA DELLA NOSTRA CONFERMA D'ORDINE</v>
          </cell>
          <cell r="X9">
            <v>0.25</v>
          </cell>
          <cell r="Y9">
            <v>-0.04</v>
          </cell>
          <cell r="AB9">
            <v>0.25</v>
          </cell>
          <cell r="AC9">
            <v>0.25</v>
          </cell>
          <cell r="AD9">
            <v>0.25</v>
          </cell>
          <cell r="AE9">
            <v>0.25</v>
          </cell>
          <cell r="AF9">
            <v>0.25</v>
          </cell>
          <cell r="AG9">
            <v>0.25</v>
          </cell>
          <cell r="AH9">
            <v>0.25</v>
          </cell>
          <cell r="AI9">
            <v>0.25</v>
          </cell>
          <cell r="AJ9">
            <v>0.25</v>
          </cell>
          <cell r="AK9">
            <v>0.25</v>
          </cell>
          <cell r="AL9">
            <v>0.25</v>
          </cell>
          <cell r="AM9">
            <v>0.25</v>
          </cell>
          <cell r="AN9">
            <v>0.25</v>
          </cell>
          <cell r="AO9">
            <v>0.25</v>
          </cell>
          <cell r="AP9">
            <v>0.25</v>
          </cell>
          <cell r="AQ9">
            <v>0.25</v>
          </cell>
          <cell r="AR9">
            <v>0.25</v>
          </cell>
          <cell r="AS9">
            <v>0.25</v>
          </cell>
          <cell r="AT9">
            <v>-0.04</v>
          </cell>
          <cell r="AU9">
            <v>0.92</v>
          </cell>
          <cell r="AV9">
            <v>20</v>
          </cell>
          <cell r="AY9" t="str">
            <v/>
          </cell>
          <cell r="AZ9">
            <v>0.25</v>
          </cell>
          <cell r="BA9">
            <v>0.25</v>
          </cell>
        </row>
        <row r="10">
          <cell r="A10" t="str">
            <v>2A INFISSI E ACCESSORI DI ASTUZZI ALEX</v>
          </cell>
          <cell r="D10" t="str">
            <v>VIA PROVINCIALE, 222</v>
          </cell>
          <cell r="E10">
            <v>40056</v>
          </cell>
          <cell r="F10" t="str">
            <v>CRESPELLANO</v>
          </cell>
          <cell r="G10" t="str">
            <v>BO</v>
          </cell>
          <cell r="H10" t="str">
            <v>ITALIA</v>
          </cell>
          <cell r="I10" t="str">
            <v>STZLXA82M21C107U</v>
          </cell>
          <cell r="J10" t="str">
            <v>03245961200</v>
          </cell>
          <cell r="M10" t="str">
            <v>UFFICIO ACQUISTI</v>
          </cell>
          <cell r="O10" t="str">
            <v>338 8111632</v>
          </cell>
          <cell r="P10" t="str">
            <v>alexastuzzi@yahoo.it</v>
          </cell>
          <cell r="R10" t="str">
            <v>BONIFICO BANCARIO, ALLA DATA DELLA NOSTRA CONFERMA D'ORDINE</v>
          </cell>
          <cell r="X10">
            <v>0.25</v>
          </cell>
          <cell r="Y10">
            <v>-0.04</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cell r="AP10">
            <v>0.25</v>
          </cell>
          <cell r="AQ10">
            <v>0.25</v>
          </cell>
          <cell r="AR10">
            <v>0.25</v>
          </cell>
          <cell r="AS10">
            <v>0.25</v>
          </cell>
          <cell r="AT10">
            <v>-0.04</v>
          </cell>
          <cell r="AU10">
            <v>0.92</v>
          </cell>
          <cell r="AV10">
            <v>20</v>
          </cell>
          <cell r="AY10" t="str">
            <v/>
          </cell>
          <cell r="AZ10">
            <v>0.25</v>
          </cell>
          <cell r="BA10">
            <v>0.25</v>
          </cell>
        </row>
        <row r="11">
          <cell r="A11" t="str">
            <v>2B DI BUGNANO BRUNO E C. SAS</v>
          </cell>
          <cell r="D11" t="str">
            <v>VIA XX SETTEMBRE, 4</v>
          </cell>
          <cell r="E11">
            <v>12073</v>
          </cell>
          <cell r="F11" t="str">
            <v>CEVA</v>
          </cell>
          <cell r="G11" t="str">
            <v>CN</v>
          </cell>
          <cell r="H11" t="str">
            <v>ITALIA</v>
          </cell>
          <cell r="J11" t="str">
            <v>02477450049</v>
          </cell>
          <cell r="M11" t="str">
            <v>UFFICIO ACQUISTI</v>
          </cell>
          <cell r="N11" t="str">
            <v>0147 704196</v>
          </cell>
          <cell r="O11" t="str">
            <v>339 1781041 sig. laura siccardi</v>
          </cell>
          <cell r="P11" t="str">
            <v>2bceva@gmail.com</v>
          </cell>
          <cell r="R11" t="str">
            <v>BONIFICO BANCARIO, ALLA DATA DELLA NOSTRA CONFERMA D'ORDINE</v>
          </cell>
          <cell r="X11">
            <v>0.25</v>
          </cell>
          <cell r="Y11">
            <v>-0.04</v>
          </cell>
          <cell r="AB11">
            <v>0.25</v>
          </cell>
          <cell r="AC11">
            <v>0.25</v>
          </cell>
          <cell r="AD11">
            <v>0.25</v>
          </cell>
          <cell r="AE11">
            <v>0.25</v>
          </cell>
          <cell r="AF11">
            <v>0.25</v>
          </cell>
          <cell r="AG11">
            <v>0.25</v>
          </cell>
          <cell r="AH11">
            <v>0.25</v>
          </cell>
          <cell r="AI11">
            <v>0.25</v>
          </cell>
          <cell r="AJ11">
            <v>0.25</v>
          </cell>
          <cell r="AK11">
            <v>0.25</v>
          </cell>
          <cell r="AL11">
            <v>0.25</v>
          </cell>
          <cell r="AM11">
            <v>0.25</v>
          </cell>
          <cell r="AN11">
            <v>0.25</v>
          </cell>
          <cell r="AO11">
            <v>0.25</v>
          </cell>
          <cell r="AP11">
            <v>0.25</v>
          </cell>
          <cell r="AQ11">
            <v>0.25</v>
          </cell>
          <cell r="AR11">
            <v>0.25</v>
          </cell>
          <cell r="AS11">
            <v>0.25</v>
          </cell>
          <cell r="AT11">
            <v>-0.04</v>
          </cell>
          <cell r="AU11">
            <v>0.92</v>
          </cell>
          <cell r="AV11">
            <v>20</v>
          </cell>
          <cell r="AZ11">
            <v>0.25</v>
          </cell>
          <cell r="BA11">
            <v>0.25</v>
          </cell>
          <cell r="BF11" t="str">
            <v>CLICK RAPID con carpenteria 18/11/2020</v>
          </cell>
        </row>
        <row r="12">
          <cell r="A12" t="str">
            <v>2B SERRAMENTI DI BORTOLETTO RENZO</v>
          </cell>
          <cell r="D12" t="str">
            <v>VIA GIACOMELLI, 20</v>
          </cell>
          <cell r="E12">
            <v>35010</v>
          </cell>
          <cell r="F12" t="str">
            <v>LIMENA</v>
          </cell>
          <cell r="G12" t="str">
            <v>PD</v>
          </cell>
          <cell r="H12" t="str">
            <v>ITALIA</v>
          </cell>
          <cell r="I12" t="str">
            <v>BRTRNZ62C14G224R</v>
          </cell>
          <cell r="J12" t="str">
            <v>01944120284</v>
          </cell>
          <cell r="M12" t="str">
            <v>UFFICIO ACQUISTI</v>
          </cell>
          <cell r="N12" t="str">
            <v>049 8840344</v>
          </cell>
          <cell r="P12" t="str">
            <v>info@2bserramenti.com</v>
          </cell>
          <cell r="R12" t="str">
            <v>BONIFICO BANCARIO, ALLA DATA DELLA NOSTRA CONFERMA D'ORDINE</v>
          </cell>
          <cell r="X12">
            <v>0.25</v>
          </cell>
          <cell r="Y12">
            <v>-0.04</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cell r="AP12">
            <v>0.25</v>
          </cell>
          <cell r="AQ12">
            <v>0.25</v>
          </cell>
          <cell r="AR12">
            <v>0.25</v>
          </cell>
          <cell r="AS12">
            <v>0.25</v>
          </cell>
          <cell r="AT12">
            <v>-0.04</v>
          </cell>
          <cell r="AU12">
            <v>0.92</v>
          </cell>
          <cell r="AV12">
            <v>20</v>
          </cell>
          <cell r="AZ12">
            <v>0.25</v>
          </cell>
          <cell r="BA12">
            <v>0.25</v>
          </cell>
        </row>
        <row r="13">
          <cell r="A13" t="str">
            <v>2B SNC DEI F.LLI BOTTURI</v>
          </cell>
          <cell r="D13" t="str">
            <v>VIA PROVINCIALE PER CASTEL GOFFREDO, 25</v>
          </cell>
          <cell r="E13" t="str">
            <v>25013</v>
          </cell>
          <cell r="F13" t="str">
            <v>CARPENEDOLO</v>
          </cell>
          <cell r="G13" t="str">
            <v>BS</v>
          </cell>
          <cell r="H13" t="str">
            <v>ITALIA</v>
          </cell>
          <cell r="J13" t="str">
            <v>01640740989</v>
          </cell>
          <cell r="M13" t="str">
            <v>UFFICIO ACQUISTI</v>
          </cell>
          <cell r="N13" t="str">
            <v>030 9966338</v>
          </cell>
          <cell r="P13" t="str">
            <v>botturiserramenti@yahoo.it</v>
          </cell>
          <cell r="R13" t="str">
            <v>BONIFICO BANCARIO, ALLA DATA DELLA NOSTRA CONFERMA D'ORDINE</v>
          </cell>
          <cell r="Y13">
            <v>-0.04</v>
          </cell>
          <cell r="AT13">
            <v>-0.04</v>
          </cell>
          <cell r="AV13">
            <v>20</v>
          </cell>
          <cell r="AZ13">
            <v>0</v>
          </cell>
          <cell r="BA13">
            <v>0</v>
          </cell>
        </row>
        <row r="14">
          <cell r="A14" t="str">
            <v>2G INFISSI</v>
          </cell>
          <cell r="D14" t="str">
            <v>VIA RISORGIMENTO, 40/A</v>
          </cell>
          <cell r="E14" t="str">
            <v>44042</v>
          </cell>
          <cell r="F14" t="str">
            <v>CENTO</v>
          </cell>
          <cell r="G14" t="str">
            <v>FE</v>
          </cell>
          <cell r="H14" t="str">
            <v>ITALIA</v>
          </cell>
          <cell r="J14" t="str">
            <v>03085131203</v>
          </cell>
          <cell r="M14" t="str">
            <v>UFFICIO ACQUISTI</v>
          </cell>
          <cell r="N14" t="str">
            <v>345 8724535</v>
          </cell>
          <cell r="P14" t="str">
            <v>gorettigabriele@gmail.com</v>
          </cell>
          <cell r="R14" t="str">
            <v>BONIFICO BANCARIO, ALLA DATA DELLA NOSTRA CONFERMA D'ORDINE</v>
          </cell>
          <cell r="X14">
            <v>0.25</v>
          </cell>
          <cell r="Y14">
            <v>-0.04</v>
          </cell>
          <cell r="AB14">
            <v>0.25</v>
          </cell>
          <cell r="AC14">
            <v>0.25</v>
          </cell>
          <cell r="AD14">
            <v>0.25</v>
          </cell>
          <cell r="AE14">
            <v>0.25</v>
          </cell>
          <cell r="AF14">
            <v>0.25</v>
          </cell>
          <cell r="AG14">
            <v>0.25</v>
          </cell>
          <cell r="AH14">
            <v>0.25</v>
          </cell>
          <cell r="AI14">
            <v>0.25</v>
          </cell>
          <cell r="AJ14">
            <v>0.25</v>
          </cell>
          <cell r="AK14">
            <v>0.25</v>
          </cell>
          <cell r="AL14">
            <v>0.25</v>
          </cell>
          <cell r="AM14">
            <v>0.25</v>
          </cell>
          <cell r="AN14">
            <v>0.25</v>
          </cell>
          <cell r="AO14">
            <v>0.25</v>
          </cell>
          <cell r="AP14">
            <v>0.25</v>
          </cell>
          <cell r="AQ14">
            <v>0.25</v>
          </cell>
          <cell r="AR14">
            <v>0.25</v>
          </cell>
          <cell r="AS14">
            <v>0.25</v>
          </cell>
          <cell r="AT14">
            <v>-0.04</v>
          </cell>
          <cell r="AU14">
            <v>0.92</v>
          </cell>
          <cell r="AV14">
            <v>20</v>
          </cell>
          <cell r="AZ14">
            <v>0.25</v>
          </cell>
          <cell r="BA14">
            <v>0.25</v>
          </cell>
        </row>
        <row r="15">
          <cell r="A15" t="str">
            <v>2L LOMBARDO</v>
          </cell>
          <cell r="D15" t="str">
            <v>VIA LUIGI STURZO</v>
          </cell>
          <cell r="E15">
            <v>89048</v>
          </cell>
          <cell r="F15" t="str">
            <v>SIDERNO</v>
          </cell>
          <cell r="G15" t="str">
            <v>RC</v>
          </cell>
          <cell r="H15" t="str">
            <v>ITALIA</v>
          </cell>
          <cell r="J15" t="str">
            <v>02560300804</v>
          </cell>
          <cell r="M15" t="str">
            <v>UFFICIO ACQUISTI</v>
          </cell>
          <cell r="N15" t="str">
            <v>0964 383218</v>
          </cell>
          <cell r="O15" t="str">
            <v>347 1825650</v>
          </cell>
          <cell r="P15" t="str">
            <v>duellelombardo@alice.it</v>
          </cell>
          <cell r="R15" t="str">
            <v>BONIFICO BANCARIO, ALLA DATA DELLA NOSTRA CONFERMA D'ORDINE</v>
          </cell>
          <cell r="X15">
            <v>0.25</v>
          </cell>
          <cell r="Y15">
            <v>-0.04</v>
          </cell>
          <cell r="AB15">
            <v>0.25</v>
          </cell>
          <cell r="AC15">
            <v>0.25</v>
          </cell>
          <cell r="AD15">
            <v>0.25</v>
          </cell>
          <cell r="AE15">
            <v>0.25</v>
          </cell>
          <cell r="AF15">
            <v>0.25</v>
          </cell>
          <cell r="AG15">
            <v>0.25</v>
          </cell>
          <cell r="AH15">
            <v>0.25</v>
          </cell>
          <cell r="AI15">
            <v>0.25</v>
          </cell>
          <cell r="AJ15">
            <v>0.25</v>
          </cell>
          <cell r="AK15">
            <v>0.25</v>
          </cell>
          <cell r="AL15">
            <v>0.25</v>
          </cell>
          <cell r="AM15">
            <v>0.25</v>
          </cell>
          <cell r="AN15">
            <v>0.25</v>
          </cell>
          <cell r="AO15">
            <v>0.25</v>
          </cell>
          <cell r="AP15">
            <v>0.25</v>
          </cell>
          <cell r="AQ15">
            <v>0.25</v>
          </cell>
          <cell r="AR15">
            <v>0.25</v>
          </cell>
          <cell r="AS15">
            <v>0.25</v>
          </cell>
          <cell r="AT15">
            <v>-0.04</v>
          </cell>
          <cell r="AU15">
            <v>0.92</v>
          </cell>
          <cell r="AV15">
            <v>20</v>
          </cell>
          <cell r="AW15" t="str">
            <v>PIETRO OLIVADOTI</v>
          </cell>
          <cell r="AX15">
            <v>0.95</v>
          </cell>
          <cell r="AY15" t="str">
            <v/>
          </cell>
          <cell r="AZ15">
            <v>0.25</v>
          </cell>
          <cell r="BA15">
            <v>0.25</v>
          </cell>
        </row>
        <row r="16">
          <cell r="A16" t="str">
            <v>2M PORTE DI PELARATTI</v>
          </cell>
          <cell r="D16" t="str">
            <v>VIA PASUBIO, 3</v>
          </cell>
          <cell r="E16" t="str">
            <v>23900</v>
          </cell>
          <cell r="F16" t="str">
            <v>LECCO</v>
          </cell>
          <cell r="G16" t="str">
            <v>LC</v>
          </cell>
          <cell r="H16" t="str">
            <v>ITALIA</v>
          </cell>
          <cell r="M16" t="str">
            <v>UFFICIO ACQUISTI</v>
          </cell>
          <cell r="N16" t="str">
            <v>0341 353469</v>
          </cell>
          <cell r="O16" t="str">
            <v>335 7604695</v>
          </cell>
          <cell r="R16" t="str">
            <v>BONIFICO BANCARIO, ALLA DATA DELLA NOSTRA CONFERMA D'ORDINE</v>
          </cell>
          <cell r="X16">
            <v>0.25</v>
          </cell>
          <cell r="Y16">
            <v>-0.04</v>
          </cell>
          <cell r="AB16">
            <v>0.25</v>
          </cell>
          <cell r="AC16">
            <v>0.25</v>
          </cell>
          <cell r="AD16">
            <v>0.25</v>
          </cell>
          <cell r="AE16">
            <v>0.25</v>
          </cell>
          <cell r="AF16">
            <v>0.25</v>
          </cell>
          <cell r="AG16">
            <v>0.25</v>
          </cell>
          <cell r="AH16">
            <v>0.25</v>
          </cell>
          <cell r="AI16">
            <v>0.25</v>
          </cell>
          <cell r="AJ16">
            <v>0.25</v>
          </cell>
          <cell r="AK16">
            <v>0.25</v>
          </cell>
          <cell r="AL16">
            <v>0.25</v>
          </cell>
          <cell r="AM16">
            <v>0.25</v>
          </cell>
          <cell r="AN16">
            <v>0.25</v>
          </cell>
          <cell r="AO16">
            <v>0.25</v>
          </cell>
          <cell r="AP16">
            <v>0.25</v>
          </cell>
          <cell r="AQ16">
            <v>0.25</v>
          </cell>
          <cell r="AR16">
            <v>0.25</v>
          </cell>
          <cell r="AS16">
            <v>0.25</v>
          </cell>
          <cell r="AT16">
            <v>-0.04</v>
          </cell>
          <cell r="AU16">
            <v>0.92</v>
          </cell>
          <cell r="AV16">
            <v>20</v>
          </cell>
          <cell r="AY16" t="str">
            <v/>
          </cell>
          <cell r="AZ16">
            <v>0.25</v>
          </cell>
          <cell r="BA16">
            <v>0.25</v>
          </cell>
        </row>
        <row r="17">
          <cell r="A17" t="str">
            <v>2P SERRAMENTI DI PIERO PALUMBO</v>
          </cell>
          <cell r="D17" t="str">
            <v>VIA TRENTO, 91</v>
          </cell>
          <cell r="E17" t="str">
            <v>81034</v>
          </cell>
          <cell r="F17" t="str">
            <v>MONDRAGONE</v>
          </cell>
          <cell r="G17" t="str">
            <v>CE</v>
          </cell>
          <cell r="H17" t="str">
            <v>ITALIA</v>
          </cell>
          <cell r="J17" t="str">
            <v>03474120619</v>
          </cell>
          <cell r="M17" t="str">
            <v>UFFICIO ACQUISTI</v>
          </cell>
          <cell r="N17" t="str">
            <v>0823 1542892</v>
          </cell>
          <cell r="P17" t="str">
            <v>duepiserramenti@hotmail.com</v>
          </cell>
          <cell r="R17" t="str">
            <v>BONIFICO BANCARIO, ALLA DATA DELLA NOSTRA CONFERMA D'ORDINE</v>
          </cell>
          <cell r="X17">
            <v>0.25</v>
          </cell>
          <cell r="Y17">
            <v>-0.04</v>
          </cell>
          <cell r="AB17">
            <v>0.25</v>
          </cell>
          <cell r="AC17">
            <v>0.25</v>
          </cell>
          <cell r="AD17">
            <v>0.25</v>
          </cell>
          <cell r="AE17">
            <v>0.25</v>
          </cell>
          <cell r="AF17">
            <v>0.25</v>
          </cell>
          <cell r="AG17">
            <v>0.25</v>
          </cell>
          <cell r="AH17">
            <v>0.25</v>
          </cell>
          <cell r="AI17">
            <v>0.25</v>
          </cell>
          <cell r="AJ17">
            <v>0.25</v>
          </cell>
          <cell r="AK17">
            <v>0.25</v>
          </cell>
          <cell r="AL17">
            <v>0.25</v>
          </cell>
          <cell r="AM17">
            <v>0.25</v>
          </cell>
          <cell r="AN17">
            <v>0.25</v>
          </cell>
          <cell r="AO17">
            <v>0.25</v>
          </cell>
          <cell r="AP17">
            <v>0.25</v>
          </cell>
          <cell r="AQ17">
            <v>0.25</v>
          </cell>
          <cell r="AR17">
            <v>0.25</v>
          </cell>
          <cell r="AS17">
            <v>0.25</v>
          </cell>
          <cell r="AT17">
            <v>-0.04</v>
          </cell>
          <cell r="AU17">
            <v>0.92</v>
          </cell>
          <cell r="AV17">
            <v>20</v>
          </cell>
          <cell r="AZ17">
            <v>0.25</v>
          </cell>
          <cell r="BA17">
            <v>0.25</v>
          </cell>
        </row>
        <row r="18">
          <cell r="A18" t="str">
            <v>3 EMME  SERRAMENTI SNC DI PIETRO PAOLO SOLLAI</v>
          </cell>
          <cell r="B18" t="str">
            <v>PAOLO    PER ESPOSITORE E 1000 VOLANTINI</v>
          </cell>
          <cell r="D18" t="str">
            <v>VIA DEGLI ASFODELI, S.N.</v>
          </cell>
          <cell r="E18" t="str">
            <v>09026</v>
          </cell>
          <cell r="F18" t="str">
            <v>SAN SPERATE</v>
          </cell>
          <cell r="G18" t="str">
            <v>CA</v>
          </cell>
          <cell r="H18" t="str">
            <v>ITALIA</v>
          </cell>
          <cell r="J18" t="str">
            <v>032003690924</v>
          </cell>
          <cell r="K18" t="str">
            <v>N92GLON</v>
          </cell>
          <cell r="M18" t="str">
            <v>UFFICIO ACQUISTI</v>
          </cell>
          <cell r="N18" t="str">
            <v>070 9601598</v>
          </cell>
          <cell r="O18" t="str">
            <v>338 8163911</v>
          </cell>
          <cell r="P18" t="str">
            <v>info@3emmeserramenti.it</v>
          </cell>
          <cell r="R18" t="str">
            <v>BONIFICO BANCARIO, ALLA DATA DELLA NOSTRA CONFERMA D'ORDINE</v>
          </cell>
          <cell r="X18">
            <v>0.25</v>
          </cell>
          <cell r="Y18">
            <v>-0.04</v>
          </cell>
          <cell r="AB18">
            <v>0.25</v>
          </cell>
          <cell r="AC18">
            <v>0.25</v>
          </cell>
          <cell r="AD18">
            <v>0.25</v>
          </cell>
          <cell r="AE18">
            <v>0.25</v>
          </cell>
          <cell r="AF18">
            <v>0.25</v>
          </cell>
          <cell r="AG18">
            <v>0.25</v>
          </cell>
          <cell r="AH18">
            <v>0.25</v>
          </cell>
          <cell r="AI18">
            <v>0.25</v>
          </cell>
          <cell r="AJ18">
            <v>0.25</v>
          </cell>
          <cell r="AK18">
            <v>0.25</v>
          </cell>
          <cell r="AL18">
            <v>0.25</v>
          </cell>
          <cell r="AM18">
            <v>0.25</v>
          </cell>
          <cell r="AN18">
            <v>0.25</v>
          </cell>
          <cell r="AO18">
            <v>0.25</v>
          </cell>
          <cell r="AP18">
            <v>0.25</v>
          </cell>
          <cell r="AQ18">
            <v>0.25</v>
          </cell>
          <cell r="AR18">
            <v>0.25</v>
          </cell>
          <cell r="AS18">
            <v>0.25</v>
          </cell>
          <cell r="AT18">
            <v>-0.04</v>
          </cell>
          <cell r="AU18">
            <v>0.92</v>
          </cell>
          <cell r="AV18">
            <v>20</v>
          </cell>
          <cell r="AZ18">
            <v>0.25</v>
          </cell>
          <cell r="BA18">
            <v>0.25</v>
          </cell>
        </row>
        <row r="19">
          <cell r="A19" t="str">
            <v>3 EMME INFISSI SNC DI MINOZZI MARCO &amp; C.</v>
          </cell>
          <cell r="B19" t="str">
            <v>23/03/2023 INTERESSATO MA DICE DI ESSERE VECCHIO. HA CONOSCIUTO IL PRODOTTO IN FIERA. MANDATA MAIL. VEDIAMO</v>
          </cell>
          <cell r="D19" t="str">
            <v>VIA COL DEI PIOPPI, 14</v>
          </cell>
          <cell r="E19" t="str">
            <v>63074</v>
          </cell>
          <cell r="F19" t="str">
            <v>SAN BENEDETTO DEL TRONTO</v>
          </cell>
          <cell r="G19" t="str">
            <v>AP</v>
          </cell>
          <cell r="H19" t="str">
            <v>ITALIA</v>
          </cell>
          <cell r="J19" t="str">
            <v>02142890447</v>
          </cell>
          <cell r="M19" t="str">
            <v>SIG. MINOZZI</v>
          </cell>
          <cell r="N19" t="str">
            <v>0735 593308</v>
          </cell>
          <cell r="O19" t="str">
            <v xml:space="preserve">3356814806 MINOZZI DINO 392 2660702 MINOZZI MARCO </v>
          </cell>
          <cell r="P19" t="str">
            <v>info@3emmeinfissi.it</v>
          </cell>
          <cell r="R19" t="str">
            <v>BONIFICO BANCARIO, ALLA DATA DELLA NOSTRA CONFERMA D'ORDINE</v>
          </cell>
          <cell r="X19">
            <v>0.2</v>
          </cell>
          <cell r="Y19">
            <v>-0.04</v>
          </cell>
          <cell r="AB19">
            <v>0.2</v>
          </cell>
          <cell r="AC19">
            <v>0.2</v>
          </cell>
          <cell r="AD19">
            <v>0.2</v>
          </cell>
          <cell r="AE19">
            <v>0.2</v>
          </cell>
          <cell r="AF19">
            <v>0.2</v>
          </cell>
          <cell r="AG19">
            <v>0.2</v>
          </cell>
          <cell r="AH19">
            <v>0.2</v>
          </cell>
          <cell r="AI19">
            <v>0.2</v>
          </cell>
          <cell r="AJ19">
            <v>0.2</v>
          </cell>
          <cell r="AK19">
            <v>0.2</v>
          </cell>
          <cell r="AL19">
            <v>0.2</v>
          </cell>
          <cell r="AM19">
            <v>0.2</v>
          </cell>
          <cell r="AN19">
            <v>0.2</v>
          </cell>
          <cell r="AO19">
            <v>0.2</v>
          </cell>
          <cell r="AP19">
            <v>0.2</v>
          </cell>
          <cell r="AQ19">
            <v>0.2</v>
          </cell>
          <cell r="AR19">
            <v>0.2</v>
          </cell>
          <cell r="AS19">
            <v>0.2</v>
          </cell>
          <cell r="AT19">
            <v>-0.04</v>
          </cell>
          <cell r="AU19">
            <v>0.92</v>
          </cell>
          <cell r="AV19">
            <v>20</v>
          </cell>
          <cell r="AZ19">
            <v>0.2</v>
          </cell>
          <cell r="BA19">
            <v>0.2</v>
          </cell>
        </row>
        <row r="20">
          <cell r="A20" t="str">
            <v>3 EMME SERRAMENTI SNC</v>
          </cell>
          <cell r="D20" t="str">
            <v>VIA DEGLI ASDADELI, SN</v>
          </cell>
          <cell r="E20" t="str">
            <v>09026</v>
          </cell>
          <cell r="F20" t="str">
            <v>SAN SPERALE</v>
          </cell>
          <cell r="G20" t="str">
            <v>CA</v>
          </cell>
          <cell r="H20" t="str">
            <v>ITALIA</v>
          </cell>
          <cell r="J20" t="str">
            <v>03203690924</v>
          </cell>
          <cell r="K20" t="str">
            <v>N92GLON</v>
          </cell>
          <cell r="M20" t="str">
            <v>UFFICIO ACQUISTI</v>
          </cell>
          <cell r="N20" t="str">
            <v>070 9601598</v>
          </cell>
          <cell r="P20" t="str">
            <v>info@3emmeserramenti.it</v>
          </cell>
          <cell r="R20" t="str">
            <v>BONIFICO BANCARIO, ALLA DATA DELLA NOSTRA CONFERMA D'ORDINE</v>
          </cell>
          <cell r="X20">
            <v>0.25</v>
          </cell>
          <cell r="Y20">
            <v>-0.04</v>
          </cell>
          <cell r="AB20">
            <v>0.25</v>
          </cell>
          <cell r="AC20">
            <v>0.25</v>
          </cell>
          <cell r="AD20">
            <v>0.25</v>
          </cell>
          <cell r="AE20">
            <v>0.25</v>
          </cell>
          <cell r="AF20">
            <v>0.25</v>
          </cell>
          <cell r="AG20">
            <v>0.25</v>
          </cell>
          <cell r="AH20">
            <v>0.25</v>
          </cell>
          <cell r="AI20">
            <v>0.25</v>
          </cell>
          <cell r="AJ20">
            <v>0.25</v>
          </cell>
          <cell r="AK20">
            <v>0.25</v>
          </cell>
          <cell r="AL20">
            <v>0.25</v>
          </cell>
          <cell r="AM20">
            <v>0.25</v>
          </cell>
          <cell r="AN20">
            <v>0.25</v>
          </cell>
          <cell r="AO20">
            <v>0.25</v>
          </cell>
          <cell r="AP20">
            <v>0.25</v>
          </cell>
          <cell r="AQ20">
            <v>0.25</v>
          </cell>
          <cell r="AR20">
            <v>0.25</v>
          </cell>
          <cell r="AS20">
            <v>0.25</v>
          </cell>
          <cell r="AT20">
            <v>-0.04</v>
          </cell>
          <cell r="AU20">
            <v>0.92</v>
          </cell>
          <cell r="AV20">
            <v>20</v>
          </cell>
          <cell r="AZ20">
            <v>0.25</v>
          </cell>
          <cell r="BA20">
            <v>0.25</v>
          </cell>
        </row>
        <row r="21">
          <cell r="A21" t="str">
            <v>3 EMME SRL</v>
          </cell>
          <cell r="B21" t="str">
            <v>05/12 SE LE FA DA SOLO</v>
          </cell>
          <cell r="D21" t="str">
            <v>VIA CANALETTO, 56</v>
          </cell>
          <cell r="E21" t="str">
            <v>60019</v>
          </cell>
          <cell r="F21" t="str">
            <v>SENIGALLIA</v>
          </cell>
          <cell r="G21" t="str">
            <v>AN</v>
          </cell>
          <cell r="H21" t="str">
            <v>ITALIA</v>
          </cell>
          <cell r="J21" t="str">
            <v>02568260422</v>
          </cell>
          <cell r="M21" t="str">
            <v>UFFICIO ACQUISTI</v>
          </cell>
          <cell r="N21" t="str">
            <v>071 6608042</v>
          </cell>
          <cell r="R21" t="str">
            <v>BONIFICO BANCARIO, ALLA DATA DELLA NOSTRA CONFERMA D'ORDINE</v>
          </cell>
          <cell r="X21">
            <v>0.25</v>
          </cell>
          <cell r="Y21">
            <v>-0.04</v>
          </cell>
          <cell r="AB21">
            <v>0.25</v>
          </cell>
          <cell r="AC21">
            <v>0.25</v>
          </cell>
          <cell r="AD21">
            <v>0.25</v>
          </cell>
          <cell r="AE21">
            <v>0.25</v>
          </cell>
          <cell r="AF21">
            <v>0.25</v>
          </cell>
          <cell r="AG21">
            <v>0.25</v>
          </cell>
          <cell r="AH21">
            <v>0.25</v>
          </cell>
          <cell r="AI21">
            <v>0.25</v>
          </cell>
          <cell r="AJ21">
            <v>0.25</v>
          </cell>
          <cell r="AK21">
            <v>0.25</v>
          </cell>
          <cell r="AL21">
            <v>0.25</v>
          </cell>
          <cell r="AM21">
            <v>0.25</v>
          </cell>
          <cell r="AN21">
            <v>0.25</v>
          </cell>
          <cell r="AO21">
            <v>0.25</v>
          </cell>
          <cell r="AP21">
            <v>0.25</v>
          </cell>
          <cell r="AQ21">
            <v>0.25</v>
          </cell>
          <cell r="AR21">
            <v>0.25</v>
          </cell>
          <cell r="AS21">
            <v>0.25</v>
          </cell>
          <cell r="AT21">
            <v>-0.04</v>
          </cell>
          <cell r="AU21">
            <v>0.92</v>
          </cell>
          <cell r="AV21">
            <v>20</v>
          </cell>
          <cell r="AY21" t="str">
            <v/>
          </cell>
          <cell r="AZ21">
            <v>0.25</v>
          </cell>
          <cell r="BA21">
            <v>0.25</v>
          </cell>
        </row>
        <row r="22">
          <cell r="A22" t="str">
            <v>3 ESSE DI ZANASI ENRICO</v>
          </cell>
          <cell r="D22" t="str">
            <v>VIA PER SPILAMBERTO, 608</v>
          </cell>
          <cell r="E22">
            <v>41058</v>
          </cell>
          <cell r="F22" t="str">
            <v>VIGNOLA</v>
          </cell>
          <cell r="G22" t="str">
            <v>MO</v>
          </cell>
          <cell r="H22" t="str">
            <v>ITALIA</v>
          </cell>
          <cell r="M22" t="str">
            <v>UFFICIO ACQUISTI</v>
          </cell>
          <cell r="N22" t="str">
            <v>059 760307</v>
          </cell>
          <cell r="O22" t="str">
            <v xml:space="preserve">339 4987792 </v>
          </cell>
          <cell r="P22" t="str">
            <v>treesseinfissi@gmail.com</v>
          </cell>
          <cell r="R22" t="str">
            <v>BONIFICO BANCARIO, ALLA DATA DELLA NOSTRA CONFERMA D'ORDINE</v>
          </cell>
          <cell r="X22">
            <v>0.25</v>
          </cell>
          <cell r="Y22">
            <v>-0.04</v>
          </cell>
          <cell r="AB22">
            <v>0.25</v>
          </cell>
          <cell r="AC22">
            <v>0.25</v>
          </cell>
          <cell r="AD22">
            <v>0.25</v>
          </cell>
          <cell r="AE22">
            <v>0.25</v>
          </cell>
          <cell r="AF22">
            <v>0.25</v>
          </cell>
          <cell r="AG22">
            <v>0.25</v>
          </cell>
          <cell r="AH22">
            <v>0.25</v>
          </cell>
          <cell r="AI22">
            <v>0.25</v>
          </cell>
          <cell r="AJ22">
            <v>0.25</v>
          </cell>
          <cell r="AK22">
            <v>0.25</v>
          </cell>
          <cell r="AL22">
            <v>0.25</v>
          </cell>
          <cell r="AM22">
            <v>0.25</v>
          </cell>
          <cell r="AN22">
            <v>0.25</v>
          </cell>
          <cell r="AO22">
            <v>0.25</v>
          </cell>
          <cell r="AP22">
            <v>0.25</v>
          </cell>
          <cell r="AQ22">
            <v>0.25</v>
          </cell>
          <cell r="AR22">
            <v>0.25</v>
          </cell>
          <cell r="AS22">
            <v>0.25</v>
          </cell>
          <cell r="AT22">
            <v>-0.04</v>
          </cell>
          <cell r="AU22">
            <v>0.92</v>
          </cell>
          <cell r="AV22">
            <v>20</v>
          </cell>
          <cell r="AZ22">
            <v>0.25</v>
          </cell>
          <cell r="BA22">
            <v>0.25</v>
          </cell>
        </row>
        <row r="23">
          <cell r="A23" t="str">
            <v>3 ESSE SERRAMENTI SRL</v>
          </cell>
          <cell r="D23" t="str">
            <v>VIA TREVISO, 5</v>
          </cell>
          <cell r="E23" t="str">
            <v>31040</v>
          </cell>
          <cell r="F23" t="str">
            <v>SIGNORESSA DI TREVIGNANO</v>
          </cell>
          <cell r="G23" t="str">
            <v>TV</v>
          </cell>
          <cell r="H23" t="str">
            <v>ITALIA</v>
          </cell>
          <cell r="M23" t="str">
            <v>UFFICIO ACQUISTI</v>
          </cell>
          <cell r="N23" t="str">
            <v>346 6095463</v>
          </cell>
          <cell r="O23" t="str">
            <v>392 4803019</v>
          </cell>
          <cell r="P23" t="str">
            <v>info@3esseserramenti.com</v>
          </cell>
          <cell r="R23" t="str">
            <v>BONIFICO BANCARIO, ALLA DATA DELLA NOSTRA CONFERMA D'ORDINE</v>
          </cell>
          <cell r="X23">
            <v>0.25</v>
          </cell>
          <cell r="Y23">
            <v>-0.04</v>
          </cell>
          <cell r="AB23">
            <v>0.25</v>
          </cell>
          <cell r="AC23">
            <v>0.25</v>
          </cell>
          <cell r="AD23">
            <v>0.25</v>
          </cell>
          <cell r="AE23">
            <v>0.25</v>
          </cell>
          <cell r="AF23">
            <v>0.25</v>
          </cell>
          <cell r="AG23">
            <v>0.25</v>
          </cell>
          <cell r="AH23">
            <v>0.25</v>
          </cell>
          <cell r="AI23">
            <v>0.25</v>
          </cell>
          <cell r="AJ23">
            <v>0.25</v>
          </cell>
          <cell r="AK23">
            <v>0.25</v>
          </cell>
          <cell r="AL23">
            <v>0.25</v>
          </cell>
          <cell r="AM23">
            <v>0.25</v>
          </cell>
          <cell r="AN23">
            <v>0.25</v>
          </cell>
          <cell r="AO23">
            <v>0.25</v>
          </cell>
          <cell r="AP23">
            <v>0.25</v>
          </cell>
          <cell r="AQ23">
            <v>0.25</v>
          </cell>
          <cell r="AR23">
            <v>0.25</v>
          </cell>
          <cell r="AS23">
            <v>0.25</v>
          </cell>
          <cell r="AT23">
            <v>-0.04</v>
          </cell>
          <cell r="AU23">
            <v>0.92</v>
          </cell>
          <cell r="AV23">
            <v>20</v>
          </cell>
          <cell r="AY23" t="str">
            <v/>
          </cell>
          <cell r="AZ23">
            <v>0.25</v>
          </cell>
          <cell r="BA23">
            <v>0.25</v>
          </cell>
        </row>
        <row r="24">
          <cell r="A24" t="str">
            <v>3 M INFISSI SRL</v>
          </cell>
          <cell r="B24" t="str">
            <v>SOLO BIGLIETTO DA VISITA</v>
          </cell>
          <cell r="D24" t="str">
            <v>VIA NAZIONALE, ZONA P.I.P.</v>
          </cell>
          <cell r="E24" t="str">
            <v>09013</v>
          </cell>
          <cell r="F24" t="str">
            <v>CARBONIA</v>
          </cell>
          <cell r="G24" t="str">
            <v>SU</v>
          </cell>
          <cell r="H24" t="str">
            <v>ITALIA</v>
          </cell>
          <cell r="J24" t="str">
            <v>02060980923</v>
          </cell>
          <cell r="M24" t="str">
            <v>UFFICIO ACQUISTI</v>
          </cell>
          <cell r="N24" t="str">
            <v>0781 671572</v>
          </cell>
          <cell r="O24" t="str">
            <v>351 5044304</v>
          </cell>
          <cell r="P24" t="str">
            <v>3minfissi@gmail.com</v>
          </cell>
          <cell r="R24" t="str">
            <v>BONIFICO BANCARIO, ALLA DATA DELLA NOSTRA CONFERMA D'ORDINE</v>
          </cell>
          <cell r="X24">
            <v>0.25</v>
          </cell>
          <cell r="Y24">
            <v>-0.04</v>
          </cell>
          <cell r="AB24">
            <v>0.25</v>
          </cell>
          <cell r="AC24">
            <v>0.25</v>
          </cell>
          <cell r="AD24">
            <v>0.25</v>
          </cell>
          <cell r="AE24">
            <v>0.25</v>
          </cell>
          <cell r="AF24">
            <v>0.25</v>
          </cell>
          <cell r="AG24">
            <v>0.25</v>
          </cell>
          <cell r="AH24">
            <v>0.25</v>
          </cell>
          <cell r="AI24">
            <v>0.25</v>
          </cell>
          <cell r="AJ24">
            <v>0.25</v>
          </cell>
          <cell r="AK24">
            <v>0.25</v>
          </cell>
          <cell r="AL24">
            <v>0.25</v>
          </cell>
          <cell r="AM24">
            <v>0.25</v>
          </cell>
          <cell r="AN24">
            <v>0.25</v>
          </cell>
          <cell r="AO24">
            <v>0.25</v>
          </cell>
          <cell r="AP24">
            <v>0.25</v>
          </cell>
          <cell r="AQ24">
            <v>0.25</v>
          </cell>
          <cell r="AR24">
            <v>0.25</v>
          </cell>
          <cell r="AS24">
            <v>0.25</v>
          </cell>
          <cell r="AT24">
            <v>-0.04</v>
          </cell>
          <cell r="AU24">
            <v>0.92</v>
          </cell>
          <cell r="AV24">
            <v>20</v>
          </cell>
          <cell r="AZ24">
            <v>0.25</v>
          </cell>
          <cell r="BA24">
            <v>0.25</v>
          </cell>
        </row>
        <row r="25">
          <cell r="A25" t="str">
            <v>3 S INFISSI SRLS</v>
          </cell>
          <cell r="B25" t="str">
            <v/>
          </cell>
          <cell r="C25" t="str">
            <v/>
          </cell>
          <cell r="D25" t="str">
            <v/>
          </cell>
          <cell r="E25" t="str">
            <v/>
          </cell>
          <cell r="F25" t="str">
            <v/>
          </cell>
          <cell r="G25" t="str">
            <v/>
          </cell>
          <cell r="H25" t="str">
            <v/>
          </cell>
          <cell r="J25" t="str">
            <v>02534910415</v>
          </cell>
          <cell r="M25" t="str">
            <v>UFFICIO ACQUISTI</v>
          </cell>
          <cell r="N25" t="str">
            <v>0721 828209</v>
          </cell>
          <cell r="O25" t="str">
            <v>Davide 349 1537468  Roberto  338 4612551</v>
          </cell>
          <cell r="P25" t="str">
            <v>3sinfissi@libero.it</v>
          </cell>
          <cell r="R25" t="str">
            <v>BONIFICO BANCARIO, ALLA DATA DELLA NOSTRA CONFERMA D'ORDINE</v>
          </cell>
          <cell r="X25">
            <v>0.25</v>
          </cell>
          <cell r="Y25">
            <v>-0.04</v>
          </cell>
          <cell r="AB25">
            <v>0.25</v>
          </cell>
          <cell r="AC25">
            <v>0.25</v>
          </cell>
          <cell r="AD25">
            <v>0.25</v>
          </cell>
          <cell r="AE25">
            <v>0.25</v>
          </cell>
          <cell r="AF25">
            <v>0.25</v>
          </cell>
          <cell r="AG25">
            <v>0.25</v>
          </cell>
          <cell r="AH25">
            <v>0.25</v>
          </cell>
          <cell r="AI25">
            <v>0.25</v>
          </cell>
          <cell r="AJ25">
            <v>0.25</v>
          </cell>
          <cell r="AK25">
            <v>0.25</v>
          </cell>
          <cell r="AL25">
            <v>0.25</v>
          </cell>
          <cell r="AM25">
            <v>0.25</v>
          </cell>
          <cell r="AN25">
            <v>0.25</v>
          </cell>
          <cell r="AO25">
            <v>0.25</v>
          </cell>
          <cell r="AP25">
            <v>0.25</v>
          </cell>
          <cell r="AQ25">
            <v>0.25</v>
          </cell>
          <cell r="AR25">
            <v>0.25</v>
          </cell>
          <cell r="AS25">
            <v>0.25</v>
          </cell>
          <cell r="AT25">
            <v>-0.04</v>
          </cell>
          <cell r="AU25">
            <v>0.92</v>
          </cell>
          <cell r="AV25">
            <v>20</v>
          </cell>
          <cell r="AZ25">
            <v>0.25</v>
          </cell>
          <cell r="BA25">
            <v>0.25</v>
          </cell>
        </row>
        <row r="26">
          <cell r="A26" t="str">
            <v>3 UG SERRAMENTI</v>
          </cell>
          <cell r="D26" t="str">
            <v>VIA I° MAGGIO, 83 B</v>
          </cell>
          <cell r="E26" t="str">
            <v>34074</v>
          </cell>
          <cell r="F26" t="str">
            <v>MONFALCONE</v>
          </cell>
          <cell r="G26" t="str">
            <v>GO</v>
          </cell>
          <cell r="H26" t="str">
            <v>ITALIA</v>
          </cell>
          <cell r="I26" t="str">
            <v>01171970310</v>
          </cell>
          <cell r="J26" t="str">
            <v>01171970310</v>
          </cell>
          <cell r="M26" t="str">
            <v>UFFICIO ACQUISTI</v>
          </cell>
          <cell r="N26" t="str">
            <v>048 1284168</v>
          </cell>
          <cell r="O26" t="str">
            <v>Marco Pick 347 1951091</v>
          </cell>
          <cell r="P26" t="str">
            <v>3ugsnc@gmail.com</v>
          </cell>
          <cell r="R26" t="str">
            <v>BONIFICO BANCARIO, ALLA DATA DELLA NOSTRA CONFERMA D'ORDINE</v>
          </cell>
          <cell r="X26">
            <v>0</v>
          </cell>
          <cell r="Y26">
            <v>-0.04</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-0.04</v>
          </cell>
          <cell r="AU26">
            <v>0.92</v>
          </cell>
          <cell r="AV26">
            <v>20</v>
          </cell>
          <cell r="AZ26">
            <v>0</v>
          </cell>
          <cell r="BA26">
            <v>0</v>
          </cell>
        </row>
        <row r="27">
          <cell r="A27" t="str">
            <v xml:space="preserve">3B DI BARCAROLO G.&amp; C. SNC  </v>
          </cell>
          <cell r="D27" t="str">
            <v>VIA MONTELLO, 14</v>
          </cell>
          <cell r="E27">
            <v>36034</v>
          </cell>
          <cell r="F27" t="str">
            <v>MALO</v>
          </cell>
          <cell r="G27" t="str">
            <v>VI</v>
          </cell>
          <cell r="H27" t="str">
            <v>ITALIA</v>
          </cell>
          <cell r="M27" t="str">
            <v>UFFICIO ACQUISTI</v>
          </cell>
          <cell r="N27" t="str">
            <v>0445 607844</v>
          </cell>
          <cell r="P27" t="str">
            <v>3bsnc@libero.it</v>
          </cell>
          <cell r="R27" t="str">
            <v>BONIFICO BANCARIO, ALLA DATA DELLA NOSTRA CONFERMA D'ORDINE</v>
          </cell>
          <cell r="X27">
            <v>0.25</v>
          </cell>
          <cell r="Y27">
            <v>-0.04</v>
          </cell>
          <cell r="AB27">
            <v>0.25</v>
          </cell>
          <cell r="AC27">
            <v>0.25</v>
          </cell>
          <cell r="AD27">
            <v>0.25</v>
          </cell>
          <cell r="AE27">
            <v>0.25</v>
          </cell>
          <cell r="AF27">
            <v>0.25</v>
          </cell>
          <cell r="AG27">
            <v>0.25</v>
          </cell>
          <cell r="AH27">
            <v>0.25</v>
          </cell>
          <cell r="AI27">
            <v>0.25</v>
          </cell>
          <cell r="AJ27">
            <v>0.25</v>
          </cell>
          <cell r="AK27">
            <v>0.25</v>
          </cell>
          <cell r="AL27">
            <v>0.25</v>
          </cell>
          <cell r="AM27">
            <v>0.25</v>
          </cell>
          <cell r="AN27">
            <v>0.25</v>
          </cell>
          <cell r="AO27">
            <v>0.25</v>
          </cell>
          <cell r="AP27">
            <v>0.25</v>
          </cell>
          <cell r="AQ27">
            <v>0.25</v>
          </cell>
          <cell r="AR27">
            <v>0.25</v>
          </cell>
          <cell r="AS27">
            <v>0.25</v>
          </cell>
          <cell r="AT27">
            <v>-0.04</v>
          </cell>
          <cell r="AU27">
            <v>0.92</v>
          </cell>
          <cell r="AV27">
            <v>20</v>
          </cell>
          <cell r="AY27" t="str">
            <v/>
          </cell>
          <cell r="AZ27">
            <v>0.25</v>
          </cell>
          <cell r="BA27">
            <v>0.25</v>
          </cell>
        </row>
        <row r="28">
          <cell r="A28" t="str">
            <v>3C GROUP SRL</v>
          </cell>
          <cell r="B28" t="str">
            <v>GIANLUCA VEZZU'   CONS.VENDITE</v>
          </cell>
          <cell r="D28" t="str">
            <v>VIA N.REZZARA,9</v>
          </cell>
          <cell r="E28" t="str">
            <v>24020</v>
          </cell>
          <cell r="F28" t="str">
            <v>RANICA</v>
          </cell>
          <cell r="G28" t="str">
            <v>BG</v>
          </cell>
          <cell r="H28" t="str">
            <v>ITALIA</v>
          </cell>
          <cell r="J28" t="str">
            <v>03440880163</v>
          </cell>
          <cell r="M28" t="str">
            <v>UFFICIO ACQUISTI</v>
          </cell>
          <cell r="N28" t="str">
            <v>035 511800</v>
          </cell>
          <cell r="O28" t="str">
            <v>342 8523589 GIANLUCA VEZZU'</v>
          </cell>
          <cell r="P28" t="str">
            <v>gianluca@3cserramenti.it</v>
          </cell>
          <cell r="R28" t="str">
            <v>BONIFICO BANCARIO, ALLA DATA DELLA NOSTRA CONFERMA D'ORDINE</v>
          </cell>
          <cell r="X28">
            <v>0.2</v>
          </cell>
          <cell r="Y28">
            <v>-0.04</v>
          </cell>
          <cell r="AB28">
            <v>0.2</v>
          </cell>
          <cell r="AC28">
            <v>0.2</v>
          </cell>
          <cell r="AD28">
            <v>0.2</v>
          </cell>
          <cell r="AE28">
            <v>0.2</v>
          </cell>
          <cell r="AF28">
            <v>0.2</v>
          </cell>
          <cell r="AG28">
            <v>0.2</v>
          </cell>
          <cell r="AH28">
            <v>0.2</v>
          </cell>
          <cell r="AI28">
            <v>0.2</v>
          </cell>
          <cell r="AJ28">
            <v>0.2</v>
          </cell>
          <cell r="AK28">
            <v>0.2</v>
          </cell>
          <cell r="AL28">
            <v>0.2</v>
          </cell>
          <cell r="AM28">
            <v>0.2</v>
          </cell>
          <cell r="AN28">
            <v>0.2</v>
          </cell>
          <cell r="AO28">
            <v>0.2</v>
          </cell>
          <cell r="AP28">
            <v>0.2</v>
          </cell>
          <cell r="AQ28">
            <v>0.2</v>
          </cell>
          <cell r="AR28">
            <v>0.2</v>
          </cell>
          <cell r="AS28">
            <v>0.2</v>
          </cell>
          <cell r="AT28">
            <v>-0.04</v>
          </cell>
          <cell r="AU28">
            <v>0.92</v>
          </cell>
          <cell r="AV28">
            <v>20</v>
          </cell>
          <cell r="AZ28">
            <v>0.2</v>
          </cell>
          <cell r="BA28">
            <v>0.2</v>
          </cell>
        </row>
        <row r="29">
          <cell r="A29" t="str">
            <v>3ESSE SERRAMENTI DI SANDRO SARTI</v>
          </cell>
          <cell r="D29" t="str">
            <v>VIA C.RAGAZZI, 10</v>
          </cell>
          <cell r="E29">
            <v>44012</v>
          </cell>
          <cell r="F29" t="str">
            <v>BONDENO</v>
          </cell>
          <cell r="G29" t="str">
            <v>FE</v>
          </cell>
          <cell r="H29" t="str">
            <v>ITALIA</v>
          </cell>
          <cell r="M29" t="str">
            <v>UFFICIO ACQUISTI</v>
          </cell>
          <cell r="N29" t="str">
            <v>0532 894293</v>
          </cell>
          <cell r="P29" t="str">
            <v>info@tresseserramenti.i</v>
          </cell>
          <cell r="R29" t="str">
            <v>BONIFICO BANCARIO, ALLA DATA DELLA NOSTRA CONFERMA D'ORDINE</v>
          </cell>
          <cell r="X29">
            <v>0.25</v>
          </cell>
          <cell r="Y29">
            <v>-0.04</v>
          </cell>
          <cell r="AB29">
            <v>0.25</v>
          </cell>
          <cell r="AC29">
            <v>0.25</v>
          </cell>
          <cell r="AD29">
            <v>0.25</v>
          </cell>
          <cell r="AE29">
            <v>0.25</v>
          </cell>
          <cell r="AF29">
            <v>0.25</v>
          </cell>
          <cell r="AG29">
            <v>0.25</v>
          </cell>
          <cell r="AH29">
            <v>0.25</v>
          </cell>
          <cell r="AI29">
            <v>0.25</v>
          </cell>
          <cell r="AJ29">
            <v>0.25</v>
          </cell>
          <cell r="AK29">
            <v>0.25</v>
          </cell>
          <cell r="AL29">
            <v>0.25</v>
          </cell>
          <cell r="AM29">
            <v>0.25</v>
          </cell>
          <cell r="AN29">
            <v>0.25</v>
          </cell>
          <cell r="AO29">
            <v>0.25</v>
          </cell>
          <cell r="AP29">
            <v>0.25</v>
          </cell>
          <cell r="AQ29">
            <v>0.25</v>
          </cell>
          <cell r="AR29">
            <v>0.25</v>
          </cell>
          <cell r="AS29">
            <v>0.25</v>
          </cell>
          <cell r="AT29">
            <v>-0.04</v>
          </cell>
          <cell r="AU29">
            <v>0.92</v>
          </cell>
          <cell r="AV29">
            <v>20</v>
          </cell>
          <cell r="AY29" t="str">
            <v/>
          </cell>
          <cell r="AZ29">
            <v>0.25</v>
          </cell>
          <cell r="BA29">
            <v>0.25</v>
          </cell>
        </row>
        <row r="30">
          <cell r="A30" t="str">
            <v>3Z SERRAMENTI DI ZUCCA &amp; C.SNC</v>
          </cell>
          <cell r="B30" t="str">
            <v>LUCIANO</v>
          </cell>
          <cell r="D30" t="str">
            <v>V.LE S.AVENDRACE, 156</v>
          </cell>
          <cell r="E30" t="str">
            <v>09128</v>
          </cell>
          <cell r="F30" t="str">
            <v>CAGLIARI</v>
          </cell>
          <cell r="G30" t="str">
            <v>CA</v>
          </cell>
          <cell r="H30" t="str">
            <v>ITALIA</v>
          </cell>
          <cell r="J30" t="str">
            <v>02425710924</v>
          </cell>
          <cell r="M30" t="str">
            <v>UFFICIO ACQUISTI</v>
          </cell>
          <cell r="N30" t="str">
            <v>070 280954</v>
          </cell>
          <cell r="O30" t="str">
            <v>338 966384</v>
          </cell>
          <cell r="R30" t="str">
            <v>BONIFICO BANCARIO, ALLA DATA DELLA NOSTRA CONFERMA D'ORDINE</v>
          </cell>
          <cell r="X30">
            <v>0.17</v>
          </cell>
          <cell r="Y30">
            <v>-0.04</v>
          </cell>
          <cell r="AB30">
            <v>0.17</v>
          </cell>
          <cell r="AC30">
            <v>0.17</v>
          </cell>
          <cell r="AD30">
            <v>0.17</v>
          </cell>
          <cell r="AE30">
            <v>0.17</v>
          </cell>
          <cell r="AF30">
            <v>0.17</v>
          </cell>
          <cell r="AG30">
            <v>0.17</v>
          </cell>
          <cell r="AH30">
            <v>0.17</v>
          </cell>
          <cell r="AI30">
            <v>0.17</v>
          </cell>
          <cell r="AJ30">
            <v>0.17</v>
          </cell>
          <cell r="AK30">
            <v>0.17</v>
          </cell>
          <cell r="AL30">
            <v>0.17</v>
          </cell>
          <cell r="AM30">
            <v>0.17</v>
          </cell>
          <cell r="AN30">
            <v>0.17</v>
          </cell>
          <cell r="AO30">
            <v>0.17</v>
          </cell>
          <cell r="AP30">
            <v>0.17</v>
          </cell>
          <cell r="AQ30">
            <v>0.17</v>
          </cell>
          <cell r="AR30">
            <v>0.17</v>
          </cell>
          <cell r="AS30">
            <v>0.17</v>
          </cell>
          <cell r="AT30">
            <v>-0.04</v>
          </cell>
          <cell r="AU30">
            <v>0.92</v>
          </cell>
          <cell r="AV30">
            <v>20</v>
          </cell>
          <cell r="AZ30">
            <v>0.17</v>
          </cell>
          <cell r="BA30">
            <v>0.17</v>
          </cell>
        </row>
        <row r="31">
          <cell r="A31" t="str">
            <v>A &amp; C AUTOMAZIONI S.R.L.</v>
          </cell>
          <cell r="D31" t="str">
            <v>VIA PEDONI, 6</v>
          </cell>
          <cell r="E31">
            <v>38068</v>
          </cell>
          <cell r="F31" t="str">
            <v>ROVERETO</v>
          </cell>
          <cell r="G31" t="str">
            <v>TN</v>
          </cell>
          <cell r="H31" t="str">
            <v>ITALIA</v>
          </cell>
          <cell r="I31" t="str">
            <v>02096600222</v>
          </cell>
          <cell r="J31" t="str">
            <v>02096600222</v>
          </cell>
          <cell r="M31" t="str">
            <v>UFFICIO ACQUISTI</v>
          </cell>
          <cell r="N31" t="str">
            <v>0464 433555</v>
          </cell>
          <cell r="P31" t="str">
            <v>info@aecautomazioni.it</v>
          </cell>
          <cell r="R31" t="str">
            <v>BONIFICO BANCARIO, ALLA DATA DELLA NOSTRA CONFERMA D'ORDINE</v>
          </cell>
          <cell r="X31">
            <v>0.25</v>
          </cell>
          <cell r="Y31">
            <v>-0.04</v>
          </cell>
          <cell r="AB31">
            <v>0.25</v>
          </cell>
          <cell r="AC31">
            <v>0.25</v>
          </cell>
          <cell r="AD31">
            <v>0.25</v>
          </cell>
          <cell r="AE31">
            <v>0.25</v>
          </cell>
          <cell r="AF31">
            <v>0.25</v>
          </cell>
          <cell r="AG31">
            <v>0.25</v>
          </cell>
          <cell r="AH31">
            <v>0.25</v>
          </cell>
          <cell r="AI31">
            <v>0.25</v>
          </cell>
          <cell r="AJ31">
            <v>0.25</v>
          </cell>
          <cell r="AK31">
            <v>0.25</v>
          </cell>
          <cell r="AL31">
            <v>0.25</v>
          </cell>
          <cell r="AM31">
            <v>0.25</v>
          </cell>
          <cell r="AN31">
            <v>0.25</v>
          </cell>
          <cell r="AO31">
            <v>0.25</v>
          </cell>
          <cell r="AP31">
            <v>0.25</v>
          </cell>
          <cell r="AQ31">
            <v>0.25</v>
          </cell>
          <cell r="AR31">
            <v>0.25</v>
          </cell>
          <cell r="AS31">
            <v>0.25</v>
          </cell>
          <cell r="AT31">
            <v>-0.04</v>
          </cell>
          <cell r="AU31">
            <v>0.92</v>
          </cell>
          <cell r="AV31">
            <v>20</v>
          </cell>
          <cell r="AY31" t="str">
            <v/>
          </cell>
          <cell r="AZ31">
            <v>0.25</v>
          </cell>
          <cell r="BA31">
            <v>0.25</v>
          </cell>
        </row>
        <row r="32">
          <cell r="A32" t="str">
            <v>A &amp; G SERRAMENTI IN ALLUMINIO</v>
          </cell>
          <cell r="B32" t="str">
            <v>25% SOPRA AI 6 PZ. CON ESPOSITORE IN REGALO  HA UN PREVENTIVO DI ACQUA STOP TRA UN PO' VA IN PENSIONE 20/11/20</v>
          </cell>
          <cell r="D32" t="str">
            <v>VIA TORINO, 140</v>
          </cell>
          <cell r="E32">
            <v>18027</v>
          </cell>
          <cell r="F32" t="str">
            <v>PONTEDASSIO</v>
          </cell>
          <cell r="G32" t="str">
            <v>IM</v>
          </cell>
          <cell r="H32" t="str">
            <v>ITALIA</v>
          </cell>
          <cell r="J32" t="str">
            <v>01246310088</v>
          </cell>
          <cell r="M32" t="str">
            <v>UFFICIO ACQUISTI</v>
          </cell>
          <cell r="N32" t="str">
            <v>0183 279905</v>
          </cell>
          <cell r="P32" t="str">
            <v>aegserramenti@alice.it</v>
          </cell>
          <cell r="R32" t="str">
            <v>BONIFICO BANCARIO, ALLA DATA DELLA NOSTRA CONFERMA D'ORDINE</v>
          </cell>
          <cell r="X32">
            <v>0.25</v>
          </cell>
          <cell r="Y32">
            <v>-0.04</v>
          </cell>
          <cell r="AB32">
            <v>0.25</v>
          </cell>
          <cell r="AC32">
            <v>0.25</v>
          </cell>
          <cell r="AD32">
            <v>0.25</v>
          </cell>
          <cell r="AE32">
            <v>0.25</v>
          </cell>
          <cell r="AF32">
            <v>0.25</v>
          </cell>
          <cell r="AG32">
            <v>0.25</v>
          </cell>
          <cell r="AH32">
            <v>0.25</v>
          </cell>
          <cell r="AI32">
            <v>0.25</v>
          </cell>
          <cell r="AJ32">
            <v>0.25</v>
          </cell>
          <cell r="AK32">
            <v>0.25</v>
          </cell>
          <cell r="AL32">
            <v>0.25</v>
          </cell>
          <cell r="AM32">
            <v>0.25</v>
          </cell>
          <cell r="AN32">
            <v>0.25</v>
          </cell>
          <cell r="AO32">
            <v>0.25</v>
          </cell>
          <cell r="AP32">
            <v>0.25</v>
          </cell>
          <cell r="AQ32">
            <v>0.25</v>
          </cell>
          <cell r="AR32">
            <v>0.25</v>
          </cell>
          <cell r="AS32">
            <v>0.25</v>
          </cell>
          <cell r="AT32">
            <v>-0.04</v>
          </cell>
          <cell r="AU32">
            <v>0.92</v>
          </cell>
          <cell r="AV32">
            <v>20</v>
          </cell>
          <cell r="AY32" t="str">
            <v/>
          </cell>
          <cell r="AZ32">
            <v>0.25</v>
          </cell>
          <cell r="BA32">
            <v>0.25</v>
          </cell>
        </row>
        <row r="33">
          <cell r="A33" t="str">
            <v>A DUE  SERRAMENTI</v>
          </cell>
          <cell r="B33" t="str">
            <v>FINSTRAL 23/03/23 NON INTERESSATI</v>
          </cell>
          <cell r="D33" t="str">
            <v>VIA EMILIA, 16D</v>
          </cell>
          <cell r="E33">
            <v>43015</v>
          </cell>
          <cell r="F33" t="str">
            <v>NOCETO</v>
          </cell>
          <cell r="G33" t="str">
            <v>PR</v>
          </cell>
          <cell r="H33" t="str">
            <v>ITALIA</v>
          </cell>
          <cell r="I33" t="str">
            <v>02664790348</v>
          </cell>
          <cell r="J33" t="str">
            <v>02664790348</v>
          </cell>
          <cell r="M33" t="str">
            <v>UFFICIO ACQUISTI</v>
          </cell>
          <cell r="N33" t="str">
            <v>0521 615274</v>
          </cell>
          <cell r="O33" t="str">
            <v>366 9136884</v>
          </cell>
          <cell r="P33" t="str">
            <v>info@adueserramenti.it</v>
          </cell>
          <cell r="R33" t="str">
            <v>BONIFICO BANCARIO, ALLA DATA DELLA NOSTRA CONFERMA D'ORDINE</v>
          </cell>
          <cell r="X33">
            <v>0.25</v>
          </cell>
          <cell r="Y33">
            <v>-0.04</v>
          </cell>
          <cell r="AB33">
            <v>0.25</v>
          </cell>
          <cell r="AC33">
            <v>0.25</v>
          </cell>
          <cell r="AD33">
            <v>0.25</v>
          </cell>
          <cell r="AE33">
            <v>0.25</v>
          </cell>
          <cell r="AF33">
            <v>0.25</v>
          </cell>
          <cell r="AG33">
            <v>0.25</v>
          </cell>
          <cell r="AH33">
            <v>0.25</v>
          </cell>
          <cell r="AI33">
            <v>0.25</v>
          </cell>
          <cell r="AJ33">
            <v>0.25</v>
          </cell>
          <cell r="AK33">
            <v>0.25</v>
          </cell>
          <cell r="AL33">
            <v>0.25</v>
          </cell>
          <cell r="AM33">
            <v>0.25</v>
          </cell>
          <cell r="AN33">
            <v>0.25</v>
          </cell>
          <cell r="AO33">
            <v>0.25</v>
          </cell>
          <cell r="AP33">
            <v>0.25</v>
          </cell>
          <cell r="AQ33">
            <v>0.25</v>
          </cell>
          <cell r="AR33">
            <v>0.25</v>
          </cell>
          <cell r="AS33">
            <v>0.25</v>
          </cell>
          <cell r="AT33">
            <v>-0.04</v>
          </cell>
          <cell r="AU33">
            <v>0.92</v>
          </cell>
          <cell r="AV33">
            <v>20</v>
          </cell>
          <cell r="AZ33">
            <v>0.25</v>
          </cell>
          <cell r="BA33">
            <v>0.25</v>
          </cell>
        </row>
        <row r="34">
          <cell r="A34" t="str">
            <v>A.B.C.BLINDATI &amp; ARREDO CASA SRL</v>
          </cell>
          <cell r="B34" t="str">
            <v>ROBERTO SIDDI  INTERESSATO AL CAMPIONE ALLA PRIMA VENDITA</v>
          </cell>
          <cell r="D34" t="str">
            <v>VIA ROMA, 82</v>
          </cell>
          <cell r="E34" t="str">
            <v>09034</v>
          </cell>
          <cell r="F34" t="str">
            <v>VILLASOR</v>
          </cell>
          <cell r="G34" t="str">
            <v>CA</v>
          </cell>
          <cell r="H34" t="str">
            <v>ITALIA</v>
          </cell>
          <cell r="J34" t="str">
            <v>03160630921</v>
          </cell>
          <cell r="M34" t="str">
            <v>UFFICIO ACQUISTI</v>
          </cell>
          <cell r="O34" t="str">
            <v>349 2385053</v>
          </cell>
          <cell r="P34" t="str">
            <v>abcblindatisrl@gmail.com</v>
          </cell>
          <cell r="R34" t="str">
            <v>BONIFICO BANCARIO, ALLA DATA DELLA NOSTRA CONFERMA D'ORDINE</v>
          </cell>
          <cell r="X34">
            <v>0.15</v>
          </cell>
          <cell r="Y34">
            <v>-0.04</v>
          </cell>
          <cell r="AB34">
            <v>0.15</v>
          </cell>
          <cell r="AC34">
            <v>0.15</v>
          </cell>
          <cell r="AD34">
            <v>0.15</v>
          </cell>
          <cell r="AE34">
            <v>0.15</v>
          </cell>
          <cell r="AF34">
            <v>0.15</v>
          </cell>
          <cell r="AG34">
            <v>0.15</v>
          </cell>
          <cell r="AH34">
            <v>0.15</v>
          </cell>
          <cell r="AI34">
            <v>0.15</v>
          </cell>
          <cell r="AJ34">
            <v>0.15</v>
          </cell>
          <cell r="AK34">
            <v>0.15</v>
          </cell>
          <cell r="AL34">
            <v>0.15</v>
          </cell>
          <cell r="AM34">
            <v>0.15</v>
          </cell>
          <cell r="AN34">
            <v>0.15</v>
          </cell>
          <cell r="AO34">
            <v>0.15</v>
          </cell>
          <cell r="AP34">
            <v>0.15</v>
          </cell>
          <cell r="AQ34">
            <v>0.15</v>
          </cell>
          <cell r="AR34">
            <v>0.15</v>
          </cell>
          <cell r="AS34">
            <v>0.15</v>
          </cell>
          <cell r="AT34">
            <v>-0.04</v>
          </cell>
          <cell r="AU34">
            <v>0.92</v>
          </cell>
          <cell r="AV34">
            <v>20</v>
          </cell>
          <cell r="AZ34">
            <v>0.15</v>
          </cell>
          <cell r="BA34">
            <v>0.15</v>
          </cell>
        </row>
        <row r="35">
          <cell r="A35" t="str">
            <v>A.D. SERRAMENTI</v>
          </cell>
          <cell r="D35" t="str">
            <v>VIA J. BAROZZI, 42/A</v>
          </cell>
          <cell r="E35">
            <v>41012</v>
          </cell>
          <cell r="F35" t="str">
            <v>CARPI</v>
          </cell>
          <cell r="G35" t="str">
            <v>MO</v>
          </cell>
          <cell r="H35" t="str">
            <v>ITALIA</v>
          </cell>
          <cell r="J35" t="str">
            <v>03269890368</v>
          </cell>
          <cell r="K35" t="str">
            <v>XL13LG4</v>
          </cell>
          <cell r="M35" t="str">
            <v>UFFICIO ACQUISTI</v>
          </cell>
          <cell r="N35" t="str">
            <v>059 4731024</v>
          </cell>
          <cell r="O35" t="str">
            <v>335 7111889</v>
          </cell>
          <cell r="P35" t="str">
            <v>info@adserramenticarpi.it</v>
          </cell>
          <cell r="R35" t="str">
            <v>BONIFICO BANCARIO, ALLA DATA DELLA NOSTRA CONFERMA D'ORDINE</v>
          </cell>
          <cell r="X35">
            <v>0.25</v>
          </cell>
          <cell r="Y35">
            <v>-0.04</v>
          </cell>
          <cell r="AB35">
            <v>0.25</v>
          </cell>
          <cell r="AC35">
            <v>0.25</v>
          </cell>
          <cell r="AD35">
            <v>0.25</v>
          </cell>
          <cell r="AE35">
            <v>0.25</v>
          </cell>
          <cell r="AF35">
            <v>0.25</v>
          </cell>
          <cell r="AG35">
            <v>0.25</v>
          </cell>
          <cell r="AH35">
            <v>0.25</v>
          </cell>
          <cell r="AI35">
            <v>0.25</v>
          </cell>
          <cell r="AJ35">
            <v>0.25</v>
          </cell>
          <cell r="AK35">
            <v>0.25</v>
          </cell>
          <cell r="AL35">
            <v>0.25</v>
          </cell>
          <cell r="AM35">
            <v>0.25</v>
          </cell>
          <cell r="AN35">
            <v>0.25</v>
          </cell>
          <cell r="AO35">
            <v>0.25</v>
          </cell>
          <cell r="AP35">
            <v>0.25</v>
          </cell>
          <cell r="AQ35">
            <v>0.25</v>
          </cell>
          <cell r="AR35">
            <v>0.25</v>
          </cell>
          <cell r="AS35">
            <v>0.25</v>
          </cell>
          <cell r="AT35">
            <v>-0.04</v>
          </cell>
          <cell r="AU35">
            <v>0.92</v>
          </cell>
          <cell r="AV35">
            <v>20</v>
          </cell>
          <cell r="AY35" t="str">
            <v/>
          </cell>
          <cell r="AZ35">
            <v>0.25</v>
          </cell>
          <cell r="BA35">
            <v>0.25</v>
          </cell>
        </row>
        <row r="36">
          <cell r="A36" t="str">
            <v>A.FONTANA SRL</v>
          </cell>
          <cell r="D36" t="str">
            <v>VIA STATALE, 107</v>
          </cell>
          <cell r="E36" t="str">
            <v>42013</v>
          </cell>
          <cell r="F36" t="str">
            <v>CASALGRANDE</v>
          </cell>
          <cell r="G36" t="str">
            <v>RE</v>
          </cell>
          <cell r="H36" t="str">
            <v>ITALIA</v>
          </cell>
          <cell r="I36" t="str">
            <v>01083970358</v>
          </cell>
          <cell r="J36" t="str">
            <v>01083970358</v>
          </cell>
          <cell r="K36" t="str">
            <v>SUBM70N</v>
          </cell>
          <cell r="M36" t="str">
            <v>UFFICIO ACQUISTI</v>
          </cell>
          <cell r="N36" t="str">
            <v>0522 840851</v>
          </cell>
          <cell r="P36" t="str">
            <v>info@afontana.it</v>
          </cell>
          <cell r="R36" t="str">
            <v>BONIFICO BANCARIO, ALLA DATA DELLA NOSTRA CONFERMA D'ORDINE</v>
          </cell>
          <cell r="X36">
            <v>0.25</v>
          </cell>
          <cell r="Y36">
            <v>-0.04</v>
          </cell>
          <cell r="AB36">
            <v>0.25</v>
          </cell>
          <cell r="AC36">
            <v>0.25</v>
          </cell>
          <cell r="AD36">
            <v>0.25</v>
          </cell>
          <cell r="AE36">
            <v>0.25</v>
          </cell>
          <cell r="AF36">
            <v>0.25</v>
          </cell>
          <cell r="AG36">
            <v>0.25</v>
          </cell>
          <cell r="AH36">
            <v>0.25</v>
          </cell>
          <cell r="AI36">
            <v>0.25</v>
          </cell>
          <cell r="AJ36">
            <v>0.25</v>
          </cell>
          <cell r="AK36">
            <v>0.25</v>
          </cell>
          <cell r="AL36">
            <v>0.25</v>
          </cell>
          <cell r="AM36">
            <v>0.25</v>
          </cell>
          <cell r="AN36">
            <v>0.25</v>
          </cell>
          <cell r="AO36">
            <v>0.25</v>
          </cell>
          <cell r="AP36">
            <v>0.25</v>
          </cell>
          <cell r="AQ36">
            <v>0.25</v>
          </cell>
          <cell r="AR36">
            <v>0.25</v>
          </cell>
          <cell r="AS36">
            <v>0.25</v>
          </cell>
          <cell r="AT36">
            <v>-0.04</v>
          </cell>
          <cell r="AU36">
            <v>0.92</v>
          </cell>
          <cell r="AV36">
            <v>20</v>
          </cell>
          <cell r="AY36" t="str">
            <v/>
          </cell>
          <cell r="AZ36">
            <v>0.25</v>
          </cell>
          <cell r="BA36">
            <v>0.25</v>
          </cell>
        </row>
        <row r="37">
          <cell r="A37" t="str">
            <v>A.L. SERRAMENTI</v>
          </cell>
          <cell r="D37" t="str">
            <v>VIA PADANA SUPERIORE, 59</v>
          </cell>
          <cell r="E37">
            <v>20065</v>
          </cell>
          <cell r="F37" t="str">
            <v>INZAGO</v>
          </cell>
          <cell r="G37" t="str">
            <v>MI</v>
          </cell>
          <cell r="H37" t="str">
            <v>ITALIA</v>
          </cell>
          <cell r="J37" t="str">
            <v>06432250964</v>
          </cell>
          <cell r="K37" t="str">
            <v>X2PH305</v>
          </cell>
          <cell r="M37" t="str">
            <v>UFFICIO ACQUISTI</v>
          </cell>
          <cell r="O37" t="str">
            <v>338 2466228 LEONARDO - 339 4528186 ALBERTO</v>
          </cell>
          <cell r="P37" t="str">
            <v>contatti@alserramenti.it</v>
          </cell>
          <cell r="Q37" t="str">
            <v>AVVISARE PRIMA DELLA CONSEGNA SIG. LEO 338 2466228</v>
          </cell>
          <cell r="R37" t="str">
            <v>BONIFICO BANCARIO, ALLA DATA DELLA NOSTRA CONFERMA D'ORDINE</v>
          </cell>
          <cell r="X37">
            <v>0.25</v>
          </cell>
          <cell r="Y37">
            <v>-0.04</v>
          </cell>
          <cell r="AB37">
            <v>0.25</v>
          </cell>
          <cell r="AC37">
            <v>0.25</v>
          </cell>
          <cell r="AD37">
            <v>0.25</v>
          </cell>
          <cell r="AE37">
            <v>0.25</v>
          </cell>
          <cell r="AF37">
            <v>0.25</v>
          </cell>
          <cell r="AG37">
            <v>0.25</v>
          </cell>
          <cell r="AH37">
            <v>0.25</v>
          </cell>
          <cell r="AI37">
            <v>0.25</v>
          </cell>
          <cell r="AJ37">
            <v>0.25</v>
          </cell>
          <cell r="AK37">
            <v>0.25</v>
          </cell>
          <cell r="AL37">
            <v>0.25</v>
          </cell>
          <cell r="AM37">
            <v>0.25</v>
          </cell>
          <cell r="AN37">
            <v>0.25</v>
          </cell>
          <cell r="AO37">
            <v>0.25</v>
          </cell>
          <cell r="AP37">
            <v>0.25</v>
          </cell>
          <cell r="AQ37">
            <v>0.25</v>
          </cell>
          <cell r="AR37">
            <v>0.25</v>
          </cell>
          <cell r="AS37">
            <v>0.25</v>
          </cell>
          <cell r="AT37">
            <v>-0.04</v>
          </cell>
          <cell r="AU37">
            <v>0.92</v>
          </cell>
          <cell r="AV37">
            <v>20</v>
          </cell>
          <cell r="AY37" t="str">
            <v/>
          </cell>
          <cell r="AZ37">
            <v>0.25</v>
          </cell>
          <cell r="BA37">
            <v>0.25</v>
          </cell>
          <cell r="BF37" t="str">
            <v>CLICK RAPID con carpenteria27/07/2020</v>
          </cell>
        </row>
        <row r="38">
          <cell r="A38" t="str">
            <v xml:space="preserve">A.L.S. S.N.C. </v>
          </cell>
          <cell r="D38" t="str">
            <v>C.SO SEMPIONE, 16</v>
          </cell>
          <cell r="E38">
            <v>13048</v>
          </cell>
          <cell r="F38" t="str">
            <v>SANTHIA'</v>
          </cell>
          <cell r="G38" t="str">
            <v>VC</v>
          </cell>
          <cell r="H38" t="str">
            <v>ITALIA</v>
          </cell>
          <cell r="J38" t="str">
            <v>01799420029</v>
          </cell>
          <cell r="M38" t="str">
            <v>UFFICIO ACQUISTI</v>
          </cell>
          <cell r="N38" t="str">
            <v>0161 94449</v>
          </cell>
          <cell r="P38" t="str">
            <v>alsferrara@yahoo.it</v>
          </cell>
          <cell r="R38" t="str">
            <v>BONIFICO BANCARIO, ALLA DATA DELLA NOSTRA CONFERMA D'ORDINE</v>
          </cell>
          <cell r="X38">
            <v>0.25</v>
          </cell>
          <cell r="Y38">
            <v>-0.04</v>
          </cell>
          <cell r="AB38">
            <v>0.25</v>
          </cell>
          <cell r="AC38">
            <v>0.25</v>
          </cell>
          <cell r="AD38">
            <v>0.25</v>
          </cell>
          <cell r="AE38">
            <v>0.25</v>
          </cell>
          <cell r="AF38">
            <v>0.25</v>
          </cell>
          <cell r="AG38">
            <v>0.25</v>
          </cell>
          <cell r="AH38">
            <v>0.25</v>
          </cell>
          <cell r="AI38">
            <v>0.25</v>
          </cell>
          <cell r="AJ38">
            <v>0.25</v>
          </cell>
          <cell r="AK38">
            <v>0.25</v>
          </cell>
          <cell r="AL38">
            <v>0.25</v>
          </cell>
          <cell r="AM38">
            <v>0.25</v>
          </cell>
          <cell r="AN38">
            <v>0.25</v>
          </cell>
          <cell r="AO38">
            <v>0.25</v>
          </cell>
          <cell r="AP38">
            <v>0.25</v>
          </cell>
          <cell r="AQ38">
            <v>0.25</v>
          </cell>
          <cell r="AR38">
            <v>0.25</v>
          </cell>
          <cell r="AS38">
            <v>0.25</v>
          </cell>
          <cell r="AT38">
            <v>-0.04</v>
          </cell>
          <cell r="AU38">
            <v>0.92</v>
          </cell>
          <cell r="AV38">
            <v>20</v>
          </cell>
          <cell r="AY38" t="str">
            <v/>
          </cell>
          <cell r="AZ38">
            <v>0.25</v>
          </cell>
          <cell r="BA38">
            <v>0.25</v>
          </cell>
        </row>
        <row r="39">
          <cell r="A39" t="str">
            <v>A.R.INFISSI DI GIAMPAOLO CORREDDU</v>
          </cell>
          <cell r="D39" t="str">
            <v>VIA SANT'AGOSTINO, 55</v>
          </cell>
          <cell r="E39" t="str">
            <v>07041</v>
          </cell>
          <cell r="F39" t="str">
            <v>ALGHERO</v>
          </cell>
          <cell r="G39" t="str">
            <v>SS</v>
          </cell>
          <cell r="H39" t="str">
            <v>ITALIA</v>
          </cell>
          <cell r="M39" t="str">
            <v>UFFICIO ACQUISTI</v>
          </cell>
          <cell r="O39" t="str">
            <v>329 4541124</v>
          </cell>
          <cell r="P39" t="str">
            <v>arinfissi@gmail.com</v>
          </cell>
          <cell r="R39" t="str">
            <v>BONIFICO BANCARIO, ALLA DATA DELLA NOSTRA CONFERMA D'ORDINE</v>
          </cell>
          <cell r="X39">
            <v>0.2</v>
          </cell>
          <cell r="Y39">
            <v>-0.04</v>
          </cell>
          <cell r="AB39">
            <v>0.2</v>
          </cell>
          <cell r="AC39">
            <v>0.2</v>
          </cell>
          <cell r="AD39">
            <v>0.2</v>
          </cell>
          <cell r="AE39">
            <v>0.2</v>
          </cell>
          <cell r="AF39">
            <v>0.2</v>
          </cell>
          <cell r="AG39">
            <v>0.2</v>
          </cell>
          <cell r="AH39">
            <v>0.2</v>
          </cell>
          <cell r="AI39">
            <v>0.2</v>
          </cell>
          <cell r="AJ39">
            <v>0.2</v>
          </cell>
          <cell r="AK39">
            <v>0.2</v>
          </cell>
          <cell r="AL39">
            <v>0.2</v>
          </cell>
          <cell r="AM39">
            <v>0.2</v>
          </cell>
          <cell r="AN39">
            <v>0.2</v>
          </cell>
          <cell r="AO39">
            <v>0.2</v>
          </cell>
          <cell r="AP39">
            <v>0.2</v>
          </cell>
          <cell r="AQ39">
            <v>0.2</v>
          </cell>
          <cell r="AR39">
            <v>0.2</v>
          </cell>
          <cell r="AS39">
            <v>0.2</v>
          </cell>
          <cell r="AT39">
            <v>-0.04</v>
          </cell>
          <cell r="AU39">
            <v>0.92</v>
          </cell>
          <cell r="AV39">
            <v>20</v>
          </cell>
          <cell r="AZ39">
            <v>0.2</v>
          </cell>
          <cell r="BA39">
            <v>0.2</v>
          </cell>
        </row>
        <row r="40">
          <cell r="A40" t="str">
            <v>A.RATTI SNC DI RATTI ANGELO E C.</v>
          </cell>
          <cell r="B40" t="str">
            <v>CLAUDIO RATTI  E SERENELLA</v>
          </cell>
          <cell r="D40" t="str">
            <v>VIALE BORRI, 52</v>
          </cell>
          <cell r="E40">
            <v>21100</v>
          </cell>
          <cell r="F40" t="str">
            <v>VARESE</v>
          </cell>
          <cell r="G40" t="str">
            <v>VA</v>
          </cell>
          <cell r="H40" t="str">
            <v>ITALIA</v>
          </cell>
          <cell r="J40" t="str">
            <v>01334120126</v>
          </cell>
          <cell r="K40" t="str">
            <v>M5UXCR1</v>
          </cell>
          <cell r="M40" t="str">
            <v>UFFICIO ACQUISTI</v>
          </cell>
          <cell r="N40" t="str">
            <v>0332 264472</v>
          </cell>
          <cell r="P40" t="str">
            <v>ratti.snc@libero.it</v>
          </cell>
          <cell r="R40" t="str">
            <v>BONIFICO BANCARIO, ALLA DATA DELLA NOSTRA CONFERMA D'ORDINE</v>
          </cell>
          <cell r="X40">
            <v>0.25</v>
          </cell>
          <cell r="Y40">
            <v>-0.04</v>
          </cell>
          <cell r="AB40">
            <v>0.25</v>
          </cell>
          <cell r="AC40">
            <v>0.25</v>
          </cell>
          <cell r="AD40">
            <v>0.25</v>
          </cell>
          <cell r="AE40">
            <v>0.25</v>
          </cell>
          <cell r="AF40">
            <v>0.25</v>
          </cell>
          <cell r="AG40">
            <v>0.25</v>
          </cell>
          <cell r="AH40">
            <v>0.25</v>
          </cell>
          <cell r="AI40">
            <v>0.25</v>
          </cell>
          <cell r="AJ40">
            <v>0.25</v>
          </cell>
          <cell r="AK40">
            <v>0.25</v>
          </cell>
          <cell r="AL40">
            <v>0.25</v>
          </cell>
          <cell r="AM40">
            <v>0.25</v>
          </cell>
          <cell r="AN40">
            <v>0.25</v>
          </cell>
          <cell r="AO40">
            <v>0.25</v>
          </cell>
          <cell r="AP40">
            <v>0.25</v>
          </cell>
          <cell r="AQ40">
            <v>0.25</v>
          </cell>
          <cell r="AR40">
            <v>0.25</v>
          </cell>
          <cell r="AS40">
            <v>0.25</v>
          </cell>
          <cell r="AT40">
            <v>-0.04</v>
          </cell>
          <cell r="AU40">
            <v>0.92</v>
          </cell>
          <cell r="AV40">
            <v>20</v>
          </cell>
          <cell r="AY40" t="str">
            <v/>
          </cell>
          <cell r="AZ40">
            <v>0.25</v>
          </cell>
          <cell r="BA40">
            <v>0.25</v>
          </cell>
          <cell r="BF40" t="str">
            <v>CLICK RAPID con carpenteria 01/02/2021</v>
          </cell>
        </row>
        <row r="41">
          <cell r="A41" t="str">
            <v>A.S.G. SRL</v>
          </cell>
          <cell r="B41" t="str">
            <v>LUCA DE LUCIA</v>
          </cell>
          <cell r="D41" t="str">
            <v>VIA TOMBESI 9 A</v>
          </cell>
          <cell r="E41" t="str">
            <v>60131</v>
          </cell>
          <cell r="F41" t="str">
            <v>ANCONA</v>
          </cell>
          <cell r="G41" t="str">
            <v>AN</v>
          </cell>
          <cell r="H41" t="str">
            <v>ITALIA</v>
          </cell>
          <cell r="J41" t="str">
            <v>01532530423</v>
          </cell>
          <cell r="M41" t="str">
            <v>UFFICIO ACQUISTI</v>
          </cell>
          <cell r="N41" t="str">
            <v>071 2861730</v>
          </cell>
          <cell r="R41" t="str">
            <v>BONIFICO BANCARIO, ALLA DATA DELLA NOSTRA CONFERMA D'ORDINE</v>
          </cell>
          <cell r="X41">
            <v>0.25</v>
          </cell>
          <cell r="Y41">
            <v>-0.04</v>
          </cell>
          <cell r="AB41">
            <v>0.25</v>
          </cell>
          <cell r="AC41">
            <v>0.25</v>
          </cell>
          <cell r="AD41">
            <v>0.25</v>
          </cell>
          <cell r="AE41">
            <v>0.25</v>
          </cell>
          <cell r="AF41">
            <v>0.25</v>
          </cell>
          <cell r="AG41">
            <v>0.25</v>
          </cell>
          <cell r="AH41">
            <v>0.25</v>
          </cell>
          <cell r="AI41">
            <v>0.25</v>
          </cell>
          <cell r="AJ41">
            <v>0.25</v>
          </cell>
          <cell r="AK41">
            <v>0.25</v>
          </cell>
          <cell r="AL41">
            <v>0.25</v>
          </cell>
          <cell r="AM41">
            <v>0.25</v>
          </cell>
          <cell r="AN41">
            <v>0.25</v>
          </cell>
          <cell r="AO41">
            <v>0.25</v>
          </cell>
          <cell r="AP41">
            <v>0.25</v>
          </cell>
          <cell r="AQ41">
            <v>0.25</v>
          </cell>
          <cell r="AR41">
            <v>0.25</v>
          </cell>
          <cell r="AS41">
            <v>0.25</v>
          </cell>
          <cell r="AT41">
            <v>-0.04</v>
          </cell>
          <cell r="AU41">
            <v>0.92</v>
          </cell>
          <cell r="AV41">
            <v>20</v>
          </cell>
          <cell r="AY41" t="str">
            <v/>
          </cell>
          <cell r="AZ41">
            <v>0.25</v>
          </cell>
          <cell r="BA41">
            <v>0.25</v>
          </cell>
        </row>
        <row r="42">
          <cell r="A42" t="str">
            <v>A.S.P. SERRAMENTI IN ALLUMINIO</v>
          </cell>
          <cell r="D42" t="str">
            <v>VIA DON MOROSINI, 27</v>
          </cell>
          <cell r="E42" t="str">
            <v>56022</v>
          </cell>
          <cell r="F42" t="str">
            <v>CASTELFRANCO DI SOTTO</v>
          </cell>
          <cell r="G42" t="str">
            <v>PI</v>
          </cell>
          <cell r="H42" t="str">
            <v>ITALIA</v>
          </cell>
          <cell r="M42" t="str">
            <v>UFFICIO ACQUISTI</v>
          </cell>
          <cell r="N42" t="str">
            <v>0571 478222</v>
          </cell>
          <cell r="O42" t="str">
            <v>348 3700989</v>
          </cell>
          <cell r="P42" t="str">
            <v>aspcastelfranco@gmail.com</v>
          </cell>
          <cell r="R42" t="str">
            <v>BONIFICO BANCARIO, ALLA DATA DELLA NOSTRA CONFERMA D'ORDINE</v>
          </cell>
          <cell r="X42">
            <v>0.25</v>
          </cell>
          <cell r="Y42">
            <v>-0.04</v>
          </cell>
          <cell r="AB42">
            <v>0.25</v>
          </cell>
          <cell r="AC42">
            <v>0.25</v>
          </cell>
          <cell r="AD42">
            <v>0.25</v>
          </cell>
          <cell r="AE42">
            <v>0.25</v>
          </cell>
          <cell r="AF42">
            <v>0.25</v>
          </cell>
          <cell r="AG42">
            <v>0.25</v>
          </cell>
          <cell r="AH42">
            <v>0.25</v>
          </cell>
          <cell r="AI42">
            <v>0.25</v>
          </cell>
          <cell r="AJ42">
            <v>0.25</v>
          </cell>
          <cell r="AK42">
            <v>0.25</v>
          </cell>
          <cell r="AL42">
            <v>0.25</v>
          </cell>
          <cell r="AM42">
            <v>0.25</v>
          </cell>
          <cell r="AN42">
            <v>0.25</v>
          </cell>
          <cell r="AO42">
            <v>0.25</v>
          </cell>
          <cell r="AP42">
            <v>0.25</v>
          </cell>
          <cell r="AQ42">
            <v>0.25</v>
          </cell>
          <cell r="AR42">
            <v>0.25</v>
          </cell>
          <cell r="AS42">
            <v>0.25</v>
          </cell>
          <cell r="AT42">
            <v>-0.04</v>
          </cell>
          <cell r="AU42">
            <v>0.92</v>
          </cell>
          <cell r="AV42">
            <v>20</v>
          </cell>
          <cell r="AZ42">
            <v>0.25</v>
          </cell>
          <cell r="BA42">
            <v>0.25</v>
          </cell>
        </row>
        <row r="43">
          <cell r="A43" t="str">
            <v>A.SER.PORT SRL</v>
          </cell>
          <cell r="D43" t="str">
            <v>VIA DONGHI, 70  72  74  R</v>
          </cell>
          <cell r="E43">
            <v>16132</v>
          </cell>
          <cell r="F43" t="str">
            <v>GENOVA</v>
          </cell>
          <cell r="G43" t="str">
            <v>GE</v>
          </cell>
          <cell r="H43" t="str">
            <v>ITALIA</v>
          </cell>
          <cell r="J43" t="str">
            <v>01688720992</v>
          </cell>
          <cell r="M43" t="str">
            <v>SIG.RA SALARIS MARCELLA</v>
          </cell>
          <cell r="N43" t="str">
            <v>010 518062</v>
          </cell>
          <cell r="O43" t="str">
            <v>348 8296766</v>
          </cell>
          <cell r="P43" t="str">
            <v>aserportserramenti@libero.it</v>
          </cell>
          <cell r="R43" t="str">
            <v>BONIFICO BANCARIO, ALLA DATA DELLA NOSTRA CONFERMA D'ORDINE</v>
          </cell>
          <cell r="X43">
            <v>0.25</v>
          </cell>
          <cell r="Y43">
            <v>-0.04</v>
          </cell>
          <cell r="AB43">
            <v>0.25</v>
          </cell>
          <cell r="AC43">
            <v>0.25</v>
          </cell>
          <cell r="AD43">
            <v>0.25</v>
          </cell>
          <cell r="AE43">
            <v>0.25</v>
          </cell>
          <cell r="AF43">
            <v>0.25</v>
          </cell>
          <cell r="AG43">
            <v>0.25</v>
          </cell>
          <cell r="AH43">
            <v>0.25</v>
          </cell>
          <cell r="AI43">
            <v>0.25</v>
          </cell>
          <cell r="AJ43">
            <v>0.25</v>
          </cell>
          <cell r="AK43">
            <v>0.25</v>
          </cell>
          <cell r="AL43">
            <v>0.25</v>
          </cell>
          <cell r="AM43">
            <v>0.25</v>
          </cell>
          <cell r="AN43">
            <v>0.25</v>
          </cell>
          <cell r="AO43">
            <v>0.25</v>
          </cell>
          <cell r="AP43">
            <v>0.25</v>
          </cell>
          <cell r="AQ43">
            <v>0.25</v>
          </cell>
          <cell r="AR43">
            <v>0.25</v>
          </cell>
          <cell r="AS43">
            <v>0.25</v>
          </cell>
          <cell r="AT43">
            <v>-0.04</v>
          </cell>
          <cell r="AU43">
            <v>0.92</v>
          </cell>
          <cell r="AV43">
            <v>20</v>
          </cell>
          <cell r="AY43" t="str">
            <v/>
          </cell>
          <cell r="AZ43">
            <v>0.25</v>
          </cell>
          <cell r="BA43">
            <v>0.25</v>
          </cell>
        </row>
        <row r="44">
          <cell r="A44" t="str">
            <v>AB GROUP PORTE &amp; FINESTRE</v>
          </cell>
          <cell r="B44" t="str">
            <v>BUONO</v>
          </cell>
          <cell r="D44" t="str">
            <v>VIA CHAMBERY, 55</v>
          </cell>
          <cell r="E44" t="str">
            <v>11100</v>
          </cell>
          <cell r="F44" t="str">
            <v>AOSTA</v>
          </cell>
          <cell r="G44" t="str">
            <v>AO</v>
          </cell>
          <cell r="H44" t="str">
            <v>ITALIA</v>
          </cell>
          <cell r="M44" t="str">
            <v>UFFICIO ACQUISTI</v>
          </cell>
          <cell r="N44" t="str">
            <v>0165 263970</v>
          </cell>
          <cell r="P44" t="str">
            <v>abgroupserramenti@gmail.com</v>
          </cell>
          <cell r="R44" t="str">
            <v>BONIFICO BANCARIO, ALLA DATA DELLA NOSTRA CONFERMA D'ORDINE</v>
          </cell>
          <cell r="X44">
            <v>0.25</v>
          </cell>
          <cell r="Y44">
            <v>-0.04</v>
          </cell>
          <cell r="AB44">
            <v>0.25</v>
          </cell>
          <cell r="AC44">
            <v>0.25</v>
          </cell>
          <cell r="AD44">
            <v>0.25</v>
          </cell>
          <cell r="AE44">
            <v>0.25</v>
          </cell>
          <cell r="AF44">
            <v>0.25</v>
          </cell>
          <cell r="AG44">
            <v>0.25</v>
          </cell>
          <cell r="AH44">
            <v>0.25</v>
          </cell>
          <cell r="AI44">
            <v>0.25</v>
          </cell>
          <cell r="AJ44">
            <v>0.25</v>
          </cell>
          <cell r="AK44">
            <v>0.25</v>
          </cell>
          <cell r="AL44">
            <v>0.25</v>
          </cell>
          <cell r="AM44">
            <v>0.25</v>
          </cell>
          <cell r="AN44">
            <v>0.25</v>
          </cell>
          <cell r="AO44">
            <v>0.25</v>
          </cell>
          <cell r="AP44">
            <v>0.25</v>
          </cell>
          <cell r="AQ44">
            <v>0.25</v>
          </cell>
          <cell r="AR44">
            <v>0.25</v>
          </cell>
          <cell r="AS44">
            <v>0.25</v>
          </cell>
          <cell r="AT44">
            <v>-0.04</v>
          </cell>
          <cell r="AU44">
            <v>0.92</v>
          </cell>
          <cell r="AV44">
            <v>20</v>
          </cell>
          <cell r="AZ44">
            <v>0.25</v>
          </cell>
          <cell r="BA44">
            <v>0.25</v>
          </cell>
        </row>
        <row r="45">
          <cell r="A45" t="str">
            <v>ABBIATI ANTONIO &amp; FIGLI SNC</v>
          </cell>
          <cell r="D45" t="str">
            <v>VICOLO SORGENTE, 20</v>
          </cell>
          <cell r="E45" t="str">
            <v xml:space="preserve">25030 </v>
          </cell>
          <cell r="F45" t="str">
            <v>URAGO D'OGLIO</v>
          </cell>
          <cell r="G45" t="str">
            <v>BS</v>
          </cell>
          <cell r="H45" t="str">
            <v>ITALIA</v>
          </cell>
          <cell r="J45" t="str">
            <v>00572620987</v>
          </cell>
          <cell r="L45" t="str">
            <v>VIA STRADIVARI, 4 -URAGO D'OGLIO</v>
          </cell>
          <cell r="M45" t="str">
            <v>UFFICIO ACQUISTI</v>
          </cell>
          <cell r="N45" t="str">
            <v>030 717136</v>
          </cell>
          <cell r="R45" t="str">
            <v>BONIFICO BANCARIO, ALLA DATA DELLA NOSTRA CONFERMA D'ORDINE</v>
          </cell>
          <cell r="X45">
            <v>0.2</v>
          </cell>
          <cell r="Y45">
            <v>-0.04</v>
          </cell>
          <cell r="AB45">
            <v>0.2</v>
          </cell>
          <cell r="AC45">
            <v>0.2</v>
          </cell>
          <cell r="AD45">
            <v>0.2</v>
          </cell>
          <cell r="AE45">
            <v>0.2</v>
          </cell>
          <cell r="AF45">
            <v>0.2</v>
          </cell>
          <cell r="AG45">
            <v>0.2</v>
          </cell>
          <cell r="AH45">
            <v>0.2</v>
          </cell>
          <cell r="AI45">
            <v>0.2</v>
          </cell>
          <cell r="AJ45">
            <v>0.2</v>
          </cell>
          <cell r="AK45">
            <v>0.2</v>
          </cell>
          <cell r="AL45">
            <v>0.2</v>
          </cell>
          <cell r="AM45">
            <v>0.2</v>
          </cell>
          <cell r="AN45">
            <v>0.2</v>
          </cell>
          <cell r="AO45">
            <v>0.2</v>
          </cell>
          <cell r="AP45">
            <v>0.2</v>
          </cell>
          <cell r="AQ45">
            <v>0.2</v>
          </cell>
          <cell r="AR45">
            <v>0.2</v>
          </cell>
          <cell r="AS45">
            <v>0.2</v>
          </cell>
          <cell r="AT45">
            <v>-0.04</v>
          </cell>
          <cell r="AU45">
            <v>0.92</v>
          </cell>
          <cell r="AV45">
            <v>20</v>
          </cell>
          <cell r="AZ45">
            <v>0.2</v>
          </cell>
          <cell r="BA45">
            <v>0.2</v>
          </cell>
        </row>
        <row r="46">
          <cell r="A46" t="str">
            <v xml:space="preserve">ABBIATI SRL </v>
          </cell>
          <cell r="D46" t="str">
            <v>VIA PUCCINI, 7</v>
          </cell>
          <cell r="E46">
            <v>21050</v>
          </cell>
          <cell r="F46" t="str">
            <v>BISUSCHIO</v>
          </cell>
          <cell r="G46" t="str">
            <v>VA</v>
          </cell>
          <cell r="H46" t="str">
            <v>ITALIA</v>
          </cell>
          <cell r="I46" t="str">
            <v>02716660127</v>
          </cell>
          <cell r="J46" t="str">
            <v>02716660127</v>
          </cell>
          <cell r="M46" t="str">
            <v>UFFICIO ACQUISTI</v>
          </cell>
          <cell r="N46" t="str">
            <v>0332 470387</v>
          </cell>
          <cell r="O46" t="str">
            <v xml:space="preserve"> Vincenzo C. 347 7531048</v>
          </cell>
          <cell r="P46" t="str">
            <v>expo@falegnameriabbiati.it</v>
          </cell>
          <cell r="R46" t="str">
            <v>BONIFICO BANCARIO, ALLA DATA DELLA NOSTRA CONFERMA D'ORDINE</v>
          </cell>
          <cell r="X46">
            <v>0.25</v>
          </cell>
          <cell r="Y46">
            <v>-0.04</v>
          </cell>
          <cell r="AB46">
            <v>0.25</v>
          </cell>
          <cell r="AC46">
            <v>0.25</v>
          </cell>
          <cell r="AD46">
            <v>0.25</v>
          </cell>
          <cell r="AE46">
            <v>0.25</v>
          </cell>
          <cell r="AF46">
            <v>0.25</v>
          </cell>
          <cell r="AG46">
            <v>0.25</v>
          </cell>
          <cell r="AH46">
            <v>0.25</v>
          </cell>
          <cell r="AI46">
            <v>0.25</v>
          </cell>
          <cell r="AJ46">
            <v>0.25</v>
          </cell>
          <cell r="AK46">
            <v>0.25</v>
          </cell>
          <cell r="AL46">
            <v>0.25</v>
          </cell>
          <cell r="AM46">
            <v>0.25</v>
          </cell>
          <cell r="AN46">
            <v>0.25</v>
          </cell>
          <cell r="AO46">
            <v>0.25</v>
          </cell>
          <cell r="AP46">
            <v>0.25</v>
          </cell>
          <cell r="AQ46">
            <v>0.25</v>
          </cell>
          <cell r="AR46">
            <v>0.25</v>
          </cell>
          <cell r="AS46">
            <v>0.25</v>
          </cell>
          <cell r="AT46">
            <v>-0.04</v>
          </cell>
          <cell r="AU46">
            <v>0.92</v>
          </cell>
          <cell r="AV46">
            <v>20</v>
          </cell>
          <cell r="AY46" t="str">
            <v/>
          </cell>
          <cell r="AZ46">
            <v>0.25</v>
          </cell>
          <cell r="BA46">
            <v>0.25</v>
          </cell>
        </row>
        <row r="47">
          <cell r="A47" t="str">
            <v>ABC ORLANDO S.R.L.</v>
          </cell>
          <cell r="D47" t="str">
            <v>VIA ARQUA, 10</v>
          </cell>
          <cell r="E47">
            <v>20131</v>
          </cell>
          <cell r="F47" t="str">
            <v>MILANO</v>
          </cell>
          <cell r="G47" t="str">
            <v>MI</v>
          </cell>
          <cell r="H47" t="str">
            <v>ITALIA</v>
          </cell>
          <cell r="M47" t="str">
            <v>UFFICIO ACQUISTI</v>
          </cell>
          <cell r="N47" t="str">
            <v>02 26143546</v>
          </cell>
          <cell r="O47" t="str">
            <v>335 6391528 ANTONIO ORLANDO</v>
          </cell>
          <cell r="P47" t="str">
            <v>anto.orlando@tiscali.it</v>
          </cell>
          <cell r="R47" t="str">
            <v>BONIFICO BANCARIO, ALLA DATA DELLA NOSTRA CONFERMA D'ORDINE</v>
          </cell>
          <cell r="X47">
            <v>0.25</v>
          </cell>
          <cell r="Y47">
            <v>-0.04</v>
          </cell>
          <cell r="AB47">
            <v>0.25</v>
          </cell>
          <cell r="AC47">
            <v>0.25</v>
          </cell>
          <cell r="AD47">
            <v>0.25</v>
          </cell>
          <cell r="AE47">
            <v>0.25</v>
          </cell>
          <cell r="AF47">
            <v>0.25</v>
          </cell>
          <cell r="AG47">
            <v>0.25</v>
          </cell>
          <cell r="AH47">
            <v>0.25</v>
          </cell>
          <cell r="AI47">
            <v>0.25</v>
          </cell>
          <cell r="AJ47">
            <v>0.25</v>
          </cell>
          <cell r="AK47">
            <v>0.25</v>
          </cell>
          <cell r="AL47">
            <v>0.25</v>
          </cell>
          <cell r="AM47">
            <v>0.25</v>
          </cell>
          <cell r="AN47">
            <v>0.25</v>
          </cell>
          <cell r="AO47">
            <v>0.25</v>
          </cell>
          <cell r="AP47">
            <v>0.25</v>
          </cell>
          <cell r="AQ47">
            <v>0.25</v>
          </cell>
          <cell r="AR47">
            <v>0.25</v>
          </cell>
          <cell r="AS47">
            <v>0.25</v>
          </cell>
          <cell r="AT47">
            <v>-0.04</v>
          </cell>
          <cell r="AU47">
            <v>0.92</v>
          </cell>
          <cell r="AV47">
            <v>20</v>
          </cell>
          <cell r="AY47" t="str">
            <v/>
          </cell>
          <cell r="AZ47">
            <v>0.25</v>
          </cell>
          <cell r="BA47">
            <v>0.25</v>
          </cell>
        </row>
        <row r="48">
          <cell r="A48" t="str">
            <v>ABC SERRAMENTI</v>
          </cell>
          <cell r="D48" t="str">
            <v>VIA GOBBI, 212</v>
          </cell>
          <cell r="E48" t="str">
            <v>30173</v>
          </cell>
          <cell r="F48" t="str">
            <v>CAMPALTO</v>
          </cell>
          <cell r="G48" t="str">
            <v>VE</v>
          </cell>
          <cell r="H48" t="str">
            <v>ITALIA</v>
          </cell>
          <cell r="M48" t="str">
            <v>UFFICIO ACQUISTI</v>
          </cell>
          <cell r="N48" t="str">
            <v>041 903883</v>
          </cell>
          <cell r="O48" t="str">
            <v>324 8930507  377 4517963</v>
          </cell>
          <cell r="R48" t="str">
            <v>BONIFICO BANCARIO, ALLA DATA DELLA NOSTRA CONFERMA D'ORDINE</v>
          </cell>
          <cell r="X48">
            <v>0.25</v>
          </cell>
          <cell r="Y48">
            <v>-0.04</v>
          </cell>
          <cell r="AB48">
            <v>0.25</v>
          </cell>
          <cell r="AC48">
            <v>0.25</v>
          </cell>
          <cell r="AD48">
            <v>0.25</v>
          </cell>
          <cell r="AE48">
            <v>0.25</v>
          </cell>
          <cell r="AF48">
            <v>0.25</v>
          </cell>
          <cell r="AG48">
            <v>0.25</v>
          </cell>
          <cell r="AH48">
            <v>0.25</v>
          </cell>
          <cell r="AI48">
            <v>0.25</v>
          </cell>
          <cell r="AJ48">
            <v>0.25</v>
          </cell>
          <cell r="AK48">
            <v>0.25</v>
          </cell>
          <cell r="AL48">
            <v>0.25</v>
          </cell>
          <cell r="AM48">
            <v>0.25</v>
          </cell>
          <cell r="AN48">
            <v>0.25</v>
          </cell>
          <cell r="AO48">
            <v>0.25</v>
          </cell>
          <cell r="AP48">
            <v>0.25</v>
          </cell>
          <cell r="AQ48">
            <v>0.25</v>
          </cell>
          <cell r="AR48">
            <v>0.25</v>
          </cell>
          <cell r="AS48">
            <v>0.25</v>
          </cell>
          <cell r="AT48">
            <v>-0.04</v>
          </cell>
          <cell r="AU48">
            <v>0.92</v>
          </cell>
          <cell r="AV48">
            <v>20</v>
          </cell>
          <cell r="AZ48">
            <v>0.25</v>
          </cell>
          <cell r="BA48">
            <v>0.25</v>
          </cell>
        </row>
        <row r="49">
          <cell r="A49" t="str">
            <v>ABWASSERSERVICE SCHMIDT</v>
          </cell>
          <cell r="B49" t="str">
            <v xml:space="preserve">RIVENDITORE REITTAHLER </v>
          </cell>
          <cell r="D49" t="str">
            <v>ALTENAUPLATZ 5</v>
          </cell>
          <cell r="E49" t="str">
            <v>31812</v>
          </cell>
          <cell r="F49" t="str">
            <v>BAD PYRMONT</v>
          </cell>
          <cell r="H49" t="str">
            <v>GERMANIA</v>
          </cell>
          <cell r="J49" t="str">
            <v>DE296886813</v>
          </cell>
          <cell r="K49" t="str">
            <v>XXXXXXX</v>
          </cell>
          <cell r="M49" t="str">
            <v>UFFICIO ACQUISTI</v>
          </cell>
          <cell r="N49" t="str">
            <v>+49 52811689440</v>
          </cell>
          <cell r="O49" t="str">
            <v>+49 163 2511379</v>
          </cell>
          <cell r="P49" t="str">
            <v>info@abwasserservice-schmidt.de</v>
          </cell>
          <cell r="R49" t="str">
            <v>BANKÜBERWEISUNG, AM DATUM UNSERER AUFTRAGSBESTÄTIGUNG</v>
          </cell>
          <cell r="X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U49">
            <v>0.84</v>
          </cell>
          <cell r="AV49">
            <v>20</v>
          </cell>
          <cell r="AZ49">
            <v>0</v>
          </cell>
          <cell r="BA49">
            <v>0</v>
          </cell>
        </row>
        <row r="50">
          <cell r="A50" t="str">
            <v>AC SERRAMENTI</v>
          </cell>
          <cell r="B50" t="str">
            <v>POTREBBE CHIAMARE IL MARITO</v>
          </cell>
          <cell r="D50" t="str">
            <v>VIA DON GNOCCHI, 22</v>
          </cell>
          <cell r="E50">
            <v>37016</v>
          </cell>
          <cell r="F50" t="str">
            <v>GARDA</v>
          </cell>
          <cell r="G50" t="str">
            <v>VR</v>
          </cell>
          <cell r="H50" t="str">
            <v>ITALIA</v>
          </cell>
          <cell r="I50" t="str">
            <v>CNULTN76M16Z100Z</v>
          </cell>
          <cell r="J50" t="str">
            <v>04462280233</v>
          </cell>
          <cell r="M50" t="str">
            <v>UFFICIO ACQUISTI</v>
          </cell>
          <cell r="N50" t="str">
            <v>045 2373638</v>
          </cell>
          <cell r="O50" t="str">
            <v>345 5091826</v>
          </cell>
          <cell r="P50" t="str">
            <v>info@acserramenti.net</v>
          </cell>
          <cell r="R50" t="str">
            <v>BONIFICO BANCARIO, ALLA DATA DELLA NOSTRA CONFERMA D'ORDINE</v>
          </cell>
          <cell r="X50">
            <v>0.25</v>
          </cell>
          <cell r="Y50">
            <v>-0.04</v>
          </cell>
          <cell r="AB50">
            <v>0.25</v>
          </cell>
          <cell r="AC50">
            <v>0.25</v>
          </cell>
          <cell r="AD50">
            <v>0.25</v>
          </cell>
          <cell r="AE50">
            <v>0.25</v>
          </cell>
          <cell r="AF50">
            <v>0.25</v>
          </cell>
          <cell r="AG50">
            <v>0.25</v>
          </cell>
          <cell r="AH50">
            <v>0.25</v>
          </cell>
          <cell r="AI50">
            <v>0.25</v>
          </cell>
          <cell r="AJ50">
            <v>0.25</v>
          </cell>
          <cell r="AK50">
            <v>0.25</v>
          </cell>
          <cell r="AL50">
            <v>0.25</v>
          </cell>
          <cell r="AM50">
            <v>0.25</v>
          </cell>
          <cell r="AN50">
            <v>0.25</v>
          </cell>
          <cell r="AO50">
            <v>0.25</v>
          </cell>
          <cell r="AP50">
            <v>0.25</v>
          </cell>
          <cell r="AQ50">
            <v>0.25</v>
          </cell>
          <cell r="AR50">
            <v>0.25</v>
          </cell>
          <cell r="AS50">
            <v>0.25</v>
          </cell>
          <cell r="AT50">
            <v>-0.04</v>
          </cell>
          <cell r="AU50">
            <v>0.92</v>
          </cell>
          <cell r="AV50">
            <v>20</v>
          </cell>
          <cell r="AY50" t="str">
            <v/>
          </cell>
          <cell r="AZ50">
            <v>0.25</v>
          </cell>
          <cell r="BA50">
            <v>0.25</v>
          </cell>
        </row>
        <row r="51">
          <cell r="A51" t="str">
            <v>ACERRANO MARIO SRL</v>
          </cell>
          <cell r="D51" t="str">
            <v>C.SO V. EMANUELE II, 97</v>
          </cell>
          <cell r="E51" t="str">
            <v>80011</v>
          </cell>
          <cell r="F51" t="str">
            <v>ACERRA</v>
          </cell>
          <cell r="G51" t="str">
            <v>NA</v>
          </cell>
          <cell r="H51" t="str">
            <v>ITALIA</v>
          </cell>
          <cell r="J51" t="str">
            <v>06467811219</v>
          </cell>
          <cell r="M51" t="str">
            <v>UFFICIO ACQUISTI</v>
          </cell>
          <cell r="N51" t="str">
            <v>081 5209307</v>
          </cell>
          <cell r="O51" t="str">
            <v>335 6063254-335 6063181</v>
          </cell>
          <cell r="R51" t="str">
            <v>BONIFICO BANCARIO, ALLA DATA DELLA NOSTRA CONFERMA D'ORDINE</v>
          </cell>
          <cell r="X51">
            <v>0.25</v>
          </cell>
          <cell r="Y51">
            <v>-0.04</v>
          </cell>
          <cell r="AB51">
            <v>0.25</v>
          </cell>
          <cell r="AC51">
            <v>0.25</v>
          </cell>
          <cell r="AD51">
            <v>0.25</v>
          </cell>
          <cell r="AE51">
            <v>0.25</v>
          </cell>
          <cell r="AF51">
            <v>0.25</v>
          </cell>
          <cell r="AG51">
            <v>0.25</v>
          </cell>
          <cell r="AH51">
            <v>0.25</v>
          </cell>
          <cell r="AI51">
            <v>0.25</v>
          </cell>
          <cell r="AJ51">
            <v>0.25</v>
          </cell>
          <cell r="AK51">
            <v>0.25</v>
          </cell>
          <cell r="AL51">
            <v>0.25</v>
          </cell>
          <cell r="AM51">
            <v>0.25</v>
          </cell>
          <cell r="AN51">
            <v>0.25</v>
          </cell>
          <cell r="AO51">
            <v>0.25</v>
          </cell>
          <cell r="AP51">
            <v>0.25</v>
          </cell>
          <cell r="AQ51">
            <v>0.25</v>
          </cell>
          <cell r="AR51">
            <v>0.25</v>
          </cell>
          <cell r="AS51">
            <v>0.25</v>
          </cell>
          <cell r="AT51">
            <v>-0.04</v>
          </cell>
          <cell r="AU51">
            <v>0.92</v>
          </cell>
          <cell r="AV51">
            <v>20</v>
          </cell>
          <cell r="AY51" t="str">
            <v/>
          </cell>
          <cell r="AZ51">
            <v>0.25</v>
          </cell>
          <cell r="BA51">
            <v>0.25</v>
          </cell>
        </row>
        <row r="52">
          <cell r="A52" t="str">
            <v>AD SERRAMENTI</v>
          </cell>
          <cell r="D52" t="str">
            <v>VIA MARCONI, 258</v>
          </cell>
          <cell r="E52">
            <v>30022</v>
          </cell>
          <cell r="F52" t="str">
            <v>CEGGIA</v>
          </cell>
          <cell r="G52" t="str">
            <v>VE</v>
          </cell>
          <cell r="H52" t="str">
            <v>ITALIA</v>
          </cell>
          <cell r="I52" t="str">
            <v>SMNPRI69D43L736H</v>
          </cell>
          <cell r="J52" t="str">
            <v>04028270272</v>
          </cell>
          <cell r="M52" t="str">
            <v>UFFICIO ACQUISTI</v>
          </cell>
          <cell r="O52" t="str">
            <v>345 4877268</v>
          </cell>
          <cell r="P52" t="str">
            <v>commerciale@adserramenti.it</v>
          </cell>
          <cell r="R52" t="str">
            <v>BONIFICO BANCARIO, ALLA DATA DELLA NOSTRA CONFERMA D'ORDINE</v>
          </cell>
          <cell r="X52">
            <v>0.25</v>
          </cell>
          <cell r="Y52">
            <v>-0.04</v>
          </cell>
          <cell r="AB52">
            <v>0.25</v>
          </cell>
          <cell r="AC52">
            <v>0.25</v>
          </cell>
          <cell r="AD52">
            <v>0.25</v>
          </cell>
          <cell r="AE52">
            <v>0.25</v>
          </cell>
          <cell r="AF52">
            <v>0.25</v>
          </cell>
          <cell r="AG52">
            <v>0.25</v>
          </cell>
          <cell r="AH52">
            <v>0.25</v>
          </cell>
          <cell r="AI52">
            <v>0.25</v>
          </cell>
          <cell r="AJ52">
            <v>0.25</v>
          </cell>
          <cell r="AK52">
            <v>0.25</v>
          </cell>
          <cell r="AL52">
            <v>0.25</v>
          </cell>
          <cell r="AM52">
            <v>0.25</v>
          </cell>
          <cell r="AN52">
            <v>0.25</v>
          </cell>
          <cell r="AO52">
            <v>0.25</v>
          </cell>
          <cell r="AP52">
            <v>0.25</v>
          </cell>
          <cell r="AQ52">
            <v>0.25</v>
          </cell>
          <cell r="AR52">
            <v>0.25</v>
          </cell>
          <cell r="AS52">
            <v>0.25</v>
          </cell>
          <cell r="AT52">
            <v>-0.04</v>
          </cell>
          <cell r="AU52">
            <v>0.92</v>
          </cell>
          <cell r="AV52">
            <v>20</v>
          </cell>
          <cell r="AY52" t="str">
            <v/>
          </cell>
          <cell r="AZ52">
            <v>0.25</v>
          </cell>
          <cell r="BA52">
            <v>0.25</v>
          </cell>
        </row>
        <row r="53">
          <cell r="A53" t="str">
            <v>ADDIS DAVIDE INFISSI IN ALLUMINIO</v>
          </cell>
          <cell r="D53" t="str">
            <v>VIA GIUSEPPE VERDI, 12</v>
          </cell>
          <cell r="E53" t="str">
            <v>07029</v>
          </cell>
          <cell r="F53" t="str">
            <v>TEMPIO PAUSANIA</v>
          </cell>
          <cell r="G53" t="str">
            <v>SS</v>
          </cell>
          <cell r="H53" t="str">
            <v>ITALIA</v>
          </cell>
          <cell r="J53" t="str">
            <v>01935740900</v>
          </cell>
          <cell r="M53" t="str">
            <v>UFFICIO ACQUISTI</v>
          </cell>
          <cell r="N53" t="str">
            <v>079 670239</v>
          </cell>
          <cell r="O53" t="str">
            <v>347 2917922</v>
          </cell>
          <cell r="R53" t="str">
            <v>BONIFICO BANCARIO, ALLA DATA DELLA NOSTRA CONFERMA D'ORDINE</v>
          </cell>
          <cell r="X53">
            <v>0.2</v>
          </cell>
          <cell r="Y53">
            <v>-0.04</v>
          </cell>
          <cell r="AB53">
            <v>0.2</v>
          </cell>
          <cell r="AC53">
            <v>0.2</v>
          </cell>
          <cell r="AD53">
            <v>0.2</v>
          </cell>
          <cell r="AE53">
            <v>0.2</v>
          </cell>
          <cell r="AF53">
            <v>0.2</v>
          </cell>
          <cell r="AG53">
            <v>0.2</v>
          </cell>
          <cell r="AH53">
            <v>0.2</v>
          </cell>
          <cell r="AI53">
            <v>0.2</v>
          </cell>
          <cell r="AJ53">
            <v>0.2</v>
          </cell>
          <cell r="AK53">
            <v>0.2</v>
          </cell>
          <cell r="AL53">
            <v>0.2</v>
          </cell>
          <cell r="AM53">
            <v>0.2</v>
          </cell>
          <cell r="AN53">
            <v>0.2</v>
          </cell>
          <cell r="AO53">
            <v>0.2</v>
          </cell>
          <cell r="AP53">
            <v>0.2</v>
          </cell>
          <cell r="AQ53">
            <v>0.2</v>
          </cell>
          <cell r="AR53">
            <v>0.2</v>
          </cell>
          <cell r="AS53">
            <v>0.2</v>
          </cell>
          <cell r="AT53">
            <v>-0.04</v>
          </cell>
          <cell r="AU53">
            <v>0.92</v>
          </cell>
          <cell r="AV53">
            <v>20</v>
          </cell>
          <cell r="AZ53">
            <v>0.2</v>
          </cell>
          <cell r="BA53">
            <v>0.2</v>
          </cell>
        </row>
        <row r="54">
          <cell r="A54" t="str">
            <v xml:space="preserve">ADIGE INFISSI </v>
          </cell>
          <cell r="D54" t="str">
            <v>VIA MATTEOTTI, 3 C</v>
          </cell>
          <cell r="E54">
            <v>38065</v>
          </cell>
          <cell r="F54" t="str">
            <v>MORI</v>
          </cell>
          <cell r="G54" t="str">
            <v>TN</v>
          </cell>
          <cell r="H54" t="str">
            <v>ITALIA</v>
          </cell>
          <cell r="M54" t="str">
            <v>UFFICIO ACQUISTI</v>
          </cell>
          <cell r="N54" t="str">
            <v>0464 919022</v>
          </cell>
          <cell r="P54" t="str">
            <v>info@adigeinfissi.it</v>
          </cell>
          <cell r="R54" t="str">
            <v>BONIFICO BANCARIO, ALLA DATA DELLA NOSTRA CONFERMA D'ORDINE</v>
          </cell>
          <cell r="X54">
            <v>0.25</v>
          </cell>
          <cell r="Y54">
            <v>-0.04</v>
          </cell>
          <cell r="AB54">
            <v>0.25</v>
          </cell>
          <cell r="AC54">
            <v>0.25</v>
          </cell>
          <cell r="AD54">
            <v>0.25</v>
          </cell>
          <cell r="AE54">
            <v>0.25</v>
          </cell>
          <cell r="AF54">
            <v>0.25</v>
          </cell>
          <cell r="AG54">
            <v>0.25</v>
          </cell>
          <cell r="AH54">
            <v>0.25</v>
          </cell>
          <cell r="AI54">
            <v>0.25</v>
          </cell>
          <cell r="AJ54">
            <v>0.25</v>
          </cell>
          <cell r="AK54">
            <v>0.25</v>
          </cell>
          <cell r="AL54">
            <v>0.25</v>
          </cell>
          <cell r="AM54">
            <v>0.25</v>
          </cell>
          <cell r="AN54">
            <v>0.25</v>
          </cell>
          <cell r="AO54">
            <v>0.25</v>
          </cell>
          <cell r="AP54">
            <v>0.25</v>
          </cell>
          <cell r="AQ54">
            <v>0.25</v>
          </cell>
          <cell r="AR54">
            <v>0.25</v>
          </cell>
          <cell r="AS54">
            <v>0.25</v>
          </cell>
          <cell r="AT54">
            <v>-0.04</v>
          </cell>
          <cell r="AU54">
            <v>0.92</v>
          </cell>
          <cell r="AV54">
            <v>20</v>
          </cell>
          <cell r="AY54" t="str">
            <v/>
          </cell>
          <cell r="AZ54">
            <v>0.25</v>
          </cell>
          <cell r="BA54">
            <v>0.25</v>
          </cell>
        </row>
        <row r="55">
          <cell r="A55" t="str">
            <v>ADINFISSI</v>
          </cell>
          <cell r="D55" t="str">
            <v>VIA NETTUNENSE, 235/a</v>
          </cell>
          <cell r="E55" t="str">
            <v>04011</v>
          </cell>
          <cell r="F55" t="str">
            <v>APRILIA</v>
          </cell>
          <cell r="G55" t="str">
            <v>LT</v>
          </cell>
          <cell r="H55" t="str">
            <v>ITALIA</v>
          </cell>
          <cell r="K55" t="str">
            <v>W7YVJK9</v>
          </cell>
          <cell r="M55" t="str">
            <v>UFFICIO ACQUISTI</v>
          </cell>
          <cell r="N55" t="str">
            <v>06 92730216</v>
          </cell>
          <cell r="O55" t="str">
            <v>393 9987060</v>
          </cell>
          <cell r="P55" t="str">
            <v>ediliziainfissi@hotmail.com</v>
          </cell>
          <cell r="R55" t="str">
            <v>BONIFICO BANCARIO, ALLA DATA DELLA NOSTRA CONFERMA D'ORDINE</v>
          </cell>
          <cell r="X55">
            <v>0.2</v>
          </cell>
          <cell r="Y55">
            <v>-0.04</v>
          </cell>
          <cell r="AB55">
            <v>0.2</v>
          </cell>
          <cell r="AC55">
            <v>0.2</v>
          </cell>
          <cell r="AD55">
            <v>0.2</v>
          </cell>
          <cell r="AE55">
            <v>0.2</v>
          </cell>
          <cell r="AF55">
            <v>0.2</v>
          </cell>
          <cell r="AG55">
            <v>0.2</v>
          </cell>
          <cell r="AH55">
            <v>0.2</v>
          </cell>
          <cell r="AI55">
            <v>0.2</v>
          </cell>
          <cell r="AJ55">
            <v>0.2</v>
          </cell>
          <cell r="AK55">
            <v>0.2</v>
          </cell>
          <cell r="AL55">
            <v>0.2</v>
          </cell>
          <cell r="AM55">
            <v>0.2</v>
          </cell>
          <cell r="AN55">
            <v>0.2</v>
          </cell>
          <cell r="AO55">
            <v>0.2</v>
          </cell>
          <cell r="AP55">
            <v>0.2</v>
          </cell>
          <cell r="AQ55">
            <v>0.2</v>
          </cell>
          <cell r="AR55">
            <v>0.2</v>
          </cell>
          <cell r="AS55">
            <v>0.2</v>
          </cell>
          <cell r="AT55">
            <v>-0.04</v>
          </cell>
          <cell r="AU55">
            <v>0.92</v>
          </cell>
          <cell r="AV55">
            <v>20</v>
          </cell>
          <cell r="AZ55">
            <v>0.2</v>
          </cell>
          <cell r="BA55">
            <v>0.2</v>
          </cell>
        </row>
        <row r="56">
          <cell r="A56" t="str">
            <v xml:space="preserve">ADINFISSI </v>
          </cell>
          <cell r="D56" t="str">
            <v>VIA NETTUNESE, 235A</v>
          </cell>
          <cell r="E56" t="str">
            <v>04011</v>
          </cell>
          <cell r="F56" t="str">
            <v>APRILIA</v>
          </cell>
          <cell r="G56" t="str">
            <v>LT</v>
          </cell>
          <cell r="H56" t="str">
            <v>ITALIA</v>
          </cell>
          <cell r="J56" t="str">
            <v>02745950598</v>
          </cell>
          <cell r="K56" t="str">
            <v>W7YVJK9</v>
          </cell>
          <cell r="M56" t="str">
            <v>UFFICIO ACQUISTI</v>
          </cell>
          <cell r="N56" t="str">
            <v>06 92730216</v>
          </cell>
          <cell r="O56" t="str">
            <v>393 9987060</v>
          </cell>
          <cell r="P56" t="str">
            <v>ediliziaedinfissi@hotmail.com</v>
          </cell>
          <cell r="R56" t="str">
            <v>BONIFICO BANCARIO, ALLA DATA DELLA NOSTRA CONFERMA D'ORDINE</v>
          </cell>
          <cell r="X56">
            <v>0.25</v>
          </cell>
          <cell r="Y56">
            <v>-0.04</v>
          </cell>
          <cell r="AB56">
            <v>0.25</v>
          </cell>
          <cell r="AC56">
            <v>0.25</v>
          </cell>
          <cell r="AD56">
            <v>0.25</v>
          </cell>
          <cell r="AE56">
            <v>0.25</v>
          </cell>
          <cell r="AF56">
            <v>0.25</v>
          </cell>
          <cell r="AG56">
            <v>0.25</v>
          </cell>
          <cell r="AH56">
            <v>0.25</v>
          </cell>
          <cell r="AI56">
            <v>0.25</v>
          </cell>
          <cell r="AJ56">
            <v>0.25</v>
          </cell>
          <cell r="AK56">
            <v>0.25</v>
          </cell>
          <cell r="AL56">
            <v>0.25</v>
          </cell>
          <cell r="AM56">
            <v>0.25</v>
          </cell>
          <cell r="AN56">
            <v>0.25</v>
          </cell>
          <cell r="AO56">
            <v>0.25</v>
          </cell>
          <cell r="AP56">
            <v>0.25</v>
          </cell>
          <cell r="AQ56">
            <v>0.25</v>
          </cell>
          <cell r="AR56">
            <v>0.25</v>
          </cell>
          <cell r="AS56">
            <v>0.25</v>
          </cell>
          <cell r="AT56">
            <v>-0.04</v>
          </cell>
          <cell r="AU56">
            <v>0.92</v>
          </cell>
          <cell r="AV56">
            <v>20</v>
          </cell>
          <cell r="AZ56">
            <v>0.25</v>
          </cell>
          <cell r="BA56">
            <v>0.25</v>
          </cell>
        </row>
        <row r="57">
          <cell r="A57" t="str">
            <v>ADRIANO &amp; RINALDI snc</v>
          </cell>
          <cell r="D57" t="str">
            <v>VIA NUVOLONE, 62</v>
          </cell>
          <cell r="E57">
            <v>18018</v>
          </cell>
          <cell r="F57" t="str">
            <v>ARMA DI TAGGIA</v>
          </cell>
          <cell r="G57" t="str">
            <v>IM</v>
          </cell>
          <cell r="H57" t="str">
            <v>ITALIA</v>
          </cell>
          <cell r="I57" t="str">
            <v>01199560085</v>
          </cell>
          <cell r="J57" t="str">
            <v>01199560085</v>
          </cell>
          <cell r="M57" t="str">
            <v>UFFICIO ACQUISTI</v>
          </cell>
          <cell r="N57" t="str">
            <v>0184 42394</v>
          </cell>
          <cell r="O57" t="str">
            <v>338 4838370</v>
          </cell>
          <cell r="P57" t="str">
            <v>info@adrianoerinaldi.it</v>
          </cell>
          <cell r="R57" t="str">
            <v>BONIFICO BANCARIO, ALLA DATA DELLA NOSTRA CONFERMA D'ORDINE</v>
          </cell>
          <cell r="X57">
            <v>0.25</v>
          </cell>
          <cell r="Y57">
            <v>-0.04</v>
          </cell>
          <cell r="AB57">
            <v>0.25</v>
          </cell>
          <cell r="AC57">
            <v>0.25</v>
          </cell>
          <cell r="AD57">
            <v>0.25</v>
          </cell>
          <cell r="AE57">
            <v>0.25</v>
          </cell>
          <cell r="AF57">
            <v>0.25</v>
          </cell>
          <cell r="AG57">
            <v>0.25</v>
          </cell>
          <cell r="AH57">
            <v>0.25</v>
          </cell>
          <cell r="AI57">
            <v>0.25</v>
          </cell>
          <cell r="AJ57">
            <v>0.25</v>
          </cell>
          <cell r="AK57">
            <v>0.25</v>
          </cell>
          <cell r="AL57">
            <v>0.25</v>
          </cell>
          <cell r="AM57">
            <v>0.25</v>
          </cell>
          <cell r="AN57">
            <v>0.25</v>
          </cell>
          <cell r="AO57">
            <v>0.25</v>
          </cell>
          <cell r="AP57">
            <v>0.25</v>
          </cell>
          <cell r="AQ57">
            <v>0.25</v>
          </cell>
          <cell r="AR57">
            <v>0.25</v>
          </cell>
          <cell r="AS57">
            <v>0.25</v>
          </cell>
          <cell r="AT57">
            <v>-0.04</v>
          </cell>
          <cell r="AU57">
            <v>0.92</v>
          </cell>
          <cell r="AV57">
            <v>20</v>
          </cell>
          <cell r="AY57" t="str">
            <v/>
          </cell>
          <cell r="AZ57">
            <v>0.25</v>
          </cell>
          <cell r="BA57">
            <v>0.25</v>
          </cell>
          <cell r="BF57" t="str">
            <v>CLICK RAPID con carpenteria 09/12/2020</v>
          </cell>
        </row>
        <row r="58">
          <cell r="A58" t="str">
            <v>AEFFE SERRAMENTI</v>
          </cell>
          <cell r="D58" t="str">
            <v>VICOLO FONTANA, 49</v>
          </cell>
          <cell r="E58">
            <v>18010</v>
          </cell>
          <cell r="F58" t="str">
            <v>BADALUCCO</v>
          </cell>
          <cell r="G58" t="str">
            <v>IM</v>
          </cell>
          <cell r="H58" t="str">
            <v>ITALIA</v>
          </cell>
          <cell r="J58" t="str">
            <v>01637350081</v>
          </cell>
          <cell r="M58" t="str">
            <v>UFFICIO ACQUISTI</v>
          </cell>
          <cell r="N58" t="str">
            <v>393 7726856</v>
          </cell>
          <cell r="P58" t="str">
            <v>infoaeffeserramenti@gmail.com</v>
          </cell>
          <cell r="R58" t="str">
            <v>BONIFICO BANCARIO, ALLA DATA DELLA NOSTRA CONFERMA D'ORDINE</v>
          </cell>
          <cell r="X58">
            <v>0.25</v>
          </cell>
          <cell r="Y58">
            <v>-0.04</v>
          </cell>
          <cell r="AB58">
            <v>0.25</v>
          </cell>
          <cell r="AC58">
            <v>0.25</v>
          </cell>
          <cell r="AD58">
            <v>0.25</v>
          </cell>
          <cell r="AE58">
            <v>0.25</v>
          </cell>
          <cell r="AF58">
            <v>0.25</v>
          </cell>
          <cell r="AG58">
            <v>0.25</v>
          </cell>
          <cell r="AH58">
            <v>0.25</v>
          </cell>
          <cell r="AI58">
            <v>0.25</v>
          </cell>
          <cell r="AJ58">
            <v>0.25</v>
          </cell>
          <cell r="AK58">
            <v>0.25</v>
          </cell>
          <cell r="AL58">
            <v>0.25</v>
          </cell>
          <cell r="AM58">
            <v>0.25</v>
          </cell>
          <cell r="AN58">
            <v>0.25</v>
          </cell>
          <cell r="AO58">
            <v>0.25</v>
          </cell>
          <cell r="AP58">
            <v>0.25</v>
          </cell>
          <cell r="AQ58">
            <v>0.25</v>
          </cell>
          <cell r="AR58">
            <v>0.25</v>
          </cell>
          <cell r="AS58">
            <v>0.25</v>
          </cell>
          <cell r="AT58">
            <v>-0.04</v>
          </cell>
          <cell r="AU58">
            <v>0.92</v>
          </cell>
          <cell r="AV58">
            <v>20</v>
          </cell>
          <cell r="AY58" t="str">
            <v/>
          </cell>
          <cell r="AZ58">
            <v>0.25</v>
          </cell>
          <cell r="BA58">
            <v>0.25</v>
          </cell>
        </row>
        <row r="59">
          <cell r="A59" t="str">
            <v>AEMME DI MATTINZOLI MARCO</v>
          </cell>
          <cell r="D59" t="str">
            <v>VIA FRASSINO, 1 A</v>
          </cell>
          <cell r="E59" t="str">
            <v>37019</v>
          </cell>
          <cell r="F59" t="str">
            <v>PESCHIERA DEL GARDA</v>
          </cell>
          <cell r="G59" t="str">
            <v>VR</v>
          </cell>
          <cell r="H59" t="str">
            <v>ITALIA</v>
          </cell>
          <cell r="J59" t="str">
            <v>04067280232</v>
          </cell>
          <cell r="M59" t="str">
            <v>UFFICIO ACQUISTI</v>
          </cell>
          <cell r="N59" t="str">
            <v>045 6400119</v>
          </cell>
          <cell r="R59" t="str">
            <v>BONIFICO BANCARIO, ALLA DATA DELLA NOSTRA CONFERMA D'ORDINE</v>
          </cell>
          <cell r="Y59">
            <v>-0.04</v>
          </cell>
          <cell r="AT59">
            <v>-0.04</v>
          </cell>
          <cell r="AV59">
            <v>20</v>
          </cell>
          <cell r="AZ59">
            <v>0</v>
          </cell>
          <cell r="BA59">
            <v>0</v>
          </cell>
        </row>
        <row r="60">
          <cell r="A60" t="str">
            <v xml:space="preserve">AEMME SERRAMENTI DI MICHELE ANNESE </v>
          </cell>
          <cell r="B60" t="str">
            <v>PARLATO CON SIMONA</v>
          </cell>
          <cell r="D60" t="str">
            <v>VIA UGO LA MALFA 4</v>
          </cell>
          <cell r="E60" t="str">
            <v>70056</v>
          </cell>
          <cell r="F60" t="str">
            <v>MOLFETTA</v>
          </cell>
          <cell r="G60" t="str">
            <v>BA</v>
          </cell>
          <cell r="H60" t="str">
            <v>ITALIA</v>
          </cell>
          <cell r="J60" t="str">
            <v>00236318887</v>
          </cell>
          <cell r="M60" t="str">
            <v>UFFICIO ACQUISTI</v>
          </cell>
          <cell r="N60" t="str">
            <v>080 3327125</v>
          </cell>
          <cell r="P60" t="str">
            <v>amministrazioneamser@gmail.com</v>
          </cell>
          <cell r="R60" t="str">
            <v>BONIFICO BANCARIO, ALLA DATA DELLA NOSTRA CONFERMA D'ORDINE</v>
          </cell>
          <cell r="X60">
            <v>0.25</v>
          </cell>
          <cell r="Y60">
            <v>-0.04</v>
          </cell>
          <cell r="AB60">
            <v>0.25</v>
          </cell>
          <cell r="AC60">
            <v>0.25</v>
          </cell>
          <cell r="AD60">
            <v>0.25</v>
          </cell>
          <cell r="AE60">
            <v>0.25</v>
          </cell>
          <cell r="AF60">
            <v>0.25</v>
          </cell>
          <cell r="AG60">
            <v>0.25</v>
          </cell>
          <cell r="AH60">
            <v>0.25</v>
          </cell>
          <cell r="AI60">
            <v>0.25</v>
          </cell>
          <cell r="AJ60">
            <v>0.25</v>
          </cell>
          <cell r="AK60">
            <v>0.25</v>
          </cell>
          <cell r="AL60">
            <v>0.25</v>
          </cell>
          <cell r="AM60">
            <v>0.25</v>
          </cell>
          <cell r="AN60">
            <v>0.25</v>
          </cell>
          <cell r="AO60">
            <v>0.25</v>
          </cell>
          <cell r="AP60">
            <v>0.25</v>
          </cell>
          <cell r="AQ60">
            <v>0.25</v>
          </cell>
          <cell r="AR60">
            <v>0.25</v>
          </cell>
          <cell r="AS60">
            <v>0.25</v>
          </cell>
          <cell r="AT60">
            <v>-0.04</v>
          </cell>
          <cell r="AU60">
            <v>0.92</v>
          </cell>
          <cell r="AV60">
            <v>20</v>
          </cell>
          <cell r="AY60" t="str">
            <v/>
          </cell>
          <cell r="AZ60">
            <v>0.25</v>
          </cell>
          <cell r="BA60">
            <v>0.25</v>
          </cell>
        </row>
        <row r="61">
          <cell r="A61" t="str">
            <v>AERIS SRL</v>
          </cell>
          <cell r="D61" t="str">
            <v>VIA FONTANA REGINA</v>
          </cell>
          <cell r="E61" t="str">
            <v>03040</v>
          </cell>
          <cell r="F61" t="str">
            <v>VILLA LATINA</v>
          </cell>
          <cell r="G61" t="str">
            <v>FR</v>
          </cell>
          <cell r="H61" t="str">
            <v>ITALIA</v>
          </cell>
          <cell r="M61" t="str">
            <v>UFFICIO ACQUISTI</v>
          </cell>
          <cell r="N61" t="str">
            <v>0776 688121</v>
          </cell>
          <cell r="P61" t="str">
            <v>aeris@aeris.it</v>
          </cell>
          <cell r="R61" t="str">
            <v>BONIFICO BANCARIO, ALLA DATA DELLA NOSTRA CONFERMA D'ORDINE</v>
          </cell>
          <cell r="X61">
            <v>0.25</v>
          </cell>
          <cell r="Y61">
            <v>-0.04</v>
          </cell>
          <cell r="AB61">
            <v>0.25</v>
          </cell>
          <cell r="AC61">
            <v>0.25</v>
          </cell>
          <cell r="AD61">
            <v>0.25</v>
          </cell>
          <cell r="AE61">
            <v>0.25</v>
          </cell>
          <cell r="AF61">
            <v>0.25</v>
          </cell>
          <cell r="AG61">
            <v>0.25</v>
          </cell>
          <cell r="AH61">
            <v>0.25</v>
          </cell>
          <cell r="AI61">
            <v>0.25</v>
          </cell>
          <cell r="AJ61">
            <v>0.25</v>
          </cell>
          <cell r="AK61">
            <v>0.25</v>
          </cell>
          <cell r="AL61">
            <v>0.25</v>
          </cell>
          <cell r="AM61">
            <v>0.25</v>
          </cell>
          <cell r="AN61">
            <v>0.25</v>
          </cell>
          <cell r="AO61">
            <v>0.25</v>
          </cell>
          <cell r="AP61">
            <v>0.25</v>
          </cell>
          <cell r="AQ61">
            <v>0.25</v>
          </cell>
          <cell r="AR61">
            <v>0.25</v>
          </cell>
          <cell r="AS61">
            <v>0.25</v>
          </cell>
          <cell r="AT61">
            <v>-0.04</v>
          </cell>
          <cell r="AU61">
            <v>0.92</v>
          </cell>
          <cell r="AV61">
            <v>20</v>
          </cell>
          <cell r="AZ61">
            <v>0.25</v>
          </cell>
          <cell r="BA61">
            <v>0.25</v>
          </cell>
        </row>
        <row r="62">
          <cell r="A62" t="str">
            <v>AERRE SERRAMENTI</v>
          </cell>
          <cell r="D62" t="str">
            <v xml:space="preserve">CORSO MILANO, 46 48 </v>
          </cell>
          <cell r="E62">
            <v>37138</v>
          </cell>
          <cell r="F62" t="str">
            <v>VERONA</v>
          </cell>
          <cell r="G62" t="str">
            <v>VR</v>
          </cell>
          <cell r="H62" t="str">
            <v>ITALIA</v>
          </cell>
          <cell r="M62" t="str">
            <v>UFFICIO ACQUISTI</v>
          </cell>
          <cell r="N62" t="str">
            <v>045 575766</v>
          </cell>
          <cell r="O62" t="str">
            <v>348 6920027</v>
          </cell>
          <cell r="P62" t="str">
            <v>info@aerreserramentiverona.it</v>
          </cell>
          <cell r="R62" t="str">
            <v>BONIFICO BANCARIO, ALLA DATA DELLA NOSTRA CONFERMA D'ORDINE</v>
          </cell>
          <cell r="X62">
            <v>0.25</v>
          </cell>
          <cell r="Y62">
            <v>-0.04</v>
          </cell>
          <cell r="AB62">
            <v>0.25</v>
          </cell>
          <cell r="AC62">
            <v>0.25</v>
          </cell>
          <cell r="AD62">
            <v>0.25</v>
          </cell>
          <cell r="AE62">
            <v>0.25</v>
          </cell>
          <cell r="AF62">
            <v>0.25</v>
          </cell>
          <cell r="AG62">
            <v>0.25</v>
          </cell>
          <cell r="AH62">
            <v>0.25</v>
          </cell>
          <cell r="AI62">
            <v>0.25</v>
          </cell>
          <cell r="AJ62">
            <v>0.25</v>
          </cell>
          <cell r="AK62">
            <v>0.25</v>
          </cell>
          <cell r="AL62">
            <v>0.25</v>
          </cell>
          <cell r="AM62">
            <v>0.25</v>
          </cell>
          <cell r="AN62">
            <v>0.25</v>
          </cell>
          <cell r="AO62">
            <v>0.25</v>
          </cell>
          <cell r="AP62">
            <v>0.25</v>
          </cell>
          <cell r="AQ62">
            <v>0.25</v>
          </cell>
          <cell r="AR62">
            <v>0.25</v>
          </cell>
          <cell r="AS62">
            <v>0.25</v>
          </cell>
          <cell r="AT62">
            <v>-0.04</v>
          </cell>
          <cell r="AU62">
            <v>0.92</v>
          </cell>
          <cell r="AV62">
            <v>20</v>
          </cell>
          <cell r="AY62" t="str">
            <v/>
          </cell>
          <cell r="AZ62">
            <v>0.25</v>
          </cell>
          <cell r="BA62">
            <v>0.25</v>
          </cell>
        </row>
        <row r="63">
          <cell r="A63" t="str">
            <v>AF DESIGN SERRAMENTI DI CHIRICO PIETRO</v>
          </cell>
          <cell r="D63" t="str">
            <v>VIA SBARRE CENTRALI, 463/A</v>
          </cell>
          <cell r="E63" t="str">
            <v>89132</v>
          </cell>
          <cell r="F63" t="str">
            <v>REGGIO CALABRIA</v>
          </cell>
          <cell r="G63" t="str">
            <v>RC</v>
          </cell>
          <cell r="H63" t="str">
            <v>ITALIA</v>
          </cell>
          <cell r="J63" t="str">
            <v>02617050808</v>
          </cell>
          <cell r="K63" t="str">
            <v>M5UXCR1</v>
          </cell>
          <cell r="M63" t="str">
            <v>UFFICIO ACQUISTI</v>
          </cell>
          <cell r="N63" t="str">
            <v>0965 53556</v>
          </cell>
          <cell r="O63" t="str">
            <v>347 3909458</v>
          </cell>
          <cell r="P63" t="str">
            <v>info@afdesignserramenti.it</v>
          </cell>
          <cell r="R63" t="str">
            <v>BONIFICO BANCARIO, ALLA DATA DELLA NOSTRA CONFERMA D'ORDINE</v>
          </cell>
          <cell r="X63">
            <v>0.25</v>
          </cell>
          <cell r="Y63">
            <v>-0.04</v>
          </cell>
          <cell r="AB63">
            <v>0.25</v>
          </cell>
          <cell r="AC63">
            <v>0.25</v>
          </cell>
          <cell r="AD63">
            <v>0.25</v>
          </cell>
          <cell r="AE63">
            <v>0.25</v>
          </cell>
          <cell r="AF63">
            <v>0.25</v>
          </cell>
          <cell r="AG63">
            <v>0.25</v>
          </cell>
          <cell r="AH63">
            <v>0.25</v>
          </cell>
          <cell r="AI63">
            <v>0.25</v>
          </cell>
          <cell r="AJ63">
            <v>0.25</v>
          </cell>
          <cell r="AK63">
            <v>0.25</v>
          </cell>
          <cell r="AL63">
            <v>0.25</v>
          </cell>
          <cell r="AM63">
            <v>0.25</v>
          </cell>
          <cell r="AN63">
            <v>0.25</v>
          </cell>
          <cell r="AO63">
            <v>0.25</v>
          </cell>
          <cell r="AP63">
            <v>0.25</v>
          </cell>
          <cell r="AQ63">
            <v>0.25</v>
          </cell>
          <cell r="AR63">
            <v>0.25</v>
          </cell>
          <cell r="AS63">
            <v>0.25</v>
          </cell>
          <cell r="AT63">
            <v>-0.04</v>
          </cell>
          <cell r="AU63">
            <v>0.92</v>
          </cell>
          <cell r="AV63">
            <v>20</v>
          </cell>
          <cell r="AW63" t="str">
            <v>PIETRO OLIVADOTI</v>
          </cell>
          <cell r="AX63">
            <v>0.95</v>
          </cell>
          <cell r="AY63" t="str">
            <v/>
          </cell>
          <cell r="AZ63">
            <v>0.25</v>
          </cell>
          <cell r="BA63">
            <v>0.25</v>
          </cell>
        </row>
        <row r="64">
          <cell r="A64" t="str">
            <v xml:space="preserve">AF INTERNI DI SIMON FABIO E ANONELLA FUMIS </v>
          </cell>
          <cell r="D64" t="str">
            <v>VIA BOITO 18</v>
          </cell>
          <cell r="E64" t="str">
            <v xml:space="preserve">34074 </v>
          </cell>
          <cell r="F64" t="str">
            <v>MONFALCONE</v>
          </cell>
          <cell r="G64" t="str">
            <v>GO</v>
          </cell>
          <cell r="H64" t="str">
            <v>ITALIA</v>
          </cell>
          <cell r="M64" t="str">
            <v>UFFICIO ACQUISTI</v>
          </cell>
          <cell r="N64" t="str">
            <v>0481 286686</v>
          </cell>
          <cell r="O64" t="str">
            <v>393 1970510</v>
          </cell>
          <cell r="P64" t="str">
            <v>afinstallazioni@gmail.com</v>
          </cell>
          <cell r="R64" t="str">
            <v>BONIFICO BANCARIO, ALLA DATA DELLA NOSTRA CONFERMA D'ORDINE</v>
          </cell>
          <cell r="X64">
            <v>0.25</v>
          </cell>
          <cell r="Y64">
            <v>-0.04</v>
          </cell>
          <cell r="AB64">
            <v>0.25</v>
          </cell>
          <cell r="AC64">
            <v>0.25</v>
          </cell>
          <cell r="AD64">
            <v>0.25</v>
          </cell>
          <cell r="AE64">
            <v>0.25</v>
          </cell>
          <cell r="AF64">
            <v>0.25</v>
          </cell>
          <cell r="AG64">
            <v>0.25</v>
          </cell>
          <cell r="AH64">
            <v>0.25</v>
          </cell>
          <cell r="AI64">
            <v>0.25</v>
          </cell>
          <cell r="AJ64">
            <v>0.25</v>
          </cell>
          <cell r="AK64">
            <v>0.25</v>
          </cell>
          <cell r="AL64">
            <v>0.25</v>
          </cell>
          <cell r="AM64">
            <v>0.25</v>
          </cell>
          <cell r="AN64">
            <v>0.25</v>
          </cell>
          <cell r="AO64">
            <v>0.25</v>
          </cell>
          <cell r="AP64">
            <v>0.25</v>
          </cell>
          <cell r="AQ64">
            <v>0.25</v>
          </cell>
          <cell r="AR64">
            <v>0.25</v>
          </cell>
          <cell r="AS64">
            <v>0.25</v>
          </cell>
          <cell r="AT64">
            <v>-0.04</v>
          </cell>
          <cell r="AU64">
            <v>0.92</v>
          </cell>
          <cell r="AV64">
            <v>20</v>
          </cell>
          <cell r="AZ64">
            <v>0.25</v>
          </cell>
          <cell r="BA64">
            <v>0.25</v>
          </cell>
        </row>
        <row r="65">
          <cell r="A65" t="str">
            <v>AGEDIL SRL</v>
          </cell>
          <cell r="B65" t="str">
            <v>SERGIO CONTINI</v>
          </cell>
          <cell r="D65" t="str">
            <v>VIA ERIDANIA 78/13</v>
          </cell>
          <cell r="E65" t="str">
            <v>45030</v>
          </cell>
          <cell r="F65" t="str">
            <v xml:space="preserve">S.M.MADDALENA  </v>
          </cell>
          <cell r="G65" t="str">
            <v>RO</v>
          </cell>
          <cell r="H65" t="str">
            <v>ITALIA</v>
          </cell>
          <cell r="J65" t="str">
            <v>01278970296</v>
          </cell>
          <cell r="M65" t="str">
            <v>UFFICIO ACQUISTI</v>
          </cell>
          <cell r="N65" t="str">
            <v>0425 750993</v>
          </cell>
          <cell r="O65" t="str">
            <v>3475719547</v>
          </cell>
          <cell r="P65" t="str">
            <v>info@agedil.it</v>
          </cell>
          <cell r="R65" t="str">
            <v>BONIFICO BANCARIO, ALLA DATA DELLA NOSTRA CONFERMA D'ORDINE</v>
          </cell>
          <cell r="X65">
            <v>0.25</v>
          </cell>
          <cell r="Y65">
            <v>-0.04</v>
          </cell>
          <cell r="AB65">
            <v>0.25</v>
          </cell>
          <cell r="AC65">
            <v>0.25</v>
          </cell>
          <cell r="AD65">
            <v>0.25</v>
          </cell>
          <cell r="AE65">
            <v>0.25</v>
          </cell>
          <cell r="AF65">
            <v>0.25</v>
          </cell>
          <cell r="AG65">
            <v>0.25</v>
          </cell>
          <cell r="AH65">
            <v>0.25</v>
          </cell>
          <cell r="AI65">
            <v>0.25</v>
          </cell>
          <cell r="AJ65">
            <v>0.25</v>
          </cell>
          <cell r="AK65">
            <v>0.25</v>
          </cell>
          <cell r="AL65">
            <v>0.25</v>
          </cell>
          <cell r="AM65">
            <v>0.25</v>
          </cell>
          <cell r="AN65">
            <v>0.25</v>
          </cell>
          <cell r="AO65">
            <v>0.25</v>
          </cell>
          <cell r="AP65">
            <v>0.25</v>
          </cell>
          <cell r="AQ65">
            <v>0.25</v>
          </cell>
          <cell r="AR65">
            <v>0.25</v>
          </cell>
          <cell r="AS65">
            <v>0.25</v>
          </cell>
          <cell r="AT65">
            <v>-0.04</v>
          </cell>
          <cell r="AU65">
            <v>0.92</v>
          </cell>
          <cell r="AV65">
            <v>20</v>
          </cell>
          <cell r="AY65" t="str">
            <v/>
          </cell>
          <cell r="AZ65">
            <v>0.25</v>
          </cell>
          <cell r="BA65">
            <v>0.25</v>
          </cell>
        </row>
        <row r="66">
          <cell r="A66" t="str">
            <v>AGENZIA FUNEBRE DI ALBERTO E LUCA TANGIANU</v>
          </cell>
          <cell r="B66" t="str">
            <v>SOLO BIGLIETTO DA VISITA</v>
          </cell>
          <cell r="D66" t="str">
            <v>LOC.BINGIA MANNA (EX.SS 125 KM 143,200)</v>
          </cell>
          <cell r="E66" t="str">
            <v>08040</v>
          </cell>
          <cell r="F66" t="str">
            <v>GIRASOLE</v>
          </cell>
          <cell r="G66" t="str">
            <v>OG</v>
          </cell>
          <cell r="H66" t="str">
            <v>ITALIA</v>
          </cell>
          <cell r="M66" t="str">
            <v>UFFICIO ACQUISTI</v>
          </cell>
          <cell r="O66" t="str">
            <v>338 4230518</v>
          </cell>
          <cell r="R66" t="str">
            <v>BONIFICO BANCARIO, ALLA DATA DELLA NOSTRA CONFERMA D'ORDINE</v>
          </cell>
          <cell r="X66">
            <v>0.25</v>
          </cell>
          <cell r="Y66">
            <v>-0.04</v>
          </cell>
          <cell r="AB66">
            <v>0.25</v>
          </cell>
          <cell r="AC66">
            <v>0.25</v>
          </cell>
          <cell r="AD66">
            <v>0.25</v>
          </cell>
          <cell r="AE66">
            <v>0.25</v>
          </cell>
          <cell r="AF66">
            <v>0.25</v>
          </cell>
          <cell r="AG66">
            <v>0.25</v>
          </cell>
          <cell r="AH66">
            <v>0.25</v>
          </cell>
          <cell r="AI66">
            <v>0.25</v>
          </cell>
          <cell r="AJ66">
            <v>0.25</v>
          </cell>
          <cell r="AK66">
            <v>0.25</v>
          </cell>
          <cell r="AL66">
            <v>0.25</v>
          </cell>
          <cell r="AM66">
            <v>0.25</v>
          </cell>
          <cell r="AN66">
            <v>0.25</v>
          </cell>
          <cell r="AO66">
            <v>0.25</v>
          </cell>
          <cell r="AP66">
            <v>0.25</v>
          </cell>
          <cell r="AQ66">
            <v>0.25</v>
          </cell>
          <cell r="AR66">
            <v>0.25</v>
          </cell>
          <cell r="AS66">
            <v>0.25</v>
          </cell>
          <cell r="AT66">
            <v>-0.04</v>
          </cell>
          <cell r="AU66">
            <v>0.92</v>
          </cell>
          <cell r="AV66">
            <v>20</v>
          </cell>
          <cell r="AZ66">
            <v>0.25</v>
          </cell>
          <cell r="BA66">
            <v>0.25</v>
          </cell>
        </row>
        <row r="67">
          <cell r="A67" t="str">
            <v>AGICOM LUCA MALLAMO</v>
          </cell>
          <cell r="D67" t="str">
            <v>VIALE CADUTI IN GUERRA 28</v>
          </cell>
          <cell r="F67" t="str">
            <v>CASTELNUOVO DI PORTO</v>
          </cell>
          <cell r="G67" t="str">
            <v>RM</v>
          </cell>
          <cell r="H67" t="str">
            <v>ITALIA</v>
          </cell>
          <cell r="M67" t="str">
            <v>UFFICIO ACQUISTI</v>
          </cell>
          <cell r="N67" t="str">
            <v>06 9078285</v>
          </cell>
          <cell r="O67" t="str">
            <v>335 8225239</v>
          </cell>
          <cell r="P67" t="str">
            <v>lucamallamo@agicom.it</v>
          </cell>
          <cell r="R67" t="str">
            <v>BONIFICO BANCARIO, ALLA DATA DELLA NOSTRA CONFERMA D'ORDINE</v>
          </cell>
          <cell r="X67">
            <v>0.25</v>
          </cell>
          <cell r="Y67">
            <v>-0.04</v>
          </cell>
          <cell r="AB67">
            <v>0.25</v>
          </cell>
          <cell r="AC67">
            <v>0.25</v>
          </cell>
          <cell r="AD67">
            <v>0.25</v>
          </cell>
          <cell r="AE67">
            <v>0.25</v>
          </cell>
          <cell r="AF67">
            <v>0.25</v>
          </cell>
          <cell r="AG67">
            <v>0.25</v>
          </cell>
          <cell r="AH67">
            <v>0.25</v>
          </cell>
          <cell r="AI67">
            <v>0.25</v>
          </cell>
          <cell r="AJ67">
            <v>0.25</v>
          </cell>
          <cell r="AK67">
            <v>0.25</v>
          </cell>
          <cell r="AL67">
            <v>0.25</v>
          </cell>
          <cell r="AM67">
            <v>0.25</v>
          </cell>
          <cell r="AN67">
            <v>0.25</v>
          </cell>
          <cell r="AO67">
            <v>0.25</v>
          </cell>
          <cell r="AP67">
            <v>0.25</v>
          </cell>
          <cell r="AQ67">
            <v>0.25</v>
          </cell>
          <cell r="AR67">
            <v>0.25</v>
          </cell>
          <cell r="AS67">
            <v>0.25</v>
          </cell>
          <cell r="AT67">
            <v>-0.04</v>
          </cell>
          <cell r="AU67">
            <v>0.92</v>
          </cell>
          <cell r="AV67">
            <v>20</v>
          </cell>
          <cell r="AZ67">
            <v>0.25</v>
          </cell>
          <cell r="BA67">
            <v>0.25</v>
          </cell>
        </row>
        <row r="68">
          <cell r="A68" t="str">
            <v>AGOSTINI GROUP</v>
          </cell>
          <cell r="D68" t="str">
            <v>VIA G.PASCOLI, 21</v>
          </cell>
          <cell r="E68" t="str">
            <v>30020</v>
          </cell>
          <cell r="F68" t="str">
            <v>QUARTO D'ALTINO</v>
          </cell>
          <cell r="G68" t="str">
            <v>VE</v>
          </cell>
          <cell r="H68" t="str">
            <v>ITALIA</v>
          </cell>
          <cell r="M68" t="str">
            <v>UFFICIO ACQUISTI</v>
          </cell>
          <cell r="N68" t="str">
            <v>0422 7007</v>
          </cell>
          <cell r="P68" t="str">
            <v>info@agostinigroup.com</v>
          </cell>
          <cell r="R68" t="str">
            <v>BONIFICO BANCARIO, ALLA DATA DELLA NOSTRA CONFERMA D'ORDINE</v>
          </cell>
          <cell r="X68">
            <v>0.25</v>
          </cell>
          <cell r="Y68">
            <v>-0.04</v>
          </cell>
          <cell r="AB68">
            <v>0.25</v>
          </cell>
          <cell r="AC68">
            <v>0.25</v>
          </cell>
          <cell r="AD68">
            <v>0.25</v>
          </cell>
          <cell r="AE68">
            <v>0.25</v>
          </cell>
          <cell r="AF68">
            <v>0.25</v>
          </cell>
          <cell r="AG68">
            <v>0.25</v>
          </cell>
          <cell r="AH68">
            <v>0.25</v>
          </cell>
          <cell r="AI68">
            <v>0.25</v>
          </cell>
          <cell r="AJ68">
            <v>0.25</v>
          </cell>
          <cell r="AK68">
            <v>0.25</v>
          </cell>
          <cell r="AL68">
            <v>0.25</v>
          </cell>
          <cell r="AM68">
            <v>0.25</v>
          </cell>
          <cell r="AN68">
            <v>0.25</v>
          </cell>
          <cell r="AO68">
            <v>0.25</v>
          </cell>
          <cell r="AP68">
            <v>0.25</v>
          </cell>
          <cell r="AQ68">
            <v>0.25</v>
          </cell>
          <cell r="AR68">
            <v>0.25</v>
          </cell>
          <cell r="AS68">
            <v>0.25</v>
          </cell>
          <cell r="AT68">
            <v>-0.04</v>
          </cell>
          <cell r="AU68">
            <v>0.92</v>
          </cell>
          <cell r="AV68">
            <v>20</v>
          </cell>
          <cell r="AZ68">
            <v>0.25</v>
          </cell>
          <cell r="BA68">
            <v>0.25</v>
          </cell>
        </row>
        <row r="69">
          <cell r="A69" t="str">
            <v>AGOSTINI GROUP SRL - BORA BLOC DI LECHI PAOLA</v>
          </cell>
          <cell r="D69" t="str">
            <v>VIA SANT'ANNA 6</v>
          </cell>
          <cell r="F69" t="str">
            <v>MONFALCONE</v>
          </cell>
          <cell r="G69" t="str">
            <v>GO</v>
          </cell>
          <cell r="H69" t="str">
            <v>ITALIA</v>
          </cell>
          <cell r="M69" t="str">
            <v>UFFICIO ACQUISTI</v>
          </cell>
          <cell r="N69" t="str">
            <v>0481 44333</v>
          </cell>
          <cell r="O69" t="str">
            <v>3952 0502452</v>
          </cell>
          <cell r="P69" t="str">
            <v>franco.pilot@agostinigroup.com</v>
          </cell>
          <cell r="R69" t="str">
            <v>BONIFICO BANCARIO, ALLA DATA DELLA NOSTRA CONFERMA D'ORDINE</v>
          </cell>
          <cell r="X69">
            <v>0.25</v>
          </cell>
          <cell r="Y69">
            <v>-0.04</v>
          </cell>
          <cell r="AB69">
            <v>0.25</v>
          </cell>
          <cell r="AC69">
            <v>0.25</v>
          </cell>
          <cell r="AD69">
            <v>0.25</v>
          </cell>
          <cell r="AE69">
            <v>0.25</v>
          </cell>
          <cell r="AF69">
            <v>0.25</v>
          </cell>
          <cell r="AG69">
            <v>0.25</v>
          </cell>
          <cell r="AH69">
            <v>0.25</v>
          </cell>
          <cell r="AI69">
            <v>0.25</v>
          </cell>
          <cell r="AJ69">
            <v>0.25</v>
          </cell>
          <cell r="AK69">
            <v>0.25</v>
          </cell>
          <cell r="AL69">
            <v>0.25</v>
          </cell>
          <cell r="AM69">
            <v>0.25</v>
          </cell>
          <cell r="AN69">
            <v>0.25</v>
          </cell>
          <cell r="AO69">
            <v>0.25</v>
          </cell>
          <cell r="AP69">
            <v>0.25</v>
          </cell>
          <cell r="AQ69">
            <v>0.25</v>
          </cell>
          <cell r="AR69">
            <v>0.25</v>
          </cell>
          <cell r="AS69">
            <v>0.25</v>
          </cell>
          <cell r="AT69">
            <v>-0.04</v>
          </cell>
          <cell r="AU69">
            <v>0.92</v>
          </cell>
          <cell r="AV69">
            <v>20</v>
          </cell>
          <cell r="AY69" t="str">
            <v/>
          </cell>
          <cell r="AZ69">
            <v>0.25</v>
          </cell>
          <cell r="BA69">
            <v>0.25</v>
          </cell>
        </row>
        <row r="70">
          <cell r="A70" t="str">
            <v>AGRIEDIL SRL DEI F.LLI AMORUSO</v>
          </cell>
          <cell r="D70" t="str">
            <v>VIA RIPALTA, 38</v>
          </cell>
          <cell r="E70" t="str">
            <v>71010</v>
          </cell>
          <cell r="F70" t="str">
            <v>LESINA</v>
          </cell>
          <cell r="G70" t="str">
            <v>FG</v>
          </cell>
          <cell r="H70" t="str">
            <v>ITALIA</v>
          </cell>
          <cell r="J70" t="str">
            <v>04299980716</v>
          </cell>
          <cell r="K70" t="str">
            <v>M5UXCR1</v>
          </cell>
          <cell r="M70" t="str">
            <v>UFFICIO ACQUISTI</v>
          </cell>
          <cell r="O70" t="str">
            <v>350 0912797</v>
          </cell>
          <cell r="P70" t="str">
            <v>srl.agriedil@gmail.com</v>
          </cell>
          <cell r="R70" t="str">
            <v>BONIFICO BANCARIO, ALLA DATA DELLA NOSTRA CONFERMA D'ORDINE</v>
          </cell>
          <cell r="X70">
            <v>0.2</v>
          </cell>
          <cell r="Y70">
            <v>-0.04</v>
          </cell>
          <cell r="AB70">
            <v>0.2</v>
          </cell>
          <cell r="AC70">
            <v>0.2</v>
          </cell>
          <cell r="AD70">
            <v>0.2</v>
          </cell>
          <cell r="AE70">
            <v>0.2</v>
          </cell>
          <cell r="AF70">
            <v>0.2</v>
          </cell>
          <cell r="AG70">
            <v>0.2</v>
          </cell>
          <cell r="AH70">
            <v>0.2</v>
          </cell>
          <cell r="AI70">
            <v>0.2</v>
          </cell>
          <cell r="AJ70">
            <v>0.2</v>
          </cell>
          <cell r="AK70">
            <v>0.2</v>
          </cell>
          <cell r="AL70">
            <v>0.2</v>
          </cell>
          <cell r="AM70">
            <v>0.2</v>
          </cell>
          <cell r="AN70">
            <v>0.2</v>
          </cell>
          <cell r="AO70">
            <v>0.2</v>
          </cell>
          <cell r="AP70">
            <v>0.2</v>
          </cell>
          <cell r="AQ70">
            <v>0.2</v>
          </cell>
          <cell r="AR70">
            <v>0.2</v>
          </cell>
          <cell r="AS70">
            <v>0.2</v>
          </cell>
          <cell r="AT70">
            <v>-0.04</v>
          </cell>
          <cell r="AU70">
            <v>0.92</v>
          </cell>
          <cell r="AV70">
            <v>20</v>
          </cell>
          <cell r="AZ70">
            <v>0.2</v>
          </cell>
          <cell r="BA70">
            <v>0.2</v>
          </cell>
        </row>
        <row r="71">
          <cell r="A71" t="str">
            <v>AI.PA INTERNI S.N.C. DI AIELLO E PALIOTTO</v>
          </cell>
          <cell r="D71" t="str">
            <v>VIA ARGENTIA, 27</v>
          </cell>
          <cell r="E71">
            <v>20064</v>
          </cell>
          <cell r="F71" t="str">
            <v>GORGONZOLA</v>
          </cell>
          <cell r="G71" t="str">
            <v>MI</v>
          </cell>
          <cell r="H71" t="str">
            <v>ITALIA</v>
          </cell>
          <cell r="J71" t="str">
            <v>08426760966</v>
          </cell>
          <cell r="M71" t="str">
            <v>UFFICIO ACQUISTI</v>
          </cell>
          <cell r="N71" t="str">
            <v>02 95305712</v>
          </cell>
          <cell r="O71" t="str">
            <v>P.347 9389399  A.328 1251397</v>
          </cell>
          <cell r="P71" t="str">
            <v>ai.pa@libero.it</v>
          </cell>
          <cell r="R71" t="str">
            <v>BONIFICO BANCARIO, ALLA DATA DELLA NOSTRA CONFERMA D'ORDINE</v>
          </cell>
          <cell r="X71">
            <v>0.25</v>
          </cell>
          <cell r="Y71">
            <v>-0.04</v>
          </cell>
          <cell r="AB71">
            <v>0.25</v>
          </cell>
          <cell r="AC71">
            <v>0.25</v>
          </cell>
          <cell r="AD71">
            <v>0.25</v>
          </cell>
          <cell r="AE71">
            <v>0.25</v>
          </cell>
          <cell r="AF71">
            <v>0.25</v>
          </cell>
          <cell r="AG71">
            <v>0.25</v>
          </cell>
          <cell r="AH71">
            <v>0.25</v>
          </cell>
          <cell r="AI71">
            <v>0.25</v>
          </cell>
          <cell r="AJ71">
            <v>0.25</v>
          </cell>
          <cell r="AK71">
            <v>0.25</v>
          </cell>
          <cell r="AL71">
            <v>0.25</v>
          </cell>
          <cell r="AM71">
            <v>0.25</v>
          </cell>
          <cell r="AN71">
            <v>0.25</v>
          </cell>
          <cell r="AO71">
            <v>0.25</v>
          </cell>
          <cell r="AP71">
            <v>0.25</v>
          </cell>
          <cell r="AQ71">
            <v>0.25</v>
          </cell>
          <cell r="AR71">
            <v>0.25</v>
          </cell>
          <cell r="AS71">
            <v>0.25</v>
          </cell>
          <cell r="AT71">
            <v>-0.04</v>
          </cell>
          <cell r="AU71">
            <v>0.92</v>
          </cell>
          <cell r="AV71">
            <v>20</v>
          </cell>
          <cell r="AY71" t="str">
            <v>CONTRASSEGNO corriere espresso GLS 3% (minimo 3 euro)</v>
          </cell>
          <cell r="AZ71">
            <v>0.25</v>
          </cell>
          <cell r="BA71">
            <v>0.25</v>
          </cell>
        </row>
        <row r="72">
          <cell r="A72" t="str">
            <v>AIKON SAS</v>
          </cell>
          <cell r="D72" t="str">
            <v>VIA DEGANUTTI 2</v>
          </cell>
          <cell r="E72" t="str">
            <v>33100</v>
          </cell>
          <cell r="F72" t="str">
            <v>UDINE</v>
          </cell>
          <cell r="G72" t="str">
            <v>UD</v>
          </cell>
          <cell r="H72" t="str">
            <v>ITALIA</v>
          </cell>
          <cell r="J72" t="str">
            <v>01831590300</v>
          </cell>
          <cell r="M72" t="str">
            <v>UFFICIO ACQUISTI</v>
          </cell>
          <cell r="N72" t="str">
            <v>0432 507338</v>
          </cell>
          <cell r="O72" t="str">
            <v>328 9544065</v>
          </cell>
          <cell r="P72" t="str">
            <v>info@aikonitalia.com</v>
          </cell>
          <cell r="R72" t="str">
            <v>BONIFICO BANCARIO, ALLA DATA DELLA NOSTRA CONFERMA D'ORDINE</v>
          </cell>
          <cell r="X72">
            <v>0.25</v>
          </cell>
          <cell r="Y72">
            <v>-0.04</v>
          </cell>
          <cell r="AB72">
            <v>0.25</v>
          </cell>
          <cell r="AC72">
            <v>0.25</v>
          </cell>
          <cell r="AD72">
            <v>0.25</v>
          </cell>
          <cell r="AE72">
            <v>0.25</v>
          </cell>
          <cell r="AF72">
            <v>0.25</v>
          </cell>
          <cell r="AG72">
            <v>0.25</v>
          </cell>
          <cell r="AH72">
            <v>0.25</v>
          </cell>
          <cell r="AI72">
            <v>0.25</v>
          </cell>
          <cell r="AJ72">
            <v>0.25</v>
          </cell>
          <cell r="AK72">
            <v>0.25</v>
          </cell>
          <cell r="AL72">
            <v>0.25</v>
          </cell>
          <cell r="AM72">
            <v>0.25</v>
          </cell>
          <cell r="AN72">
            <v>0.25</v>
          </cell>
          <cell r="AO72">
            <v>0.25</v>
          </cell>
          <cell r="AP72">
            <v>0.25</v>
          </cell>
          <cell r="AQ72">
            <v>0.25</v>
          </cell>
          <cell r="AR72">
            <v>0.25</v>
          </cell>
          <cell r="AS72">
            <v>0.25</v>
          </cell>
          <cell r="AT72">
            <v>-0.04</v>
          </cell>
          <cell r="AU72">
            <v>0.92</v>
          </cell>
          <cell r="AV72">
            <v>20</v>
          </cell>
          <cell r="AY72" t="str">
            <v/>
          </cell>
          <cell r="AZ72">
            <v>0.25</v>
          </cell>
          <cell r="BA72">
            <v>0.25</v>
          </cell>
        </row>
        <row r="73">
          <cell r="A73" t="str">
            <v>AIRON SRL</v>
          </cell>
          <cell r="B73" t="str">
            <v>LUCA 21/12/22 PREFERISCONO ACQUASTOP. MI HA ATTACCATO IL CELLULARE IN FACCIA!</v>
          </cell>
          <cell r="D73" t="str">
            <v>F.TA SAN FRANCESCO 7 B</v>
          </cell>
          <cell r="E73" t="str">
            <v>30015</v>
          </cell>
          <cell r="F73" t="str">
            <v xml:space="preserve">CHIOGGIA </v>
          </cell>
          <cell r="G73" t="str">
            <v>VE</v>
          </cell>
          <cell r="H73" t="str">
            <v>ITALIA</v>
          </cell>
          <cell r="J73" t="str">
            <v>03466130279</v>
          </cell>
          <cell r="M73" t="str">
            <v>UFFICIO ACQUISTI</v>
          </cell>
          <cell r="O73" t="str">
            <v>333 4229180</v>
          </cell>
          <cell r="R73" t="str">
            <v>BONIFICO BANCARIO, ALLA DATA DELLA NOSTRA CONFERMA D'ORDINE</v>
          </cell>
          <cell r="X73">
            <v>0.25</v>
          </cell>
          <cell r="Y73">
            <v>-0.04</v>
          </cell>
          <cell r="AB73">
            <v>0.25</v>
          </cell>
          <cell r="AC73">
            <v>0.25</v>
          </cell>
          <cell r="AD73">
            <v>0.25</v>
          </cell>
          <cell r="AE73">
            <v>0.25</v>
          </cell>
          <cell r="AF73">
            <v>0.25</v>
          </cell>
          <cell r="AG73">
            <v>0.25</v>
          </cell>
          <cell r="AH73">
            <v>0.25</v>
          </cell>
          <cell r="AI73">
            <v>0.25</v>
          </cell>
          <cell r="AJ73">
            <v>0.25</v>
          </cell>
          <cell r="AK73">
            <v>0.25</v>
          </cell>
          <cell r="AL73">
            <v>0.25</v>
          </cell>
          <cell r="AM73">
            <v>0.25</v>
          </cell>
          <cell r="AN73">
            <v>0.25</v>
          </cell>
          <cell r="AO73">
            <v>0.25</v>
          </cell>
          <cell r="AP73">
            <v>0.25</v>
          </cell>
          <cell r="AQ73">
            <v>0.25</v>
          </cell>
          <cell r="AR73">
            <v>0.25</v>
          </cell>
          <cell r="AS73">
            <v>0.25</v>
          </cell>
          <cell r="AT73">
            <v>-0.04</v>
          </cell>
          <cell r="AU73">
            <v>0.92</v>
          </cell>
          <cell r="AV73">
            <v>20</v>
          </cell>
          <cell r="AZ73">
            <v>0.25</v>
          </cell>
          <cell r="BA73">
            <v>0.25</v>
          </cell>
        </row>
        <row r="74">
          <cell r="A74" t="str">
            <v>AL. SERRAMENTI SNC</v>
          </cell>
          <cell r="B74" t="str">
            <v>CAMPIONE SC.30% NO CARPENTERIA</v>
          </cell>
          <cell r="D74" t="str">
            <v>VIA PADANA SUP., 59</v>
          </cell>
          <cell r="E74">
            <v>20065</v>
          </cell>
          <cell r="F74" t="str">
            <v>INZAGO</v>
          </cell>
          <cell r="G74" t="str">
            <v>MI</v>
          </cell>
          <cell r="H74" t="str">
            <v>ITALIA</v>
          </cell>
          <cell r="I74" t="str">
            <v>06432250964</v>
          </cell>
          <cell r="J74" t="str">
            <v>06432250964</v>
          </cell>
          <cell r="K74" t="str">
            <v>X2PH38J</v>
          </cell>
          <cell r="M74" t="str">
            <v>UFFICIO ACQUISTI</v>
          </cell>
          <cell r="O74" t="str">
            <v>338 2466228</v>
          </cell>
          <cell r="P74" t="str">
            <v>contatti@alserramenti.it</v>
          </cell>
          <cell r="R74" t="str">
            <v>BONIFICO BANCARIO, ALLA DATA DELLA NOSTRA CONFERMA D'ORDINE</v>
          </cell>
          <cell r="X74">
            <v>0.25</v>
          </cell>
          <cell r="Y74">
            <v>-0.04</v>
          </cell>
          <cell r="AB74">
            <v>0.25</v>
          </cell>
          <cell r="AC74">
            <v>0.25</v>
          </cell>
          <cell r="AD74">
            <v>0.25</v>
          </cell>
          <cell r="AE74">
            <v>0.25</v>
          </cell>
          <cell r="AF74">
            <v>0.25</v>
          </cell>
          <cell r="AG74">
            <v>0.25</v>
          </cell>
          <cell r="AH74">
            <v>0.25</v>
          </cell>
          <cell r="AI74">
            <v>0.25</v>
          </cell>
          <cell r="AJ74">
            <v>0.25</v>
          </cell>
          <cell r="AK74">
            <v>0.25</v>
          </cell>
          <cell r="AL74">
            <v>0.25</v>
          </cell>
          <cell r="AM74">
            <v>0.25</v>
          </cell>
          <cell r="AN74">
            <v>0.25</v>
          </cell>
          <cell r="AO74">
            <v>0.25</v>
          </cell>
          <cell r="AP74">
            <v>0.25</v>
          </cell>
          <cell r="AQ74">
            <v>0.25</v>
          </cell>
          <cell r="AR74">
            <v>0.25</v>
          </cell>
          <cell r="AS74">
            <v>0.25</v>
          </cell>
          <cell r="AT74">
            <v>-0.04</v>
          </cell>
          <cell r="AU74">
            <v>0.92</v>
          </cell>
          <cell r="AV74">
            <v>20</v>
          </cell>
          <cell r="AZ74">
            <v>0.25</v>
          </cell>
          <cell r="BA74">
            <v>0.25</v>
          </cell>
        </row>
        <row r="75">
          <cell r="A75" t="str">
            <v>AL.COS SNC</v>
          </cell>
          <cell r="B75" t="str">
            <v>PADRE FULVIO  PERONI  FIGLIO MATTEO PERONI</v>
          </cell>
          <cell r="D75" t="str">
            <v>VIA CHIARAVAGNA, 139 R</v>
          </cell>
          <cell r="E75" t="str">
            <v>16153</v>
          </cell>
          <cell r="F75" t="str">
            <v>GENOVA SESTRI PON.</v>
          </cell>
          <cell r="G75" t="str">
            <v>GE</v>
          </cell>
          <cell r="H75" t="str">
            <v>ITALIA</v>
          </cell>
          <cell r="J75" t="str">
            <v>02688210102</v>
          </cell>
          <cell r="M75" t="str">
            <v>UFFICIO ACQUISTI</v>
          </cell>
          <cell r="N75" t="str">
            <v>010 6516147</v>
          </cell>
          <cell r="O75" t="str">
            <v>Fulvio 338 8615521  Matteo 347 8562850</v>
          </cell>
          <cell r="P75" t="str">
            <v>al.cossnc@gmail.com</v>
          </cell>
          <cell r="R75" t="str">
            <v>BONIFICO BANCARIO, ALLA DATA DELLA NOSTRA CONFERMA D'ORDINE</v>
          </cell>
          <cell r="X75">
            <v>0.2</v>
          </cell>
          <cell r="Y75">
            <v>-0.04</v>
          </cell>
          <cell r="AB75">
            <v>0.2</v>
          </cell>
          <cell r="AC75">
            <v>0.2</v>
          </cell>
          <cell r="AD75">
            <v>0.2</v>
          </cell>
          <cell r="AE75">
            <v>0.2</v>
          </cell>
          <cell r="AF75">
            <v>0.2</v>
          </cell>
          <cell r="AG75">
            <v>0.2</v>
          </cell>
          <cell r="AH75">
            <v>0.2</v>
          </cell>
          <cell r="AI75">
            <v>0.2</v>
          </cell>
          <cell r="AJ75">
            <v>0.2</v>
          </cell>
          <cell r="AK75">
            <v>0.2</v>
          </cell>
          <cell r="AL75">
            <v>0.2</v>
          </cell>
          <cell r="AM75">
            <v>0.2</v>
          </cell>
          <cell r="AN75">
            <v>0.2</v>
          </cell>
          <cell r="AO75">
            <v>0.2</v>
          </cell>
          <cell r="AP75">
            <v>0.2</v>
          </cell>
          <cell r="AQ75">
            <v>0.2</v>
          </cell>
          <cell r="AR75">
            <v>0.2</v>
          </cell>
          <cell r="AS75">
            <v>0.2</v>
          </cell>
          <cell r="AT75">
            <v>-0.04</v>
          </cell>
          <cell r="AU75">
            <v>0.92</v>
          </cell>
          <cell r="AV75">
            <v>20</v>
          </cell>
          <cell r="AZ75">
            <v>0.2</v>
          </cell>
          <cell r="BA75">
            <v>0.2</v>
          </cell>
        </row>
        <row r="76">
          <cell r="A76" t="str">
            <v>AL.FA.SER DI FARINA O.</v>
          </cell>
          <cell r="B76" t="str">
            <v>CAMPIONE 30% CARPENTERIA GRATUITA</v>
          </cell>
          <cell r="D76" t="str">
            <v>VIA ASSAINO, 1</v>
          </cell>
          <cell r="E76">
            <v>20019</v>
          </cell>
          <cell r="F76" t="str">
            <v>SETTIMO MILANESE</v>
          </cell>
          <cell r="G76" t="str">
            <v>MI</v>
          </cell>
          <cell r="H76" t="str">
            <v>ITALIA</v>
          </cell>
          <cell r="J76" t="str">
            <v>12891820156</v>
          </cell>
          <cell r="M76" t="str">
            <v>UFFICIO ACQUISTI</v>
          </cell>
          <cell r="N76" t="str">
            <v>02 33503802</v>
          </cell>
          <cell r="O76" t="str">
            <v>338 2467029</v>
          </cell>
          <cell r="R76" t="str">
            <v>BONIFICO BANCARIO, ALLA DATA DELLA NOSTRA CONFERMA D'ORDINE</v>
          </cell>
          <cell r="X76">
            <v>0.25</v>
          </cell>
          <cell r="Y76">
            <v>-0.04</v>
          </cell>
          <cell r="AB76">
            <v>0.25</v>
          </cell>
          <cell r="AC76">
            <v>0.25</v>
          </cell>
          <cell r="AD76">
            <v>0.25</v>
          </cell>
          <cell r="AE76">
            <v>0.25</v>
          </cell>
          <cell r="AF76">
            <v>0.25</v>
          </cell>
          <cell r="AG76">
            <v>0.25</v>
          </cell>
          <cell r="AH76">
            <v>0.25</v>
          </cell>
          <cell r="AI76">
            <v>0.25</v>
          </cell>
          <cell r="AJ76">
            <v>0.25</v>
          </cell>
          <cell r="AK76">
            <v>0.25</v>
          </cell>
          <cell r="AL76">
            <v>0.25</v>
          </cell>
          <cell r="AM76">
            <v>0.25</v>
          </cell>
          <cell r="AN76">
            <v>0.25</v>
          </cell>
          <cell r="AO76">
            <v>0.25</v>
          </cell>
          <cell r="AP76">
            <v>0.25</v>
          </cell>
          <cell r="AQ76">
            <v>0.25</v>
          </cell>
          <cell r="AR76">
            <v>0.25</v>
          </cell>
          <cell r="AS76">
            <v>0.25</v>
          </cell>
          <cell r="AT76">
            <v>-0.04</v>
          </cell>
          <cell r="AU76">
            <v>0.92</v>
          </cell>
          <cell r="AV76">
            <v>20</v>
          </cell>
          <cell r="AY76" t="str">
            <v/>
          </cell>
          <cell r="AZ76">
            <v>0.25</v>
          </cell>
          <cell r="BA76">
            <v>0.25</v>
          </cell>
        </row>
        <row r="77">
          <cell r="A77" t="str">
            <v>AL.SYSTEMS  SNC DI RUBBI DANIEL E C.</v>
          </cell>
          <cell r="D77" t="str">
            <v>VIALE G.MONZIO COMPAGNONI, 5</v>
          </cell>
          <cell r="E77" t="str">
            <v>24047</v>
          </cell>
          <cell r="F77" t="str">
            <v>TREVIGLIO</v>
          </cell>
          <cell r="G77" t="str">
            <v>BG</v>
          </cell>
          <cell r="H77" t="str">
            <v>ITALIA</v>
          </cell>
          <cell r="M77" t="str">
            <v>UFFICIO ACQUISTI</v>
          </cell>
          <cell r="N77" t="str">
            <v>0363 815014</v>
          </cell>
          <cell r="P77" t="str">
            <v>info@al-systems.it</v>
          </cell>
          <cell r="R77" t="str">
            <v>BONIFICO BANCARIO, ALLA DATA DELLA NOSTRA CONFERMA D'ORDINE</v>
          </cell>
          <cell r="X77">
            <v>0.2</v>
          </cell>
          <cell r="Y77">
            <v>-0.04</v>
          </cell>
          <cell r="AB77">
            <v>0.2</v>
          </cell>
          <cell r="AC77">
            <v>0.2</v>
          </cell>
          <cell r="AD77">
            <v>0.2</v>
          </cell>
          <cell r="AE77">
            <v>0.2</v>
          </cell>
          <cell r="AF77">
            <v>0.2</v>
          </cell>
          <cell r="AG77">
            <v>0.2</v>
          </cell>
          <cell r="AH77">
            <v>0.2</v>
          </cell>
          <cell r="AI77">
            <v>0.2</v>
          </cell>
          <cell r="AJ77">
            <v>0.2</v>
          </cell>
          <cell r="AK77">
            <v>0.2</v>
          </cell>
          <cell r="AL77">
            <v>0.2</v>
          </cell>
          <cell r="AM77">
            <v>0.2</v>
          </cell>
          <cell r="AN77">
            <v>0.2</v>
          </cell>
          <cell r="AO77">
            <v>0.2</v>
          </cell>
          <cell r="AP77">
            <v>0.2</v>
          </cell>
          <cell r="AQ77">
            <v>0.2</v>
          </cell>
          <cell r="AR77">
            <v>0.2</v>
          </cell>
          <cell r="AS77">
            <v>0.2</v>
          </cell>
          <cell r="AT77">
            <v>-0.04</v>
          </cell>
          <cell r="AU77">
            <v>0.92</v>
          </cell>
          <cell r="AV77">
            <v>20</v>
          </cell>
          <cell r="AZ77">
            <v>0.2</v>
          </cell>
          <cell r="BA77">
            <v>0.2</v>
          </cell>
        </row>
        <row r="78">
          <cell r="A78" t="str">
            <v>ALA SNC DI MOSCHETTA U &amp; C</v>
          </cell>
          <cell r="D78" t="str">
            <v>VIA PADRE E. VENTURINI 265</v>
          </cell>
          <cell r="E78" t="str">
            <v>30015</v>
          </cell>
          <cell r="F78" t="str">
            <v>CHIOGGIA</v>
          </cell>
          <cell r="G78" t="str">
            <v>VE</v>
          </cell>
          <cell r="H78" t="str">
            <v>ITALIA</v>
          </cell>
          <cell r="J78" t="str">
            <v>00595070277</v>
          </cell>
          <cell r="M78" t="str">
            <v>UFFICIO ACQUISTI</v>
          </cell>
          <cell r="N78" t="str">
            <v>041 490511</v>
          </cell>
          <cell r="P78" t="str">
            <v>info@alaserramenti.com</v>
          </cell>
          <cell r="R78" t="str">
            <v>BONIFICO BANCARIO, ALLA DATA DELLA NOSTRA CONFERMA D'ORDINE</v>
          </cell>
          <cell r="X78">
            <v>0.25</v>
          </cell>
          <cell r="Y78">
            <v>-0.04</v>
          </cell>
          <cell r="AB78">
            <v>0.25</v>
          </cell>
          <cell r="AC78">
            <v>0.25</v>
          </cell>
          <cell r="AD78">
            <v>0.25</v>
          </cell>
          <cell r="AE78">
            <v>0.25</v>
          </cell>
          <cell r="AF78">
            <v>0.25</v>
          </cell>
          <cell r="AG78">
            <v>0.25</v>
          </cell>
          <cell r="AH78">
            <v>0.25</v>
          </cell>
          <cell r="AI78">
            <v>0.25</v>
          </cell>
          <cell r="AJ78">
            <v>0.25</v>
          </cell>
          <cell r="AK78">
            <v>0.25</v>
          </cell>
          <cell r="AL78">
            <v>0.25</v>
          </cell>
          <cell r="AM78">
            <v>0.25</v>
          </cell>
          <cell r="AN78">
            <v>0.25</v>
          </cell>
          <cell r="AO78">
            <v>0.25</v>
          </cell>
          <cell r="AP78">
            <v>0.25</v>
          </cell>
          <cell r="AQ78">
            <v>0.25</v>
          </cell>
          <cell r="AR78">
            <v>0.25</v>
          </cell>
          <cell r="AS78">
            <v>0.25</v>
          </cell>
          <cell r="AT78">
            <v>-0.04</v>
          </cell>
          <cell r="AU78">
            <v>0.92</v>
          </cell>
          <cell r="AV78">
            <v>20</v>
          </cell>
          <cell r="AY78" t="str">
            <v/>
          </cell>
          <cell r="AZ78">
            <v>0.25</v>
          </cell>
          <cell r="BA78">
            <v>0.25</v>
          </cell>
        </row>
        <row r="79">
          <cell r="A79" t="str">
            <v>ALASSIOSERRAMENTI di De Candia A.</v>
          </cell>
          <cell r="D79" t="str">
            <v>REG.LIMBO, 25</v>
          </cell>
          <cell r="E79">
            <v>17021</v>
          </cell>
          <cell r="F79" t="str">
            <v>ALASSIO</v>
          </cell>
          <cell r="G79" t="str">
            <v>SV</v>
          </cell>
          <cell r="H79" t="str">
            <v>ITALIA</v>
          </cell>
          <cell r="I79" t="str">
            <v>56C25L109H</v>
          </cell>
          <cell r="J79" t="str">
            <v>01640690093</v>
          </cell>
          <cell r="M79" t="str">
            <v>UFFICIO ACQUISTI</v>
          </cell>
          <cell r="N79" t="str">
            <v>0182 472331</v>
          </cell>
          <cell r="O79" t="str">
            <v>338 9577304</v>
          </cell>
          <cell r="R79" t="str">
            <v>BONIFICO BANCARIO, ALLA DATA DELLA NOSTRA CONFERMA D'ORDINE</v>
          </cell>
          <cell r="X79">
            <v>0.25</v>
          </cell>
          <cell r="Y79">
            <v>-0.04</v>
          </cell>
          <cell r="AB79">
            <v>0.25</v>
          </cell>
          <cell r="AC79">
            <v>0.25</v>
          </cell>
          <cell r="AD79">
            <v>0.25</v>
          </cell>
          <cell r="AE79">
            <v>0.25</v>
          </cell>
          <cell r="AF79">
            <v>0.25</v>
          </cell>
          <cell r="AG79">
            <v>0.25</v>
          </cell>
          <cell r="AH79">
            <v>0.25</v>
          </cell>
          <cell r="AI79">
            <v>0.25</v>
          </cell>
          <cell r="AJ79">
            <v>0.25</v>
          </cell>
          <cell r="AK79">
            <v>0.25</v>
          </cell>
          <cell r="AL79">
            <v>0.25</v>
          </cell>
          <cell r="AM79">
            <v>0.25</v>
          </cell>
          <cell r="AN79">
            <v>0.25</v>
          </cell>
          <cell r="AO79">
            <v>0.25</v>
          </cell>
          <cell r="AP79">
            <v>0.25</v>
          </cell>
          <cell r="AQ79">
            <v>0.25</v>
          </cell>
          <cell r="AR79">
            <v>0.25</v>
          </cell>
          <cell r="AS79">
            <v>0.25</v>
          </cell>
          <cell r="AT79">
            <v>-0.04</v>
          </cell>
          <cell r="AU79">
            <v>0.92</v>
          </cell>
          <cell r="AV79">
            <v>20</v>
          </cell>
          <cell r="AY79" t="str">
            <v/>
          </cell>
          <cell r="AZ79">
            <v>0.25</v>
          </cell>
          <cell r="BA79">
            <v>0.25</v>
          </cell>
        </row>
        <row r="80">
          <cell r="A80" t="str">
            <v>ALBA INFISSI</v>
          </cell>
          <cell r="D80" t="str">
            <v>VIA TRILUSSA, 64</v>
          </cell>
          <cell r="E80" t="str">
            <v>00041</v>
          </cell>
          <cell r="F80" t="str">
            <v>ALBANO L.</v>
          </cell>
          <cell r="G80" t="str">
            <v>RM</v>
          </cell>
          <cell r="H80" t="str">
            <v>ITALIA</v>
          </cell>
          <cell r="M80" t="str">
            <v>UFFICIO ACQUISTI</v>
          </cell>
          <cell r="N80" t="str">
            <v>06 9304597</v>
          </cell>
          <cell r="O80" t="str">
            <v>338 2452162</v>
          </cell>
          <cell r="P80" t="str">
            <v>albainfissi@libero.it</v>
          </cell>
          <cell r="R80" t="str">
            <v>BONIFICO BANCARIO, ALLA DATA DELLA NOSTRA CONFERMA D'ORDINE</v>
          </cell>
          <cell r="X80">
            <v>0.2</v>
          </cell>
          <cell r="Y80">
            <v>-0.04</v>
          </cell>
          <cell r="AB80">
            <v>0.2</v>
          </cell>
          <cell r="AC80">
            <v>0.2</v>
          </cell>
          <cell r="AD80">
            <v>0.2</v>
          </cell>
          <cell r="AE80">
            <v>0.2</v>
          </cell>
          <cell r="AF80">
            <v>0.2</v>
          </cell>
          <cell r="AG80">
            <v>0.2</v>
          </cell>
          <cell r="AH80">
            <v>0.2</v>
          </cell>
          <cell r="AI80">
            <v>0.2</v>
          </cell>
          <cell r="AJ80">
            <v>0.2</v>
          </cell>
          <cell r="AK80">
            <v>0.2</v>
          </cell>
          <cell r="AL80">
            <v>0.2</v>
          </cell>
          <cell r="AM80">
            <v>0.2</v>
          </cell>
          <cell r="AN80">
            <v>0.2</v>
          </cell>
          <cell r="AO80">
            <v>0.2</v>
          </cell>
          <cell r="AP80">
            <v>0.2</v>
          </cell>
          <cell r="AQ80">
            <v>0.2</v>
          </cell>
          <cell r="AR80">
            <v>0.2</v>
          </cell>
          <cell r="AS80">
            <v>0.2</v>
          </cell>
          <cell r="AT80">
            <v>-0.04</v>
          </cell>
          <cell r="AU80">
            <v>0.92</v>
          </cell>
          <cell r="AV80">
            <v>20</v>
          </cell>
          <cell r="AZ80">
            <v>0.2</v>
          </cell>
          <cell r="BA80">
            <v>0.2</v>
          </cell>
        </row>
        <row r="81">
          <cell r="A81" t="str">
            <v>ALBACOLOR DI DEL BUFALO LOREDANA</v>
          </cell>
          <cell r="D81" t="str">
            <v>VIA B. RIPOSATI, 55</v>
          </cell>
          <cell r="E81" t="str">
            <v>02100</v>
          </cell>
          <cell r="F81" t="str">
            <v>RIETI</v>
          </cell>
          <cell r="G81" t="str">
            <v>RI</v>
          </cell>
          <cell r="H81" t="str">
            <v>ITALIA</v>
          </cell>
          <cell r="J81" t="str">
            <v>00723300570</v>
          </cell>
          <cell r="M81" t="str">
            <v>UFFICIO ACQUISTI</v>
          </cell>
          <cell r="N81" t="str">
            <v>0746 250466</v>
          </cell>
          <cell r="R81" t="str">
            <v>BONIFICO BANCARIO, ALLA DATA DELLA NOSTRA CONFERMA D'ORDINE</v>
          </cell>
          <cell r="Y81">
            <v>-0.04</v>
          </cell>
          <cell r="AT81">
            <v>-0.04</v>
          </cell>
          <cell r="AV81">
            <v>20</v>
          </cell>
          <cell r="AZ81">
            <v>0</v>
          </cell>
          <cell r="BA81">
            <v>0</v>
          </cell>
        </row>
        <row r="82">
          <cell r="A82" t="str">
            <v>ALBANI RICCARDO</v>
          </cell>
          <cell r="D82" t="str">
            <v>VIALE G. GALILEI, 52/B</v>
          </cell>
          <cell r="E82" t="str">
            <v>54033</v>
          </cell>
          <cell r="F82" t="str">
            <v>MARINA DI CARRARA</v>
          </cell>
          <cell r="G82" t="str">
            <v>MS</v>
          </cell>
          <cell r="H82" t="str">
            <v>ITALIA</v>
          </cell>
          <cell r="J82" t="str">
            <v>00448810457</v>
          </cell>
          <cell r="M82" t="str">
            <v>UFFICIO ACQUISTI</v>
          </cell>
          <cell r="N82" t="str">
            <v>0585 281613</v>
          </cell>
          <cell r="R82" t="str">
            <v>BONIFICO BANCARIO, ALLA DATA DELLA NOSTRA CONFERMA D'ORDINE</v>
          </cell>
          <cell r="X82">
            <v>0.25</v>
          </cell>
          <cell r="Y82">
            <v>-0.04</v>
          </cell>
          <cell r="AB82">
            <v>0.25</v>
          </cell>
          <cell r="AC82">
            <v>0.25</v>
          </cell>
          <cell r="AD82">
            <v>0.25</v>
          </cell>
          <cell r="AE82">
            <v>0.25</v>
          </cell>
          <cell r="AF82">
            <v>0.25</v>
          </cell>
          <cell r="AG82">
            <v>0.25</v>
          </cell>
          <cell r="AH82">
            <v>0.25</v>
          </cell>
          <cell r="AI82">
            <v>0.25</v>
          </cell>
          <cell r="AJ82">
            <v>0.25</v>
          </cell>
          <cell r="AK82">
            <v>0.25</v>
          </cell>
          <cell r="AL82">
            <v>0.25</v>
          </cell>
          <cell r="AM82">
            <v>0.25</v>
          </cell>
          <cell r="AN82">
            <v>0.25</v>
          </cell>
          <cell r="AO82">
            <v>0.25</v>
          </cell>
          <cell r="AP82">
            <v>0.25</v>
          </cell>
          <cell r="AQ82">
            <v>0.25</v>
          </cell>
          <cell r="AR82">
            <v>0.25</v>
          </cell>
          <cell r="AS82">
            <v>0.25</v>
          </cell>
          <cell r="AT82">
            <v>-0.04</v>
          </cell>
          <cell r="AU82">
            <v>0.92</v>
          </cell>
          <cell r="AV82">
            <v>20</v>
          </cell>
          <cell r="AY82" t="str">
            <v/>
          </cell>
          <cell r="AZ82">
            <v>0.25</v>
          </cell>
          <cell r="BA82">
            <v>0.25</v>
          </cell>
        </row>
        <row r="83">
          <cell r="A83" t="str">
            <v xml:space="preserve">ALBERTONE SERRAMENTI IN LEGNO </v>
          </cell>
          <cell r="D83" t="str">
            <v>VIA F.LLI MELIGA, 8</v>
          </cell>
          <cell r="E83">
            <v>10034</v>
          </cell>
          <cell r="F83" t="str">
            <v>CHIVASSO</v>
          </cell>
          <cell r="G83" t="str">
            <v>TO</v>
          </cell>
          <cell r="H83" t="str">
            <v>ITALIA</v>
          </cell>
          <cell r="J83" t="str">
            <v>08203650018</v>
          </cell>
          <cell r="M83" t="str">
            <v>UFFICIO ACQUISTI</v>
          </cell>
          <cell r="N83" t="str">
            <v>011 9196222</v>
          </cell>
          <cell r="O83" t="str">
            <v>335 7739991</v>
          </cell>
          <cell r="P83" t="str">
            <v>info@albertoneserramenti.it</v>
          </cell>
          <cell r="R83" t="str">
            <v>BONIFICO BANCARIO, ALLA DATA DELLA NOSTRA CONFERMA D'ORDINE</v>
          </cell>
          <cell r="X83">
            <v>0.25</v>
          </cell>
          <cell r="Y83">
            <v>-0.04</v>
          </cell>
          <cell r="AB83">
            <v>0.25</v>
          </cell>
          <cell r="AC83">
            <v>0.25</v>
          </cell>
          <cell r="AD83">
            <v>0.25</v>
          </cell>
          <cell r="AE83">
            <v>0.25</v>
          </cell>
          <cell r="AF83">
            <v>0.25</v>
          </cell>
          <cell r="AG83">
            <v>0.25</v>
          </cell>
          <cell r="AH83">
            <v>0.25</v>
          </cell>
          <cell r="AI83">
            <v>0.25</v>
          </cell>
          <cell r="AJ83">
            <v>0.25</v>
          </cell>
          <cell r="AK83">
            <v>0.25</v>
          </cell>
          <cell r="AL83">
            <v>0.25</v>
          </cell>
          <cell r="AM83">
            <v>0.25</v>
          </cell>
          <cell r="AN83">
            <v>0.25</v>
          </cell>
          <cell r="AO83">
            <v>0.25</v>
          </cell>
          <cell r="AP83">
            <v>0.25</v>
          </cell>
          <cell r="AQ83">
            <v>0.25</v>
          </cell>
          <cell r="AR83">
            <v>0.25</v>
          </cell>
          <cell r="AS83">
            <v>0.25</v>
          </cell>
          <cell r="AT83">
            <v>-0.04</v>
          </cell>
          <cell r="AU83">
            <v>0.92</v>
          </cell>
          <cell r="AV83">
            <v>20</v>
          </cell>
          <cell r="AY83" t="str">
            <v/>
          </cell>
          <cell r="AZ83">
            <v>0.25</v>
          </cell>
          <cell r="BA83">
            <v>0.25</v>
          </cell>
        </row>
        <row r="84">
          <cell r="A84" t="str">
            <v>ALBO SERRAMENTI SAS</v>
          </cell>
          <cell r="B84" t="str">
            <v>AGNESE MORETTI</v>
          </cell>
          <cell r="D84" t="str">
            <v>VIA LIGNANO, 1</v>
          </cell>
          <cell r="E84" t="str">
            <v>33058</v>
          </cell>
          <cell r="F84" t="str">
            <v>SAN GIORGIO DI NOGARO</v>
          </cell>
          <cell r="G84" t="str">
            <v>UD</v>
          </cell>
          <cell r="H84" t="str">
            <v>ITALIA</v>
          </cell>
          <cell r="J84" t="str">
            <v>00432810307</v>
          </cell>
          <cell r="M84" t="str">
            <v>UFFICIO ACQUISTI</v>
          </cell>
          <cell r="N84" t="str">
            <v>0432 471478</v>
          </cell>
          <cell r="O84" t="str">
            <v>335 6032603</v>
          </cell>
          <cell r="P84" t="str">
            <v>albo@alboserramenti.it</v>
          </cell>
          <cell r="R84" t="str">
            <v>BONIFICO BANCARIO, ALLA DATA DELLA NOSTRA CONFERMA D'ORDINE</v>
          </cell>
          <cell r="X84">
            <v>0.25</v>
          </cell>
          <cell r="Y84">
            <v>-0.04</v>
          </cell>
          <cell r="AB84">
            <v>0.25</v>
          </cell>
          <cell r="AC84">
            <v>0.25</v>
          </cell>
          <cell r="AD84">
            <v>0.25</v>
          </cell>
          <cell r="AE84">
            <v>0.25</v>
          </cell>
          <cell r="AF84">
            <v>0.25</v>
          </cell>
          <cell r="AG84">
            <v>0.25</v>
          </cell>
          <cell r="AH84">
            <v>0.25</v>
          </cell>
          <cell r="AI84">
            <v>0.25</v>
          </cell>
          <cell r="AJ84">
            <v>0.25</v>
          </cell>
          <cell r="AK84">
            <v>0.25</v>
          </cell>
          <cell r="AL84">
            <v>0.25</v>
          </cell>
          <cell r="AM84">
            <v>0.25</v>
          </cell>
          <cell r="AN84">
            <v>0.25</v>
          </cell>
          <cell r="AO84">
            <v>0.25</v>
          </cell>
          <cell r="AP84">
            <v>0.25</v>
          </cell>
          <cell r="AQ84">
            <v>0.25</v>
          </cell>
          <cell r="AR84">
            <v>0.25</v>
          </cell>
          <cell r="AS84">
            <v>0.25</v>
          </cell>
          <cell r="AT84">
            <v>-0.04</v>
          </cell>
          <cell r="AU84">
            <v>0.92</v>
          </cell>
          <cell r="AV84">
            <v>20</v>
          </cell>
          <cell r="AY84" t="str">
            <v/>
          </cell>
          <cell r="AZ84">
            <v>0.25</v>
          </cell>
          <cell r="BA84">
            <v>0.25</v>
          </cell>
        </row>
        <row r="85">
          <cell r="A85" t="str">
            <v xml:space="preserve">ALBODOOR PIU' </v>
          </cell>
          <cell r="D85" t="str">
            <v>VIA MILANO, 61</v>
          </cell>
          <cell r="E85">
            <v>26013</v>
          </cell>
          <cell r="F85" t="str">
            <v>CREMA</v>
          </cell>
          <cell r="G85" t="str">
            <v>CR</v>
          </cell>
          <cell r="H85" t="str">
            <v>ITALIA</v>
          </cell>
          <cell r="M85" t="str">
            <v>UFFICIO ACQUISTI</v>
          </cell>
          <cell r="N85" t="str">
            <v>0373 219070</v>
          </cell>
          <cell r="O85" t="str">
            <v>349 4495927</v>
          </cell>
          <cell r="P85" t="str">
            <v>info@albodoorpiu.it</v>
          </cell>
          <cell r="R85" t="str">
            <v>BONIFICO BANCARIO, ALLA DATA DELLA NOSTRA CONFERMA D'ORDINE</v>
          </cell>
          <cell r="X85">
            <v>0.25</v>
          </cell>
          <cell r="Y85">
            <v>-0.04</v>
          </cell>
          <cell r="AB85">
            <v>0.25</v>
          </cell>
          <cell r="AC85">
            <v>0.25</v>
          </cell>
          <cell r="AD85">
            <v>0.25</v>
          </cell>
          <cell r="AE85">
            <v>0.25</v>
          </cell>
          <cell r="AF85">
            <v>0.25</v>
          </cell>
          <cell r="AG85">
            <v>0.25</v>
          </cell>
          <cell r="AH85">
            <v>0.25</v>
          </cell>
          <cell r="AI85">
            <v>0.25</v>
          </cell>
          <cell r="AJ85">
            <v>0.25</v>
          </cell>
          <cell r="AK85">
            <v>0.25</v>
          </cell>
          <cell r="AL85">
            <v>0.25</v>
          </cell>
          <cell r="AM85">
            <v>0.25</v>
          </cell>
          <cell r="AN85">
            <v>0.25</v>
          </cell>
          <cell r="AO85">
            <v>0.25</v>
          </cell>
          <cell r="AP85">
            <v>0.25</v>
          </cell>
          <cell r="AQ85">
            <v>0.25</v>
          </cell>
          <cell r="AR85">
            <v>0.25</v>
          </cell>
          <cell r="AS85">
            <v>0.25</v>
          </cell>
          <cell r="AT85">
            <v>-0.04</v>
          </cell>
          <cell r="AU85">
            <v>0.92</v>
          </cell>
          <cell r="AV85">
            <v>20</v>
          </cell>
          <cell r="AY85" t="str">
            <v/>
          </cell>
          <cell r="AZ85">
            <v>0.25</v>
          </cell>
          <cell r="BA85">
            <v>0.25</v>
          </cell>
        </row>
        <row r="86">
          <cell r="A86" t="str">
            <v>ALCAMO INFISSI SRL</v>
          </cell>
          <cell r="D86" t="str">
            <v>VIA S. MARTINO/ C. DA BADIA SNC</v>
          </cell>
          <cell r="E86">
            <v>90010</v>
          </cell>
          <cell r="F86" t="str">
            <v>FICARAZZI</v>
          </cell>
          <cell r="G86" t="str">
            <v>PA</v>
          </cell>
          <cell r="H86" t="str">
            <v>ITALIA</v>
          </cell>
          <cell r="M86" t="str">
            <v>UFFICIO ACQUISTI</v>
          </cell>
          <cell r="N86" t="str">
            <v>091 496968</v>
          </cell>
          <cell r="P86" t="str">
            <v>info@alcamoinfissi.it</v>
          </cell>
          <cell r="R86" t="str">
            <v>BONIFICO BANCARIO, ALLA DATA DELLA NOSTRA CONFERMA D'ORDINE</v>
          </cell>
          <cell r="X86">
            <v>0.25</v>
          </cell>
          <cell r="Y86">
            <v>-0.04</v>
          </cell>
          <cell r="AB86">
            <v>0.25</v>
          </cell>
          <cell r="AC86">
            <v>0.25</v>
          </cell>
          <cell r="AD86">
            <v>0.25</v>
          </cell>
          <cell r="AE86">
            <v>0.25</v>
          </cell>
          <cell r="AF86">
            <v>0.25</v>
          </cell>
          <cell r="AG86">
            <v>0.25</v>
          </cell>
          <cell r="AH86">
            <v>0.25</v>
          </cell>
          <cell r="AI86">
            <v>0.25</v>
          </cell>
          <cell r="AJ86">
            <v>0.25</v>
          </cell>
          <cell r="AK86">
            <v>0.25</v>
          </cell>
          <cell r="AL86">
            <v>0.25</v>
          </cell>
          <cell r="AM86">
            <v>0.25</v>
          </cell>
          <cell r="AN86">
            <v>0.25</v>
          </cell>
          <cell r="AO86">
            <v>0.25</v>
          </cell>
          <cell r="AP86">
            <v>0.25</v>
          </cell>
          <cell r="AQ86">
            <v>0.25</v>
          </cell>
          <cell r="AR86">
            <v>0.25</v>
          </cell>
          <cell r="AS86">
            <v>0.25</v>
          </cell>
          <cell r="AT86">
            <v>-0.04</v>
          </cell>
          <cell r="AU86">
            <v>0.92</v>
          </cell>
          <cell r="AV86">
            <v>20</v>
          </cell>
          <cell r="AY86" t="str">
            <v/>
          </cell>
          <cell r="AZ86">
            <v>0.25</v>
          </cell>
          <cell r="BA86">
            <v>0.25</v>
          </cell>
        </row>
        <row r="87">
          <cell r="A87" t="str">
            <v>ALCOPLAN</v>
          </cell>
          <cell r="D87" t="str">
            <v>PIAZZA MARTIRI, 15</v>
          </cell>
          <cell r="E87">
            <v>41032</v>
          </cell>
          <cell r="F87" t="str">
            <v>CAVEZZO</v>
          </cell>
          <cell r="G87" t="str">
            <v>MO</v>
          </cell>
          <cell r="H87" t="str">
            <v>ITALIA</v>
          </cell>
          <cell r="M87" t="str">
            <v>UFFICIO ACQUISTI</v>
          </cell>
          <cell r="N87" t="str">
            <v>0535  730151</v>
          </cell>
          <cell r="P87" t="str">
            <v>info@alcoplan</v>
          </cell>
          <cell r="R87" t="str">
            <v>BONIFICO BANCARIO, ALLA DATA DELLA NOSTRA CONFERMA D'ORDINE</v>
          </cell>
          <cell r="X87">
            <v>0.25</v>
          </cell>
          <cell r="Y87">
            <v>-0.04</v>
          </cell>
          <cell r="AB87">
            <v>0.25</v>
          </cell>
          <cell r="AC87">
            <v>0.25</v>
          </cell>
          <cell r="AD87">
            <v>0.25</v>
          </cell>
          <cell r="AE87">
            <v>0.25</v>
          </cell>
          <cell r="AF87">
            <v>0.25</v>
          </cell>
          <cell r="AG87">
            <v>0.25</v>
          </cell>
          <cell r="AH87">
            <v>0.25</v>
          </cell>
          <cell r="AI87">
            <v>0.25</v>
          </cell>
          <cell r="AJ87">
            <v>0.25</v>
          </cell>
          <cell r="AK87">
            <v>0.25</v>
          </cell>
          <cell r="AL87">
            <v>0.25</v>
          </cell>
          <cell r="AM87">
            <v>0.25</v>
          </cell>
          <cell r="AN87">
            <v>0.25</v>
          </cell>
          <cell r="AO87">
            <v>0.25</v>
          </cell>
          <cell r="AP87">
            <v>0.25</v>
          </cell>
          <cell r="AQ87">
            <v>0.25</v>
          </cell>
          <cell r="AR87">
            <v>0.25</v>
          </cell>
          <cell r="AS87">
            <v>0.25</v>
          </cell>
          <cell r="AT87">
            <v>-0.04</v>
          </cell>
          <cell r="AU87">
            <v>0.92</v>
          </cell>
          <cell r="AV87">
            <v>20</v>
          </cell>
          <cell r="AZ87">
            <v>0.25</v>
          </cell>
          <cell r="BA87">
            <v>0.25</v>
          </cell>
        </row>
        <row r="88">
          <cell r="A88" t="str">
            <v>ALDENA SRL</v>
          </cell>
          <cell r="D88" t="str">
            <v>VIA ROMA 51</v>
          </cell>
          <cell r="E88" t="str">
            <v>31020</v>
          </cell>
          <cell r="F88" t="str">
            <v>CARITà DI VILLORBA</v>
          </cell>
          <cell r="G88" t="str">
            <v>TV</v>
          </cell>
          <cell r="H88" t="str">
            <v>ITALIA</v>
          </cell>
          <cell r="M88" t="str">
            <v>UFFICIO ACQUISTI</v>
          </cell>
          <cell r="N88" t="str">
            <v>0422 912343</v>
          </cell>
          <cell r="P88" t="str">
            <v>info@aldenasite.com</v>
          </cell>
          <cell r="R88" t="str">
            <v>BONIFICO BANCARIO, ALLA DATA DELLA NOSTRA CONFERMA D'ORDINE</v>
          </cell>
          <cell r="X88">
            <v>0.25</v>
          </cell>
          <cell r="Y88">
            <v>-0.04</v>
          </cell>
          <cell r="AB88">
            <v>0.25</v>
          </cell>
          <cell r="AC88">
            <v>0.25</v>
          </cell>
          <cell r="AD88">
            <v>0.25</v>
          </cell>
          <cell r="AE88">
            <v>0.25</v>
          </cell>
          <cell r="AF88">
            <v>0.25</v>
          </cell>
          <cell r="AG88">
            <v>0.25</v>
          </cell>
          <cell r="AH88">
            <v>0.25</v>
          </cell>
          <cell r="AI88">
            <v>0.25</v>
          </cell>
          <cell r="AJ88">
            <v>0.25</v>
          </cell>
          <cell r="AK88">
            <v>0.25</v>
          </cell>
          <cell r="AL88">
            <v>0.25</v>
          </cell>
          <cell r="AM88">
            <v>0.25</v>
          </cell>
          <cell r="AN88">
            <v>0.25</v>
          </cell>
          <cell r="AO88">
            <v>0.25</v>
          </cell>
          <cell r="AP88">
            <v>0.25</v>
          </cell>
          <cell r="AQ88">
            <v>0.25</v>
          </cell>
          <cell r="AR88">
            <v>0.25</v>
          </cell>
          <cell r="AS88">
            <v>0.25</v>
          </cell>
          <cell r="AT88">
            <v>-0.04</v>
          </cell>
          <cell r="AU88">
            <v>0.92</v>
          </cell>
          <cell r="AV88">
            <v>20</v>
          </cell>
          <cell r="AY88" t="str">
            <v/>
          </cell>
          <cell r="AZ88">
            <v>0.25</v>
          </cell>
          <cell r="BA88">
            <v>0.25</v>
          </cell>
        </row>
        <row r="89">
          <cell r="A89" t="str">
            <v>ALE IL FABBRO</v>
          </cell>
          <cell r="D89" t="str">
            <v>VIA CLAUDIO TREVES, 51</v>
          </cell>
          <cell r="E89">
            <v>20090</v>
          </cell>
          <cell r="F89" t="str">
            <v>TREZZ.. SUL NAVIGLIO</v>
          </cell>
          <cell r="G89" t="str">
            <v>MI</v>
          </cell>
          <cell r="H89" t="str">
            <v>ITALIA</v>
          </cell>
          <cell r="M89" t="str">
            <v>UFFICIO ACQUISTI</v>
          </cell>
          <cell r="O89" t="str">
            <v>329 0805632</v>
          </cell>
          <cell r="R89" t="str">
            <v>BONIFICO BANCARIO, ALLA DATA DELLA NOSTRA CONFERMA D'ORDINE</v>
          </cell>
          <cell r="X89">
            <v>0.25</v>
          </cell>
          <cell r="Y89">
            <v>-0.04</v>
          </cell>
          <cell r="AB89">
            <v>0.25</v>
          </cell>
          <cell r="AC89">
            <v>0.25</v>
          </cell>
          <cell r="AD89">
            <v>0.25</v>
          </cell>
          <cell r="AE89">
            <v>0.25</v>
          </cell>
          <cell r="AF89">
            <v>0.25</v>
          </cell>
          <cell r="AG89">
            <v>0.25</v>
          </cell>
          <cell r="AH89">
            <v>0.25</v>
          </cell>
          <cell r="AI89">
            <v>0.25</v>
          </cell>
          <cell r="AJ89">
            <v>0.25</v>
          </cell>
          <cell r="AK89">
            <v>0.25</v>
          </cell>
          <cell r="AL89">
            <v>0.25</v>
          </cell>
          <cell r="AM89">
            <v>0.25</v>
          </cell>
          <cell r="AN89">
            <v>0.25</v>
          </cell>
          <cell r="AO89">
            <v>0.25</v>
          </cell>
          <cell r="AP89">
            <v>0.25</v>
          </cell>
          <cell r="AQ89">
            <v>0.25</v>
          </cell>
          <cell r="AR89">
            <v>0.25</v>
          </cell>
          <cell r="AS89">
            <v>0.25</v>
          </cell>
          <cell r="AT89">
            <v>-0.04</v>
          </cell>
          <cell r="AU89">
            <v>0.92</v>
          </cell>
          <cell r="AV89">
            <v>20</v>
          </cell>
          <cell r="AY89" t="str">
            <v/>
          </cell>
          <cell r="AZ89">
            <v>0.25</v>
          </cell>
          <cell r="BA89">
            <v>0.25</v>
          </cell>
        </row>
        <row r="90">
          <cell r="A90" t="str">
            <v>ALE PLAST</v>
          </cell>
          <cell r="B90" t="str">
            <v>ALESSANDRA PULEDDA</v>
          </cell>
          <cell r="D90" t="str">
            <v>VIA SANT'AGOSTINO, 35</v>
          </cell>
          <cell r="E90" t="str">
            <v>07041</v>
          </cell>
          <cell r="F90" t="str">
            <v>ALGHERO</v>
          </cell>
          <cell r="G90" t="str">
            <v>SS</v>
          </cell>
          <cell r="H90" t="str">
            <v>ITALIA</v>
          </cell>
          <cell r="M90" t="str">
            <v>UFFICIO ACQUISTI</v>
          </cell>
          <cell r="N90" t="str">
            <v>079 9738992</v>
          </cell>
          <cell r="O90" t="str">
            <v>351 5465413 ALESSANDRA PULEDDA</v>
          </cell>
          <cell r="P90" t="str">
            <v>aleplast.alghero@gmail.com</v>
          </cell>
          <cell r="R90" t="str">
            <v>BONIFICO BANCARIO, ALLA DATA DELLA NOSTRA CONFERMA D'ORDINE</v>
          </cell>
          <cell r="X90">
            <v>0.2</v>
          </cell>
          <cell r="Y90">
            <v>-0.04</v>
          </cell>
          <cell r="AB90">
            <v>0.2</v>
          </cell>
          <cell r="AC90">
            <v>0.2</v>
          </cell>
          <cell r="AD90">
            <v>0.2</v>
          </cell>
          <cell r="AE90">
            <v>0.2</v>
          </cell>
          <cell r="AF90">
            <v>0.2</v>
          </cell>
          <cell r="AG90">
            <v>0.2</v>
          </cell>
          <cell r="AH90">
            <v>0.2</v>
          </cell>
          <cell r="AI90">
            <v>0.2</v>
          </cell>
          <cell r="AJ90">
            <v>0.2</v>
          </cell>
          <cell r="AK90">
            <v>0.2</v>
          </cell>
          <cell r="AL90">
            <v>0.2</v>
          </cell>
          <cell r="AM90">
            <v>0.2</v>
          </cell>
          <cell r="AN90">
            <v>0.2</v>
          </cell>
          <cell r="AO90">
            <v>0.2</v>
          </cell>
          <cell r="AP90">
            <v>0.2</v>
          </cell>
          <cell r="AQ90">
            <v>0.2</v>
          </cell>
          <cell r="AR90">
            <v>0.2</v>
          </cell>
          <cell r="AS90">
            <v>0.2</v>
          </cell>
          <cell r="AT90">
            <v>-0.04</v>
          </cell>
          <cell r="AU90">
            <v>0.92</v>
          </cell>
          <cell r="AV90">
            <v>20</v>
          </cell>
          <cell r="AZ90">
            <v>0.2</v>
          </cell>
          <cell r="BA90">
            <v>0.2</v>
          </cell>
        </row>
        <row r="91">
          <cell r="A91" t="str">
            <v>ALESSANDRO ARESU</v>
          </cell>
          <cell r="D91" t="str">
            <v>ZONA ARTIGIANALE P.I.P, 2</v>
          </cell>
          <cell r="E91" t="str">
            <v>08040</v>
          </cell>
          <cell r="F91" t="str">
            <v>LOCERI</v>
          </cell>
          <cell r="G91" t="str">
            <v>NU</v>
          </cell>
          <cell r="H91" t="str">
            <v>ITALIA</v>
          </cell>
          <cell r="M91" t="str">
            <v>UFFICIO ACQUISTI</v>
          </cell>
          <cell r="N91" t="str">
            <v>0782 77478</v>
          </cell>
          <cell r="P91" t="str">
            <v>alessandroaresu@libero.it</v>
          </cell>
          <cell r="R91" t="str">
            <v>BONIFICO BANCARIO, ALLA DATA DELLA NOSTRA CONFERMA D'ORDINE</v>
          </cell>
          <cell r="X91">
            <v>0.2</v>
          </cell>
          <cell r="Y91">
            <v>-0.04</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-0.04</v>
          </cell>
          <cell r="AU91">
            <v>0.92</v>
          </cell>
          <cell r="AV91">
            <v>20</v>
          </cell>
          <cell r="AZ91">
            <v>0.2</v>
          </cell>
          <cell r="BA91">
            <v>0.2</v>
          </cell>
        </row>
        <row r="92">
          <cell r="A92" t="str">
            <v>ALFA SERRAMENTI</v>
          </cell>
          <cell r="D92" t="str">
            <v>VIALE VENEZIA 185</v>
          </cell>
          <cell r="E92" t="str">
            <v>33033</v>
          </cell>
          <cell r="F92" t="str">
            <v>CODROIPO</v>
          </cell>
          <cell r="G92" t="str">
            <v>UD</v>
          </cell>
          <cell r="H92" t="str">
            <v>ITALIA</v>
          </cell>
          <cell r="M92" t="str">
            <v>UFFICIO ACQUISTI</v>
          </cell>
          <cell r="N92" t="str">
            <v>0432 901103</v>
          </cell>
          <cell r="P92" t="str">
            <v>info@alfaserramenti.it</v>
          </cell>
          <cell r="R92" t="str">
            <v>BONIFICO BANCARIO, ALLA DATA DELLA NOSTRA CONFERMA D'ORDINE</v>
          </cell>
          <cell r="X92">
            <v>0.25</v>
          </cell>
          <cell r="Y92">
            <v>-0.04</v>
          </cell>
          <cell r="AB92">
            <v>0.25</v>
          </cell>
          <cell r="AC92">
            <v>0.25</v>
          </cell>
          <cell r="AD92">
            <v>0.25</v>
          </cell>
          <cell r="AE92">
            <v>0.25</v>
          </cell>
          <cell r="AF92">
            <v>0.25</v>
          </cell>
          <cell r="AG92">
            <v>0.25</v>
          </cell>
          <cell r="AH92">
            <v>0.25</v>
          </cell>
          <cell r="AI92">
            <v>0.25</v>
          </cell>
          <cell r="AJ92">
            <v>0.25</v>
          </cell>
          <cell r="AK92">
            <v>0.25</v>
          </cell>
          <cell r="AL92">
            <v>0.25</v>
          </cell>
          <cell r="AM92">
            <v>0.25</v>
          </cell>
          <cell r="AN92">
            <v>0.25</v>
          </cell>
          <cell r="AO92">
            <v>0.25</v>
          </cell>
          <cell r="AP92">
            <v>0.25</v>
          </cell>
          <cell r="AQ92">
            <v>0.25</v>
          </cell>
          <cell r="AR92">
            <v>0.25</v>
          </cell>
          <cell r="AS92">
            <v>0.25</v>
          </cell>
          <cell r="AT92">
            <v>-0.04</v>
          </cell>
          <cell r="AU92">
            <v>0.92</v>
          </cell>
          <cell r="AV92">
            <v>20</v>
          </cell>
          <cell r="AY92" t="str">
            <v/>
          </cell>
          <cell r="AZ92">
            <v>0.25</v>
          </cell>
          <cell r="BA92">
            <v>0.25</v>
          </cell>
        </row>
        <row r="93">
          <cell r="A93" t="str">
            <v>ALFA SRL</v>
          </cell>
          <cell r="D93" t="str">
            <v>VIA CIRCONVALLAZIONE EST</v>
          </cell>
          <cell r="E93" t="str">
            <v>08045</v>
          </cell>
          <cell r="F93" t="str">
            <v>LANUSEI</v>
          </cell>
          <cell r="G93" t="str">
            <v>NU</v>
          </cell>
          <cell r="H93" t="str">
            <v>ITALIA</v>
          </cell>
          <cell r="J93" t="str">
            <v>01137330014</v>
          </cell>
          <cell r="K93" t="str">
            <v>M5UXCR1</v>
          </cell>
          <cell r="M93" t="str">
            <v>UFFICIO ACQUISTI</v>
          </cell>
          <cell r="N93" t="str">
            <v>0782 42422</v>
          </cell>
          <cell r="P93" t="str">
            <v>info@arzualfasrl.it</v>
          </cell>
          <cell r="Q93" t="str">
            <v>alfasrl.lanusei@tiscali.it</v>
          </cell>
          <cell r="R93" t="str">
            <v>BONIFICO BANCARIO, ALLA DATA DELLA NOSTRA CONFERMA D'ORDINE</v>
          </cell>
          <cell r="X93">
            <v>0.25</v>
          </cell>
          <cell r="Y93">
            <v>-0.04</v>
          </cell>
          <cell r="AB93">
            <v>0.25</v>
          </cell>
          <cell r="AC93">
            <v>0.25</v>
          </cell>
          <cell r="AD93">
            <v>0.25</v>
          </cell>
          <cell r="AE93">
            <v>0.25</v>
          </cell>
          <cell r="AF93">
            <v>0.25</v>
          </cell>
          <cell r="AG93">
            <v>0.25</v>
          </cell>
          <cell r="AH93">
            <v>0.25</v>
          </cell>
          <cell r="AI93">
            <v>0.25</v>
          </cell>
          <cell r="AJ93">
            <v>0.25</v>
          </cell>
          <cell r="AK93">
            <v>0.25</v>
          </cell>
          <cell r="AL93">
            <v>0.25</v>
          </cell>
          <cell r="AM93">
            <v>0.25</v>
          </cell>
          <cell r="AN93">
            <v>0.25</v>
          </cell>
          <cell r="AO93">
            <v>0.25</v>
          </cell>
          <cell r="AP93">
            <v>0.25</v>
          </cell>
          <cell r="AQ93">
            <v>0.25</v>
          </cell>
          <cell r="AR93">
            <v>0.25</v>
          </cell>
          <cell r="AS93">
            <v>0.25</v>
          </cell>
          <cell r="AT93">
            <v>-0.04</v>
          </cell>
          <cell r="AU93">
            <v>0.92</v>
          </cell>
          <cell r="AV93">
            <v>20</v>
          </cell>
          <cell r="AZ93">
            <v>0.25</v>
          </cell>
          <cell r="BA93">
            <v>0.25</v>
          </cell>
        </row>
        <row r="94">
          <cell r="A94" t="str">
            <v>ALFANO SERRAMENTI</v>
          </cell>
          <cell r="B94" t="str">
            <v>ALBERTO FIGLIO</v>
          </cell>
          <cell r="D94" t="str">
            <v>VIA DELLA LIBERTA',</v>
          </cell>
          <cell r="E94">
            <v>84086</v>
          </cell>
          <cell r="F94" t="str">
            <v>ROCCAPIEMONTE</v>
          </cell>
          <cell r="G94" t="str">
            <v>SA</v>
          </cell>
          <cell r="H94" t="str">
            <v>ITALIA</v>
          </cell>
          <cell r="J94" t="str">
            <v>03727390654</v>
          </cell>
          <cell r="M94" t="str">
            <v>UFFICIO ACQUISTI</v>
          </cell>
          <cell r="N94" t="str">
            <v>081 934017</v>
          </cell>
          <cell r="P94" t="str">
            <v>info@alfanoserramenti.it</v>
          </cell>
          <cell r="R94" t="str">
            <v>BONIFICO BANCARIO, ALLA DATA DELLA NOSTRA CONFERMA D'ORDINE</v>
          </cell>
          <cell r="X94">
            <v>0.25</v>
          </cell>
          <cell r="Y94">
            <v>-0.04</v>
          </cell>
          <cell r="AB94">
            <v>0.25</v>
          </cell>
          <cell r="AC94">
            <v>0.25</v>
          </cell>
          <cell r="AD94">
            <v>0.25</v>
          </cell>
          <cell r="AE94">
            <v>0.25</v>
          </cell>
          <cell r="AF94">
            <v>0.25</v>
          </cell>
          <cell r="AG94">
            <v>0.25</v>
          </cell>
          <cell r="AH94">
            <v>0.25</v>
          </cell>
          <cell r="AI94">
            <v>0.25</v>
          </cell>
          <cell r="AJ94">
            <v>0.25</v>
          </cell>
          <cell r="AK94">
            <v>0.25</v>
          </cell>
          <cell r="AL94">
            <v>0.25</v>
          </cell>
          <cell r="AM94">
            <v>0.25</v>
          </cell>
          <cell r="AN94">
            <v>0.25</v>
          </cell>
          <cell r="AO94">
            <v>0.25</v>
          </cell>
          <cell r="AP94">
            <v>0.25</v>
          </cell>
          <cell r="AQ94">
            <v>0.25</v>
          </cell>
          <cell r="AR94">
            <v>0.25</v>
          </cell>
          <cell r="AS94">
            <v>0.25</v>
          </cell>
          <cell r="AT94">
            <v>-0.04</v>
          </cell>
          <cell r="AU94">
            <v>0.92</v>
          </cell>
          <cell r="AV94">
            <v>20</v>
          </cell>
          <cell r="AZ94">
            <v>0.25</v>
          </cell>
          <cell r="BA94">
            <v>0.25</v>
          </cell>
        </row>
        <row r="95">
          <cell r="A95" t="str">
            <v>ALFE SRL</v>
          </cell>
          <cell r="B95" t="str">
            <v>DIR.GEN.BASTIANO PORCU</v>
          </cell>
          <cell r="D95" t="str">
            <v>ZONA IND.PRATO SARDO STRADA E LOTTO 114</v>
          </cell>
          <cell r="E95" t="str">
            <v>08100</v>
          </cell>
          <cell r="F95" t="str">
            <v>NUORO</v>
          </cell>
          <cell r="G95" t="str">
            <v>NU</v>
          </cell>
          <cell r="H95" t="str">
            <v>ITALIA</v>
          </cell>
          <cell r="M95" t="str">
            <v>UFFICIO ACQUISTI</v>
          </cell>
          <cell r="N95" t="str">
            <v>0784 294103</v>
          </cell>
          <cell r="O95" t="str">
            <v>393 8583040 BASTIANO PORCU</v>
          </cell>
          <cell r="P95" t="str">
            <v>bastiano.porcu@alfesrl.com</v>
          </cell>
          <cell r="R95" t="str">
            <v>BONIFICO BANCARIO, ALLA DATA DELLA NOSTRA CONFERMA D'ORDINE</v>
          </cell>
          <cell r="X95">
            <v>0.2</v>
          </cell>
          <cell r="Y95">
            <v>-0.04</v>
          </cell>
          <cell r="AB95">
            <v>0.2</v>
          </cell>
          <cell r="AC95">
            <v>0.2</v>
          </cell>
          <cell r="AD95">
            <v>0.2</v>
          </cell>
          <cell r="AE95">
            <v>0.2</v>
          </cell>
          <cell r="AF95">
            <v>0.2</v>
          </cell>
          <cell r="AG95">
            <v>0.2</v>
          </cell>
          <cell r="AH95">
            <v>0.2</v>
          </cell>
          <cell r="AI95">
            <v>0.2</v>
          </cell>
          <cell r="AJ95">
            <v>0.2</v>
          </cell>
          <cell r="AK95">
            <v>0.2</v>
          </cell>
          <cell r="AL95">
            <v>0.2</v>
          </cell>
          <cell r="AM95">
            <v>0.2</v>
          </cell>
          <cell r="AN95">
            <v>0.2</v>
          </cell>
          <cell r="AO95">
            <v>0.2</v>
          </cell>
          <cell r="AP95">
            <v>0.2</v>
          </cell>
          <cell r="AQ95">
            <v>0.2</v>
          </cell>
          <cell r="AR95">
            <v>0.2</v>
          </cell>
          <cell r="AS95">
            <v>0.2</v>
          </cell>
          <cell r="AT95">
            <v>-0.04</v>
          </cell>
          <cell r="AU95">
            <v>0.92</v>
          </cell>
          <cell r="AV95">
            <v>20</v>
          </cell>
          <cell r="AZ95">
            <v>0.2</v>
          </cell>
          <cell r="BA95">
            <v>0.2</v>
          </cell>
        </row>
        <row r="96">
          <cell r="A96" t="str">
            <v>ALFER SERRAMENTI SAS</v>
          </cell>
          <cell r="D96" t="str">
            <v>STRADA ALESSANDRIA 76 A</v>
          </cell>
          <cell r="E96" t="str">
            <v xml:space="preserve">15033 </v>
          </cell>
          <cell r="F96" t="str">
            <v>CASALE MONFERRATO</v>
          </cell>
          <cell r="G96" t="str">
            <v>AL</v>
          </cell>
          <cell r="H96" t="str">
            <v>ITALIA</v>
          </cell>
          <cell r="J96" t="str">
            <v>01005580066</v>
          </cell>
          <cell r="M96" t="str">
            <v>UFFICIO ACQUISTI</v>
          </cell>
          <cell r="N96" t="str">
            <v>0142 50571</v>
          </cell>
          <cell r="O96" t="str">
            <v>335 6810393</v>
          </cell>
          <cell r="P96" t="str">
            <v>alfer@simail.it</v>
          </cell>
          <cell r="R96" t="str">
            <v>BONIFICO BANCARIO, ALLA DATA DELLA NOSTRA CONFERMA D'ORDINE</v>
          </cell>
          <cell r="X96">
            <v>0.25</v>
          </cell>
          <cell r="Y96">
            <v>-0.04</v>
          </cell>
          <cell r="AB96">
            <v>0.25</v>
          </cell>
          <cell r="AC96">
            <v>0.25</v>
          </cell>
          <cell r="AD96">
            <v>0.25</v>
          </cell>
          <cell r="AE96">
            <v>0.25</v>
          </cell>
          <cell r="AF96">
            <v>0.25</v>
          </cell>
          <cell r="AG96">
            <v>0.25</v>
          </cell>
          <cell r="AH96">
            <v>0.25</v>
          </cell>
          <cell r="AI96">
            <v>0.25</v>
          </cell>
          <cell r="AJ96">
            <v>0.25</v>
          </cell>
          <cell r="AK96">
            <v>0.25</v>
          </cell>
          <cell r="AL96">
            <v>0.25</v>
          </cell>
          <cell r="AM96">
            <v>0.25</v>
          </cell>
          <cell r="AN96">
            <v>0.25</v>
          </cell>
          <cell r="AO96">
            <v>0.25</v>
          </cell>
          <cell r="AP96">
            <v>0.25</v>
          </cell>
          <cell r="AQ96">
            <v>0.25</v>
          </cell>
          <cell r="AR96">
            <v>0.25</v>
          </cell>
          <cell r="AS96">
            <v>0.25</v>
          </cell>
          <cell r="AT96">
            <v>-0.04</v>
          </cell>
          <cell r="AU96">
            <v>0.92</v>
          </cell>
          <cell r="AV96">
            <v>20</v>
          </cell>
          <cell r="AY96" t="str">
            <v/>
          </cell>
          <cell r="AZ96">
            <v>0.25</v>
          </cell>
          <cell r="BA96">
            <v>0.25</v>
          </cell>
        </row>
        <row r="97">
          <cell r="A97" t="str">
            <v>ALL FERR S.R.L.</v>
          </cell>
          <cell r="D97" t="str">
            <v>VIA A.TURCO, 75 77</v>
          </cell>
          <cell r="E97">
            <v>88100</v>
          </cell>
          <cell r="F97" t="str">
            <v>CATANZARO</v>
          </cell>
          <cell r="G97" t="str">
            <v>CZ</v>
          </cell>
          <cell r="H97" t="str">
            <v>ITALIA</v>
          </cell>
          <cell r="J97" t="str">
            <v>03395630795</v>
          </cell>
          <cell r="M97" t="str">
            <v>UFFICIO ACQUISTI</v>
          </cell>
          <cell r="O97" t="str">
            <v>328 1793141</v>
          </cell>
          <cell r="R97" t="str">
            <v>BONIFICO BANCARIO, ALLA DATA DELLA NOSTRA CONFERMA D'ORDINE</v>
          </cell>
          <cell r="X97">
            <v>0.25</v>
          </cell>
          <cell r="Y97">
            <v>-0.04</v>
          </cell>
          <cell r="AB97">
            <v>0.25</v>
          </cell>
          <cell r="AC97">
            <v>0.25</v>
          </cell>
          <cell r="AD97">
            <v>0.25</v>
          </cell>
          <cell r="AE97">
            <v>0.25</v>
          </cell>
          <cell r="AF97">
            <v>0.25</v>
          </cell>
          <cell r="AG97">
            <v>0.25</v>
          </cell>
          <cell r="AH97">
            <v>0.25</v>
          </cell>
          <cell r="AI97">
            <v>0.25</v>
          </cell>
          <cell r="AJ97">
            <v>0.25</v>
          </cell>
          <cell r="AK97">
            <v>0.25</v>
          </cell>
          <cell r="AL97">
            <v>0.25</v>
          </cell>
          <cell r="AM97">
            <v>0.25</v>
          </cell>
          <cell r="AN97">
            <v>0.25</v>
          </cell>
          <cell r="AO97">
            <v>0.25</v>
          </cell>
          <cell r="AP97">
            <v>0.25</v>
          </cell>
          <cell r="AQ97">
            <v>0.25</v>
          </cell>
          <cell r="AR97">
            <v>0.25</v>
          </cell>
          <cell r="AS97">
            <v>0.25</v>
          </cell>
          <cell r="AT97">
            <v>-0.04</v>
          </cell>
          <cell r="AU97">
            <v>0.92</v>
          </cell>
          <cell r="AV97">
            <v>20</v>
          </cell>
          <cell r="AW97" t="str">
            <v>PIETRO OLIVADOTI</v>
          </cell>
          <cell r="AX97">
            <v>0.95</v>
          </cell>
          <cell r="AY97" t="str">
            <v/>
          </cell>
          <cell r="AZ97">
            <v>0.25</v>
          </cell>
          <cell r="BA97">
            <v>0.25</v>
          </cell>
        </row>
        <row r="98">
          <cell r="A98" t="str">
            <v>ALL SER S.A.S.</v>
          </cell>
          <cell r="D98" t="str">
            <v xml:space="preserve">STRADA DEL RECIOTO, 18 C </v>
          </cell>
          <cell r="E98">
            <v>37024</v>
          </cell>
          <cell r="F98" t="str">
            <v>NEGRAR</v>
          </cell>
          <cell r="G98" t="str">
            <v>VR</v>
          </cell>
          <cell r="H98" t="str">
            <v>ITALIA</v>
          </cell>
          <cell r="I98" t="str">
            <v>02551180231</v>
          </cell>
          <cell r="J98" t="str">
            <v>02551180231</v>
          </cell>
          <cell r="M98" t="str">
            <v>UFFICIO ACQUISTI</v>
          </cell>
          <cell r="N98" t="str">
            <v>045 7501300</v>
          </cell>
          <cell r="R98" t="str">
            <v>BONIFICO BANCARIO, ALLA DATA DELLA NOSTRA CONFERMA D'ORDINE</v>
          </cell>
          <cell r="X98">
            <v>0.25</v>
          </cell>
          <cell r="Y98">
            <v>-0.04</v>
          </cell>
          <cell r="AB98">
            <v>0.25</v>
          </cell>
          <cell r="AC98">
            <v>0.25</v>
          </cell>
          <cell r="AD98">
            <v>0.25</v>
          </cell>
          <cell r="AE98">
            <v>0.25</v>
          </cell>
          <cell r="AF98">
            <v>0.25</v>
          </cell>
          <cell r="AG98">
            <v>0.25</v>
          </cell>
          <cell r="AH98">
            <v>0.25</v>
          </cell>
          <cell r="AI98">
            <v>0.25</v>
          </cell>
          <cell r="AJ98">
            <v>0.25</v>
          </cell>
          <cell r="AK98">
            <v>0.25</v>
          </cell>
          <cell r="AL98">
            <v>0.25</v>
          </cell>
          <cell r="AM98">
            <v>0.25</v>
          </cell>
          <cell r="AN98">
            <v>0.25</v>
          </cell>
          <cell r="AO98">
            <v>0.25</v>
          </cell>
          <cell r="AP98">
            <v>0.25</v>
          </cell>
          <cell r="AQ98">
            <v>0.25</v>
          </cell>
          <cell r="AR98">
            <v>0.25</v>
          </cell>
          <cell r="AS98">
            <v>0.25</v>
          </cell>
          <cell r="AT98">
            <v>-0.04</v>
          </cell>
          <cell r="AU98">
            <v>0.92</v>
          </cell>
          <cell r="AV98">
            <v>20</v>
          </cell>
          <cell r="AY98" t="str">
            <v/>
          </cell>
          <cell r="AZ98">
            <v>0.25</v>
          </cell>
          <cell r="BA98">
            <v>0.25</v>
          </cell>
        </row>
        <row r="99">
          <cell r="A99" t="str">
            <v xml:space="preserve">ALL SYSTEM SERRAMENTI </v>
          </cell>
          <cell r="D99" t="str">
            <v>VIA BRAIE, 299</v>
          </cell>
          <cell r="E99">
            <v>18033</v>
          </cell>
          <cell r="F99" t="str">
            <v>CAMPOROSSO</v>
          </cell>
          <cell r="G99" t="str">
            <v>IM</v>
          </cell>
          <cell r="H99" t="str">
            <v>ITALIA</v>
          </cell>
          <cell r="I99" t="str">
            <v>SBBSMN83E03A984I</v>
          </cell>
          <cell r="J99">
            <v>1411400086</v>
          </cell>
          <cell r="M99" t="str">
            <v>UFFICIO ACQUISTI</v>
          </cell>
          <cell r="N99" t="str">
            <v>0184 298383</v>
          </cell>
          <cell r="O99" t="str">
            <v>345 2937772</v>
          </cell>
          <cell r="P99" t="str">
            <v>allsystemdisabbadin@gmail.com</v>
          </cell>
          <cell r="R99" t="str">
            <v>BONIFICO BANCARIO, ALLA DATA DELLA NOSTRA CONFERMA D'ORDINE</v>
          </cell>
          <cell r="X99">
            <v>0.25</v>
          </cell>
          <cell r="Y99">
            <v>-0.04</v>
          </cell>
          <cell r="AB99">
            <v>0.25</v>
          </cell>
          <cell r="AC99">
            <v>0.25</v>
          </cell>
          <cell r="AD99">
            <v>0.25</v>
          </cell>
          <cell r="AE99">
            <v>0.25</v>
          </cell>
          <cell r="AF99">
            <v>0.25</v>
          </cell>
          <cell r="AG99">
            <v>0.25</v>
          </cell>
          <cell r="AH99">
            <v>0.25</v>
          </cell>
          <cell r="AI99">
            <v>0.25</v>
          </cell>
          <cell r="AJ99">
            <v>0.25</v>
          </cell>
          <cell r="AK99">
            <v>0.25</v>
          </cell>
          <cell r="AL99">
            <v>0.25</v>
          </cell>
          <cell r="AM99">
            <v>0.25</v>
          </cell>
          <cell r="AN99">
            <v>0.25</v>
          </cell>
          <cell r="AO99">
            <v>0.25</v>
          </cell>
          <cell r="AP99">
            <v>0.25</v>
          </cell>
          <cell r="AQ99">
            <v>0.25</v>
          </cell>
          <cell r="AR99">
            <v>0.25</v>
          </cell>
          <cell r="AS99">
            <v>0.25</v>
          </cell>
          <cell r="AT99">
            <v>-0.04</v>
          </cell>
          <cell r="AU99">
            <v>0.92</v>
          </cell>
          <cell r="AV99">
            <v>20</v>
          </cell>
          <cell r="AY99" t="str">
            <v/>
          </cell>
          <cell r="AZ99">
            <v>0.25</v>
          </cell>
          <cell r="BA99">
            <v>0.25</v>
          </cell>
        </row>
        <row r="100">
          <cell r="A100" t="str">
            <v>ALL. FENSTER S.R.L.</v>
          </cell>
          <cell r="D100" t="str">
            <v>VIA FRASCHERI 2 R</v>
          </cell>
          <cell r="F100" t="str">
            <v>GENOVA VOLTRI</v>
          </cell>
          <cell r="G100" t="str">
            <v>GE</v>
          </cell>
          <cell r="H100" t="str">
            <v>ITALIA</v>
          </cell>
          <cell r="M100" t="str">
            <v>UFFICIO ACQUISTI</v>
          </cell>
          <cell r="N100" t="str">
            <v>010 6136618 - 019 703454</v>
          </cell>
          <cell r="R100" t="str">
            <v>BONIFICO BANCARIO, ALLA DATA DELLA NOSTRA CONFERMA D'ORDINE</v>
          </cell>
          <cell r="X100">
            <v>0.25</v>
          </cell>
          <cell r="Y100">
            <v>-0.04</v>
          </cell>
          <cell r="AB100">
            <v>0.25</v>
          </cell>
          <cell r="AC100">
            <v>0.25</v>
          </cell>
          <cell r="AD100">
            <v>0.25</v>
          </cell>
          <cell r="AE100">
            <v>0.25</v>
          </cell>
          <cell r="AF100">
            <v>0.25</v>
          </cell>
          <cell r="AG100">
            <v>0.25</v>
          </cell>
          <cell r="AH100">
            <v>0.25</v>
          </cell>
          <cell r="AI100">
            <v>0.25</v>
          </cell>
          <cell r="AJ100">
            <v>0.25</v>
          </cell>
          <cell r="AK100">
            <v>0.25</v>
          </cell>
          <cell r="AL100">
            <v>0.25</v>
          </cell>
          <cell r="AM100">
            <v>0.25</v>
          </cell>
          <cell r="AN100">
            <v>0.25</v>
          </cell>
          <cell r="AO100">
            <v>0.25</v>
          </cell>
          <cell r="AP100">
            <v>0.25</v>
          </cell>
          <cell r="AQ100">
            <v>0.25</v>
          </cell>
          <cell r="AR100">
            <v>0.25</v>
          </cell>
          <cell r="AS100">
            <v>0.25</v>
          </cell>
          <cell r="AT100">
            <v>-0.04</v>
          </cell>
          <cell r="AU100">
            <v>0.92</v>
          </cell>
          <cell r="AV100">
            <v>20</v>
          </cell>
          <cell r="AY100" t="str">
            <v/>
          </cell>
          <cell r="AZ100">
            <v>0.25</v>
          </cell>
          <cell r="BA100">
            <v>0.25</v>
          </cell>
        </row>
        <row r="101">
          <cell r="A101" t="str">
            <v>ALLART CENTER</v>
          </cell>
          <cell r="D101" t="str">
            <v>VIA TIBURTINA 255</v>
          </cell>
          <cell r="E101" t="str">
            <v>00162</v>
          </cell>
          <cell r="F101" t="str">
            <v>ROMA</v>
          </cell>
          <cell r="G101" t="str">
            <v>RM</v>
          </cell>
          <cell r="H101" t="str">
            <v>ITALIA</v>
          </cell>
          <cell r="M101" t="str">
            <v>UFFICIO ACQUISTI</v>
          </cell>
          <cell r="N101" t="str">
            <v>06 491404</v>
          </cell>
          <cell r="P101" t="str">
            <v>info@allartcenter.it</v>
          </cell>
          <cell r="R101" t="str">
            <v>BONIFICO BANCARIO, ALLA DATA DELLA NOSTRA CONFERMA D'ORDINE</v>
          </cell>
          <cell r="X101">
            <v>0.25</v>
          </cell>
          <cell r="Y101">
            <v>-0.04</v>
          </cell>
          <cell r="AB101">
            <v>0.25</v>
          </cell>
          <cell r="AC101">
            <v>0.25</v>
          </cell>
          <cell r="AD101">
            <v>0.25</v>
          </cell>
          <cell r="AE101">
            <v>0.25</v>
          </cell>
          <cell r="AF101">
            <v>0.25</v>
          </cell>
          <cell r="AG101">
            <v>0.25</v>
          </cell>
          <cell r="AH101">
            <v>0.25</v>
          </cell>
          <cell r="AI101">
            <v>0.25</v>
          </cell>
          <cell r="AJ101">
            <v>0.25</v>
          </cell>
          <cell r="AK101">
            <v>0.25</v>
          </cell>
          <cell r="AL101">
            <v>0.25</v>
          </cell>
          <cell r="AM101">
            <v>0.25</v>
          </cell>
          <cell r="AN101">
            <v>0.25</v>
          </cell>
          <cell r="AO101">
            <v>0.25</v>
          </cell>
          <cell r="AP101">
            <v>0.25</v>
          </cell>
          <cell r="AQ101">
            <v>0.25</v>
          </cell>
          <cell r="AR101">
            <v>0.25</v>
          </cell>
          <cell r="AS101">
            <v>0.25</v>
          </cell>
          <cell r="AT101">
            <v>-0.04</v>
          </cell>
          <cell r="AU101">
            <v>0.92</v>
          </cell>
          <cell r="AV101">
            <v>20</v>
          </cell>
          <cell r="AY101" t="str">
            <v/>
          </cell>
          <cell r="AZ101">
            <v>0.25</v>
          </cell>
          <cell r="BA101">
            <v>0.25</v>
          </cell>
        </row>
        <row r="102">
          <cell r="A102" t="str">
            <v>ALLEGRA VINCENZO</v>
          </cell>
          <cell r="D102" t="str">
            <v>VIA DELLA PROVINCIA, 43</v>
          </cell>
          <cell r="F102" t="str">
            <v>CAMPOFELICE DI ROCCELLA</v>
          </cell>
          <cell r="G102" t="str">
            <v>PA</v>
          </cell>
          <cell r="H102" t="str">
            <v>ITALIA</v>
          </cell>
          <cell r="M102" t="str">
            <v>UFFICIO ACQUISTI</v>
          </cell>
          <cell r="O102" t="str">
            <v>328 1562211</v>
          </cell>
          <cell r="P102" t="str">
            <v>vincenzoallegra95@gmail.com</v>
          </cell>
          <cell r="R102" t="str">
            <v>BONIFICO BANCARIO, ALLA DATA DELLA NOSTRA CONFERMA D'ORDINE</v>
          </cell>
          <cell r="X102">
            <v>0.25</v>
          </cell>
          <cell r="Y102">
            <v>-0.04</v>
          </cell>
          <cell r="AB102">
            <v>0.25</v>
          </cell>
          <cell r="AC102">
            <v>0.25</v>
          </cell>
          <cell r="AD102">
            <v>0.25</v>
          </cell>
          <cell r="AE102">
            <v>0.25</v>
          </cell>
          <cell r="AF102">
            <v>0.25</v>
          </cell>
          <cell r="AG102">
            <v>0.25</v>
          </cell>
          <cell r="AH102">
            <v>0.25</v>
          </cell>
          <cell r="AI102">
            <v>0.25</v>
          </cell>
          <cell r="AJ102">
            <v>0.25</v>
          </cell>
          <cell r="AK102">
            <v>0.25</v>
          </cell>
          <cell r="AL102">
            <v>0.25</v>
          </cell>
          <cell r="AM102">
            <v>0.25</v>
          </cell>
          <cell r="AN102">
            <v>0.25</v>
          </cell>
          <cell r="AO102">
            <v>0.25</v>
          </cell>
          <cell r="AP102">
            <v>0.25</v>
          </cell>
          <cell r="AQ102">
            <v>0.25</v>
          </cell>
          <cell r="AR102">
            <v>0.25</v>
          </cell>
          <cell r="AS102">
            <v>0.25</v>
          </cell>
          <cell r="AT102">
            <v>-0.04</v>
          </cell>
          <cell r="AU102">
            <v>0.92</v>
          </cell>
          <cell r="AV102">
            <v>20</v>
          </cell>
          <cell r="AY102" t="str">
            <v/>
          </cell>
          <cell r="AZ102">
            <v>0.25</v>
          </cell>
          <cell r="BA102">
            <v>0.25</v>
          </cell>
        </row>
        <row r="103">
          <cell r="A103" t="str">
            <v xml:space="preserve">ALLMAR </v>
          </cell>
          <cell r="D103" t="str">
            <v>VIA STATALE,  100</v>
          </cell>
          <cell r="E103">
            <v>21030</v>
          </cell>
          <cell r="F103" t="str">
            <v>CUGLIATE F.</v>
          </cell>
          <cell r="G103" t="str">
            <v>VA</v>
          </cell>
          <cell r="H103" t="str">
            <v>ITALIA</v>
          </cell>
          <cell r="J103" t="str">
            <v>03524810128</v>
          </cell>
          <cell r="M103" t="str">
            <v>UFFICIO ACQUISTI</v>
          </cell>
          <cell r="N103" t="str">
            <v>0332 997115</v>
          </cell>
          <cell r="P103" t="str">
            <v>info@allmarserramenti.com</v>
          </cell>
          <cell r="R103" t="str">
            <v>BONIFICO BANCARIO, ALLA DATA DELLA NOSTRA CONFERMA D'ORDINE</v>
          </cell>
          <cell r="X103">
            <v>0.25</v>
          </cell>
          <cell r="Y103">
            <v>-0.04</v>
          </cell>
          <cell r="AB103">
            <v>0.25</v>
          </cell>
          <cell r="AC103">
            <v>0.25</v>
          </cell>
          <cell r="AD103">
            <v>0.25</v>
          </cell>
          <cell r="AE103">
            <v>0.25</v>
          </cell>
          <cell r="AF103">
            <v>0.25</v>
          </cell>
          <cell r="AG103">
            <v>0.25</v>
          </cell>
          <cell r="AH103">
            <v>0.25</v>
          </cell>
          <cell r="AI103">
            <v>0.25</v>
          </cell>
          <cell r="AJ103">
            <v>0.25</v>
          </cell>
          <cell r="AK103">
            <v>0.25</v>
          </cell>
          <cell r="AL103">
            <v>0.25</v>
          </cell>
          <cell r="AM103">
            <v>0.25</v>
          </cell>
          <cell r="AN103">
            <v>0.25</v>
          </cell>
          <cell r="AO103">
            <v>0.25</v>
          </cell>
          <cell r="AP103">
            <v>0.25</v>
          </cell>
          <cell r="AQ103">
            <v>0.25</v>
          </cell>
          <cell r="AR103">
            <v>0.25</v>
          </cell>
          <cell r="AS103">
            <v>0.25</v>
          </cell>
          <cell r="AT103">
            <v>-0.04</v>
          </cell>
          <cell r="AU103">
            <v>0.92</v>
          </cell>
          <cell r="AV103">
            <v>20</v>
          </cell>
          <cell r="AY103" t="str">
            <v/>
          </cell>
          <cell r="AZ103">
            <v>0.25</v>
          </cell>
          <cell r="BA103">
            <v>0.25</v>
          </cell>
        </row>
        <row r="104">
          <cell r="A104" t="str">
            <v>ALLTEC DI DAVIDE AMBROSINO</v>
          </cell>
          <cell r="D104" t="str">
            <v>VIA GIOVANNI XXIII, 44</v>
          </cell>
          <cell r="E104" t="str">
            <v>07029</v>
          </cell>
          <cell r="F104" t="str">
            <v>TEMPIO PAUSANIA</v>
          </cell>
          <cell r="G104" t="str">
            <v>SS</v>
          </cell>
          <cell r="H104" t="str">
            <v>ITALIA</v>
          </cell>
          <cell r="M104" t="str">
            <v>UFFICIO ACQUISTI</v>
          </cell>
          <cell r="N104" t="str">
            <v>079 630030</v>
          </cell>
          <cell r="O104" t="str">
            <v>340 3590082</v>
          </cell>
          <cell r="P104" t="str">
            <v>alltec.serramenti@tiscali.it</v>
          </cell>
          <cell r="R104" t="str">
            <v>BONIFICO BANCARIO, ALLA DATA DELLA NOSTRA CONFERMA D'ORDINE</v>
          </cell>
          <cell r="X104">
            <v>0.2</v>
          </cell>
          <cell r="Y104">
            <v>-0.04</v>
          </cell>
          <cell r="AB104">
            <v>0.2</v>
          </cell>
          <cell r="AC104">
            <v>0.2</v>
          </cell>
          <cell r="AD104">
            <v>0.2</v>
          </cell>
          <cell r="AE104">
            <v>0.2</v>
          </cell>
          <cell r="AF104">
            <v>0.2</v>
          </cell>
          <cell r="AG104">
            <v>0.2</v>
          </cell>
          <cell r="AH104">
            <v>0.2</v>
          </cell>
          <cell r="AI104">
            <v>0.2</v>
          </cell>
          <cell r="AJ104">
            <v>0.2</v>
          </cell>
          <cell r="AK104">
            <v>0.2</v>
          </cell>
          <cell r="AL104">
            <v>0.2</v>
          </cell>
          <cell r="AM104">
            <v>0.2</v>
          </cell>
          <cell r="AN104">
            <v>0.2</v>
          </cell>
          <cell r="AO104">
            <v>0.2</v>
          </cell>
          <cell r="AP104">
            <v>0.2</v>
          </cell>
          <cell r="AQ104">
            <v>0.2</v>
          </cell>
          <cell r="AR104">
            <v>0.2</v>
          </cell>
          <cell r="AS104">
            <v>0.2</v>
          </cell>
          <cell r="AT104">
            <v>-0.04</v>
          </cell>
          <cell r="AU104">
            <v>0.92</v>
          </cell>
          <cell r="AV104">
            <v>20</v>
          </cell>
          <cell r="AZ104">
            <v>0.2</v>
          </cell>
          <cell r="BA104">
            <v>0.2</v>
          </cell>
        </row>
        <row r="105">
          <cell r="A105" t="str">
            <v>ALLTEK SERRAMENTI</v>
          </cell>
          <cell r="B105" t="str">
            <v>SALVATORE LORIGA</v>
          </cell>
          <cell r="D105" t="str">
            <v>PREDDA NIEDDA STR.44</v>
          </cell>
          <cell r="E105" t="str">
            <v>07100</v>
          </cell>
          <cell r="F105" t="str">
            <v>SASSARI</v>
          </cell>
          <cell r="G105" t="str">
            <v>SS</v>
          </cell>
          <cell r="H105" t="str">
            <v>ITALIA</v>
          </cell>
          <cell r="M105" t="str">
            <v>UFFICIO ACQUISTI</v>
          </cell>
          <cell r="N105" t="str">
            <v>079 9140166</v>
          </cell>
          <cell r="O105" t="str">
            <v>345 6919004 SALVATORE LORIGA</v>
          </cell>
          <cell r="P105" t="str">
            <v>allteksrl@gmail.com</v>
          </cell>
          <cell r="R105" t="str">
            <v>BONIFICO BANCARIO, ALLA DATA DELLA NOSTRA CONFERMA D'ORDINE</v>
          </cell>
          <cell r="X105">
            <v>0.2</v>
          </cell>
          <cell r="Y105">
            <v>-0.04</v>
          </cell>
          <cell r="AB105">
            <v>0.2</v>
          </cell>
          <cell r="AC105">
            <v>0.2</v>
          </cell>
          <cell r="AD105">
            <v>0.2</v>
          </cell>
          <cell r="AE105">
            <v>0.2</v>
          </cell>
          <cell r="AF105">
            <v>0.2</v>
          </cell>
          <cell r="AG105">
            <v>0.2</v>
          </cell>
          <cell r="AH105">
            <v>0.2</v>
          </cell>
          <cell r="AI105">
            <v>0.2</v>
          </cell>
          <cell r="AJ105">
            <v>0.2</v>
          </cell>
          <cell r="AK105">
            <v>0.2</v>
          </cell>
          <cell r="AL105">
            <v>0.2</v>
          </cell>
          <cell r="AM105">
            <v>0.2</v>
          </cell>
          <cell r="AN105">
            <v>0.2</v>
          </cell>
          <cell r="AO105">
            <v>0.2</v>
          </cell>
          <cell r="AP105">
            <v>0.2</v>
          </cell>
          <cell r="AQ105">
            <v>0.2</v>
          </cell>
          <cell r="AR105">
            <v>0.2</v>
          </cell>
          <cell r="AS105">
            <v>0.2</v>
          </cell>
          <cell r="AT105">
            <v>-0.04</v>
          </cell>
          <cell r="AU105">
            <v>0.92</v>
          </cell>
          <cell r="AV105">
            <v>20</v>
          </cell>
          <cell r="AZ105">
            <v>0.2</v>
          </cell>
          <cell r="BA105">
            <v>0.2</v>
          </cell>
        </row>
        <row r="106">
          <cell r="A106" t="str">
            <v>ALLU SYSTEM</v>
          </cell>
          <cell r="D106" t="str">
            <v>STRADA MASSETANA ROMANA, 16</v>
          </cell>
          <cell r="E106" t="str">
            <v>53100</v>
          </cell>
          <cell r="F106" t="str">
            <v>SIENA</v>
          </cell>
          <cell r="G106" t="str">
            <v>SI</v>
          </cell>
          <cell r="H106" t="str">
            <v>ITALIA</v>
          </cell>
          <cell r="M106" t="str">
            <v>UFFICIO ACQUISTI</v>
          </cell>
          <cell r="N106" t="str">
            <v>0577 271607</v>
          </cell>
          <cell r="O106" t="str">
            <v>333 2610207</v>
          </cell>
          <cell r="P106" t="str">
            <v>info@allusystemsrl.com</v>
          </cell>
          <cell r="R106" t="str">
            <v>BONIFICO BANCARIO, ALLA DATA DELLA NOSTRA CONFERMA D'ORDINE</v>
          </cell>
          <cell r="X106">
            <v>0.25</v>
          </cell>
          <cell r="Y106">
            <v>-0.04</v>
          </cell>
          <cell r="AB106">
            <v>0.25</v>
          </cell>
          <cell r="AC106">
            <v>0.25</v>
          </cell>
          <cell r="AD106">
            <v>0.25</v>
          </cell>
          <cell r="AE106">
            <v>0.25</v>
          </cell>
          <cell r="AF106">
            <v>0.25</v>
          </cell>
          <cell r="AG106">
            <v>0.25</v>
          </cell>
          <cell r="AH106">
            <v>0.25</v>
          </cell>
          <cell r="AI106">
            <v>0.25</v>
          </cell>
          <cell r="AJ106">
            <v>0.25</v>
          </cell>
          <cell r="AK106">
            <v>0.25</v>
          </cell>
          <cell r="AL106">
            <v>0.25</v>
          </cell>
          <cell r="AM106">
            <v>0.25</v>
          </cell>
          <cell r="AN106">
            <v>0.25</v>
          </cell>
          <cell r="AO106">
            <v>0.25</v>
          </cell>
          <cell r="AP106">
            <v>0.25</v>
          </cell>
          <cell r="AQ106">
            <v>0.25</v>
          </cell>
          <cell r="AR106">
            <v>0.25</v>
          </cell>
          <cell r="AS106">
            <v>0.25</v>
          </cell>
          <cell r="AT106">
            <v>-0.04</v>
          </cell>
          <cell r="AU106">
            <v>0.92</v>
          </cell>
          <cell r="AV106">
            <v>20</v>
          </cell>
          <cell r="AY106" t="str">
            <v/>
          </cell>
          <cell r="AZ106">
            <v>0.25</v>
          </cell>
          <cell r="BA106">
            <v>0.25</v>
          </cell>
        </row>
        <row r="107">
          <cell r="A107" t="str">
            <v>ALLUINFIS LONARDI SAS</v>
          </cell>
          <cell r="D107" t="str">
            <v>VIA VALLE DI PRUVINIANO, 18</v>
          </cell>
          <cell r="E107">
            <v>37029</v>
          </cell>
          <cell r="F107" t="str">
            <v>S. PIETRO IN CARIANO</v>
          </cell>
          <cell r="G107" t="str">
            <v>VR</v>
          </cell>
          <cell r="H107" t="str">
            <v>ITALIA</v>
          </cell>
          <cell r="I107" t="str">
            <v>04160320232</v>
          </cell>
          <cell r="J107" t="str">
            <v>04160320232</v>
          </cell>
          <cell r="M107" t="str">
            <v>UFFICIO ACQUISTI</v>
          </cell>
          <cell r="N107" t="str">
            <v>045 7755040</v>
          </cell>
          <cell r="O107" t="str">
            <v>Elio 335 6231457 -   Carlo 331 2751361</v>
          </cell>
          <cell r="P107" t="str">
            <v>info@alluinfislonardi.it</v>
          </cell>
          <cell r="R107" t="str">
            <v>BONIFICO BANCARIO, ALLA DATA DELLA NOSTRA CONFERMA D'ORDINE</v>
          </cell>
          <cell r="X107">
            <v>0.25</v>
          </cell>
          <cell r="Y107">
            <v>-0.04</v>
          </cell>
          <cell r="AB107">
            <v>0.25</v>
          </cell>
          <cell r="AC107">
            <v>0.25</v>
          </cell>
          <cell r="AD107">
            <v>0.25</v>
          </cell>
          <cell r="AE107">
            <v>0.25</v>
          </cell>
          <cell r="AF107">
            <v>0.25</v>
          </cell>
          <cell r="AG107">
            <v>0.25</v>
          </cell>
          <cell r="AH107">
            <v>0.25</v>
          </cell>
          <cell r="AI107">
            <v>0.25</v>
          </cell>
          <cell r="AJ107">
            <v>0.25</v>
          </cell>
          <cell r="AK107">
            <v>0.25</v>
          </cell>
          <cell r="AL107">
            <v>0.25</v>
          </cell>
          <cell r="AM107">
            <v>0.25</v>
          </cell>
          <cell r="AN107">
            <v>0.25</v>
          </cell>
          <cell r="AO107">
            <v>0.25</v>
          </cell>
          <cell r="AP107">
            <v>0.25</v>
          </cell>
          <cell r="AQ107">
            <v>0.25</v>
          </cell>
          <cell r="AR107">
            <v>0.25</v>
          </cell>
          <cell r="AS107">
            <v>0.25</v>
          </cell>
          <cell r="AT107">
            <v>-0.04</v>
          </cell>
          <cell r="AU107">
            <v>0.92</v>
          </cell>
          <cell r="AV107">
            <v>20</v>
          </cell>
          <cell r="AY107" t="str">
            <v/>
          </cell>
          <cell r="AZ107">
            <v>0.25</v>
          </cell>
          <cell r="BA107">
            <v>0.25</v>
          </cell>
        </row>
        <row r="108">
          <cell r="A108" t="str">
            <v>ALLUMETAL SNC</v>
          </cell>
          <cell r="D108" t="str">
            <v>ZONA ARTIGIANALE  VIA PO, 8 LOC.PIAN DEI MORI</v>
          </cell>
          <cell r="E108" t="str">
            <v>53018</v>
          </cell>
          <cell r="F108" t="str">
            <v>SOVICILLE</v>
          </cell>
          <cell r="G108" t="str">
            <v>SI</v>
          </cell>
          <cell r="H108" t="str">
            <v>ITALIA</v>
          </cell>
          <cell r="J108" t="str">
            <v>00753900521</v>
          </cell>
          <cell r="M108" t="str">
            <v>UFFICIO ACQUISTI</v>
          </cell>
          <cell r="P108" t="str">
            <v>info@allumetalpratic.it</v>
          </cell>
          <cell r="R108" t="str">
            <v>BONIFICO BANCARIO, ALLA DATA DELLA NOSTRA CONFERMA D'ORDINE</v>
          </cell>
          <cell r="X108">
            <v>0.25</v>
          </cell>
          <cell r="Y108">
            <v>-0.04</v>
          </cell>
          <cell r="AB108">
            <v>0.25</v>
          </cell>
          <cell r="AC108">
            <v>0.25</v>
          </cell>
          <cell r="AD108">
            <v>0.25</v>
          </cell>
          <cell r="AE108">
            <v>0.25</v>
          </cell>
          <cell r="AF108">
            <v>0.25</v>
          </cell>
          <cell r="AG108">
            <v>0.25</v>
          </cell>
          <cell r="AH108">
            <v>0.25</v>
          </cell>
          <cell r="AI108">
            <v>0.25</v>
          </cell>
          <cell r="AJ108">
            <v>0.25</v>
          </cell>
          <cell r="AK108">
            <v>0.25</v>
          </cell>
          <cell r="AL108">
            <v>0.25</v>
          </cell>
          <cell r="AM108">
            <v>0.25</v>
          </cell>
          <cell r="AN108">
            <v>0.25</v>
          </cell>
          <cell r="AO108">
            <v>0.25</v>
          </cell>
          <cell r="AP108">
            <v>0.25</v>
          </cell>
          <cell r="AQ108">
            <v>0.25</v>
          </cell>
          <cell r="AR108">
            <v>0.25</v>
          </cell>
          <cell r="AS108">
            <v>0.25</v>
          </cell>
          <cell r="AT108">
            <v>-0.04</v>
          </cell>
          <cell r="AU108">
            <v>0.92</v>
          </cell>
          <cell r="AV108">
            <v>20</v>
          </cell>
          <cell r="AY108" t="str">
            <v/>
          </cell>
          <cell r="AZ108">
            <v>0.25</v>
          </cell>
          <cell r="BA108">
            <v>0.25</v>
          </cell>
        </row>
        <row r="109">
          <cell r="A109" t="str">
            <v xml:space="preserve">ALLUMINIOTECH </v>
          </cell>
          <cell r="B109" t="str">
            <v>NFC</v>
          </cell>
          <cell r="D109" t="str">
            <v>Z.I.VIA ACQUA SA MURTA,16</v>
          </cell>
          <cell r="E109" t="str">
            <v>09040</v>
          </cell>
          <cell r="F109" t="str">
            <v>DONORI</v>
          </cell>
          <cell r="G109" t="str">
            <v>CA</v>
          </cell>
          <cell r="H109" t="str">
            <v>ITALIA</v>
          </cell>
          <cell r="I109" t="str">
            <v>LCCFBA85T16B354D</v>
          </cell>
          <cell r="J109" t="str">
            <v>03571810922</v>
          </cell>
          <cell r="M109" t="str">
            <v>UFFICIO ACQUISTI</v>
          </cell>
          <cell r="O109" t="str">
            <v>345 5015122 UFFICIO   348 0556297</v>
          </cell>
          <cell r="P109" t="str">
            <v>alluminiotech@gmail.com</v>
          </cell>
          <cell r="R109" t="str">
            <v>BONIFICO BANCARIO, ALLA DATA DELLA NOSTRA CONFERMA D'ORDINE</v>
          </cell>
          <cell r="X109">
            <v>0.2</v>
          </cell>
          <cell r="Y109">
            <v>-0.04</v>
          </cell>
          <cell r="AB109">
            <v>0.2</v>
          </cell>
          <cell r="AC109">
            <v>0.2</v>
          </cell>
          <cell r="AD109">
            <v>0.2</v>
          </cell>
          <cell r="AE109">
            <v>0.2</v>
          </cell>
          <cell r="AF109">
            <v>0.2</v>
          </cell>
          <cell r="AG109">
            <v>0.2</v>
          </cell>
          <cell r="AH109">
            <v>0.2</v>
          </cell>
          <cell r="AI109">
            <v>0.2</v>
          </cell>
          <cell r="AJ109">
            <v>0.2</v>
          </cell>
          <cell r="AK109">
            <v>0.2</v>
          </cell>
          <cell r="AL109">
            <v>0.2</v>
          </cell>
          <cell r="AM109">
            <v>0.2</v>
          </cell>
          <cell r="AN109">
            <v>0.2</v>
          </cell>
          <cell r="AO109">
            <v>0.2</v>
          </cell>
          <cell r="AP109">
            <v>0.2</v>
          </cell>
          <cell r="AQ109">
            <v>0.2</v>
          </cell>
          <cell r="AR109">
            <v>0.2</v>
          </cell>
          <cell r="AS109">
            <v>0.2</v>
          </cell>
          <cell r="AT109">
            <v>-0.04</v>
          </cell>
          <cell r="AU109">
            <v>0.92</v>
          </cell>
          <cell r="AV109">
            <v>20</v>
          </cell>
          <cell r="AZ109">
            <v>0.2</v>
          </cell>
          <cell r="BA109">
            <v>0.2</v>
          </cell>
        </row>
        <row r="110">
          <cell r="A110" t="str">
            <v>ALLUMINVETRO SRL</v>
          </cell>
          <cell r="B110" t="str">
            <v>CASAMAT SARL  LIEU DT CANALE RN 196 SARTENE CORSICA 04 95710777</v>
          </cell>
          <cell r="D110" t="str">
            <v>VIA AZUNI, 7</v>
          </cell>
          <cell r="E110" t="str">
            <v>07041</v>
          </cell>
          <cell r="F110" t="str">
            <v>ALGHERO</v>
          </cell>
          <cell r="G110" t="str">
            <v>SS</v>
          </cell>
          <cell r="H110" t="str">
            <v>ITALIA</v>
          </cell>
          <cell r="M110" t="str">
            <v>UFFICIO ACQUISTI</v>
          </cell>
          <cell r="N110" t="str">
            <v>079 986656</v>
          </cell>
          <cell r="P110" t="str">
            <v>info@alluminvetro.it   casa-mat@orange.fr</v>
          </cell>
          <cell r="R110" t="str">
            <v>BONIFICO BANCARIO, ALLA DATA DELLA NOSTRA CONFERMA D'ORDINE</v>
          </cell>
          <cell r="X110">
            <v>0.2</v>
          </cell>
          <cell r="Y110">
            <v>-0.04</v>
          </cell>
          <cell r="AB110">
            <v>0.2</v>
          </cell>
          <cell r="AC110">
            <v>0.2</v>
          </cell>
          <cell r="AD110">
            <v>0.2</v>
          </cell>
          <cell r="AE110">
            <v>0.2</v>
          </cell>
          <cell r="AF110">
            <v>0.2</v>
          </cell>
          <cell r="AG110">
            <v>0.2</v>
          </cell>
          <cell r="AH110">
            <v>0.2</v>
          </cell>
          <cell r="AI110">
            <v>0.2</v>
          </cell>
          <cell r="AJ110">
            <v>0.2</v>
          </cell>
          <cell r="AK110">
            <v>0.2</v>
          </cell>
          <cell r="AL110">
            <v>0.2</v>
          </cell>
          <cell r="AM110">
            <v>0.2</v>
          </cell>
          <cell r="AN110">
            <v>0.2</v>
          </cell>
          <cell r="AO110">
            <v>0.2</v>
          </cell>
          <cell r="AP110">
            <v>0.2</v>
          </cell>
          <cell r="AQ110">
            <v>0.2</v>
          </cell>
          <cell r="AR110">
            <v>0.2</v>
          </cell>
          <cell r="AS110">
            <v>0.2</v>
          </cell>
          <cell r="AT110">
            <v>-0.04</v>
          </cell>
          <cell r="AU110">
            <v>0.92</v>
          </cell>
          <cell r="AV110">
            <v>20</v>
          </cell>
          <cell r="AZ110">
            <v>0.2</v>
          </cell>
          <cell r="BA110">
            <v>0.2</v>
          </cell>
        </row>
        <row r="111">
          <cell r="A111" t="str">
            <v>ALLUSER  DI RENATO BOLZONELLA</v>
          </cell>
          <cell r="D111" t="str">
            <v>VIA SANDRO PERTINI, 13</v>
          </cell>
          <cell r="E111">
            <v>30030</v>
          </cell>
          <cell r="F111" t="str">
            <v>MARTELLAGO</v>
          </cell>
          <cell r="G111" t="str">
            <v>VE</v>
          </cell>
          <cell r="H111" t="str">
            <v>ITALIA</v>
          </cell>
          <cell r="I111" t="str">
            <v>BLZRNT57L18I242A</v>
          </cell>
          <cell r="J111" t="str">
            <v>03116510276</v>
          </cell>
          <cell r="M111" t="str">
            <v>UFFICIO ACQUISTI</v>
          </cell>
          <cell r="N111" t="str">
            <v>041 5402825</v>
          </cell>
          <cell r="O111" t="str">
            <v>348 2259514</v>
          </cell>
          <cell r="P111" t="str">
            <v>info@serramentialluser.it</v>
          </cell>
          <cell r="R111" t="str">
            <v>BONIFICO BANCARIO, ALLA DATA DELLA NOSTRA CONFERMA D'ORDINE</v>
          </cell>
          <cell r="X111">
            <v>0.25</v>
          </cell>
          <cell r="Y111">
            <v>-0.04</v>
          </cell>
          <cell r="AB111">
            <v>0.25</v>
          </cell>
          <cell r="AC111">
            <v>0.25</v>
          </cell>
          <cell r="AD111">
            <v>0.25</v>
          </cell>
          <cell r="AE111">
            <v>0.25</v>
          </cell>
          <cell r="AF111">
            <v>0.25</v>
          </cell>
          <cell r="AG111">
            <v>0.25</v>
          </cell>
          <cell r="AH111">
            <v>0.25</v>
          </cell>
          <cell r="AI111">
            <v>0.25</v>
          </cell>
          <cell r="AJ111">
            <v>0.25</v>
          </cell>
          <cell r="AK111">
            <v>0.25</v>
          </cell>
          <cell r="AL111">
            <v>0.25</v>
          </cell>
          <cell r="AM111">
            <v>0.25</v>
          </cell>
          <cell r="AN111">
            <v>0.25</v>
          </cell>
          <cell r="AO111">
            <v>0.25</v>
          </cell>
          <cell r="AP111">
            <v>0.25</v>
          </cell>
          <cell r="AQ111">
            <v>0.25</v>
          </cell>
          <cell r="AR111">
            <v>0.25</v>
          </cell>
          <cell r="AS111">
            <v>0.25</v>
          </cell>
          <cell r="AT111">
            <v>-0.04</v>
          </cell>
          <cell r="AU111">
            <v>0.92</v>
          </cell>
          <cell r="AV111">
            <v>20</v>
          </cell>
          <cell r="AZ111">
            <v>0.25</v>
          </cell>
          <cell r="BA111">
            <v>0.25</v>
          </cell>
        </row>
        <row r="112">
          <cell r="A112" t="str">
            <v>ALLUSTYLE</v>
          </cell>
          <cell r="D112" t="str">
            <v>VIA BERNARDI, 44</v>
          </cell>
          <cell r="E112">
            <v>26040</v>
          </cell>
          <cell r="F112" t="str">
            <v>VICOBELLIGNANO DI CASALMAGGIORE</v>
          </cell>
          <cell r="G112" t="str">
            <v>CR</v>
          </cell>
          <cell r="H112" t="str">
            <v>ITALIA</v>
          </cell>
          <cell r="I112" t="str">
            <v>ZZNRRT86D23B898T</v>
          </cell>
          <cell r="J112" t="str">
            <v>01421510197</v>
          </cell>
          <cell r="M112" t="str">
            <v>UFFICIO ACQUISTI</v>
          </cell>
          <cell r="N112" t="str">
            <v>0375 43164</v>
          </cell>
          <cell r="O112" t="str">
            <v>338 1813619</v>
          </cell>
          <cell r="R112" t="str">
            <v>BONIFICO BANCARIO, ALLA DATA DELLA NOSTRA CONFERMA D'ORDINE</v>
          </cell>
          <cell r="X112">
            <v>0.25</v>
          </cell>
          <cell r="Y112">
            <v>-0.04</v>
          </cell>
          <cell r="AB112">
            <v>0.25</v>
          </cell>
          <cell r="AC112">
            <v>0.25</v>
          </cell>
          <cell r="AD112">
            <v>0.25</v>
          </cell>
          <cell r="AE112">
            <v>0.25</v>
          </cell>
          <cell r="AF112">
            <v>0.25</v>
          </cell>
          <cell r="AG112">
            <v>0.25</v>
          </cell>
          <cell r="AH112">
            <v>0.25</v>
          </cell>
          <cell r="AI112">
            <v>0.25</v>
          </cell>
          <cell r="AJ112">
            <v>0.25</v>
          </cell>
          <cell r="AK112">
            <v>0.25</v>
          </cell>
          <cell r="AL112">
            <v>0.25</v>
          </cell>
          <cell r="AM112">
            <v>0.25</v>
          </cell>
          <cell r="AN112">
            <v>0.25</v>
          </cell>
          <cell r="AO112">
            <v>0.25</v>
          </cell>
          <cell r="AP112">
            <v>0.25</v>
          </cell>
          <cell r="AQ112">
            <v>0.25</v>
          </cell>
          <cell r="AR112">
            <v>0.25</v>
          </cell>
          <cell r="AS112">
            <v>0.25</v>
          </cell>
          <cell r="AT112">
            <v>-0.04</v>
          </cell>
          <cell r="AU112">
            <v>0.92</v>
          </cell>
          <cell r="AV112">
            <v>20</v>
          </cell>
          <cell r="AZ112">
            <v>0.25</v>
          </cell>
          <cell r="BA112">
            <v>0.25</v>
          </cell>
        </row>
        <row r="113">
          <cell r="A113" t="str">
            <v>ALLUSYSTEM SRL</v>
          </cell>
          <cell r="B113" t="str">
            <v>SHOOWROOM:VIA TITO LIVIO, 13 - MILANO 02 55187960   349 4519645</v>
          </cell>
          <cell r="D113" t="str">
            <v>VIA ALCIDE DE GASPERI, 28</v>
          </cell>
          <cell r="E113" t="str">
            <v>20090</v>
          </cell>
          <cell r="F113" t="str">
            <v>PANTIGLIATE</v>
          </cell>
          <cell r="G113" t="str">
            <v>MI</v>
          </cell>
          <cell r="H113" t="str">
            <v>ITALIA</v>
          </cell>
          <cell r="J113" t="str">
            <v>09777500159</v>
          </cell>
          <cell r="M113" t="str">
            <v>UFFICIO ACQUISTI</v>
          </cell>
          <cell r="N113" t="str">
            <v>02 9068296</v>
          </cell>
          <cell r="O113" t="str">
            <v>393 97443949</v>
          </cell>
          <cell r="P113" t="str">
            <v>info@allusystemsrl.it</v>
          </cell>
          <cell r="R113" t="str">
            <v>BONIFICO BANCARIO, ALLA DATA DELLA NOSTRA CONFERMA D'ORDINE</v>
          </cell>
          <cell r="X113">
            <v>0.2</v>
          </cell>
          <cell r="Y113">
            <v>-0.04</v>
          </cell>
          <cell r="AB113">
            <v>0.2</v>
          </cell>
          <cell r="AC113">
            <v>0.2</v>
          </cell>
          <cell r="AD113">
            <v>0.2</v>
          </cell>
          <cell r="AE113">
            <v>0.2</v>
          </cell>
          <cell r="AF113">
            <v>0.2</v>
          </cell>
          <cell r="AG113">
            <v>0.2</v>
          </cell>
          <cell r="AH113">
            <v>0.2</v>
          </cell>
          <cell r="AI113">
            <v>0.2</v>
          </cell>
          <cell r="AJ113">
            <v>0.2</v>
          </cell>
          <cell r="AK113">
            <v>0.2</v>
          </cell>
          <cell r="AL113">
            <v>0.2</v>
          </cell>
          <cell r="AM113">
            <v>0.2</v>
          </cell>
          <cell r="AN113">
            <v>0.2</v>
          </cell>
          <cell r="AO113">
            <v>0.2</v>
          </cell>
          <cell r="AP113">
            <v>0.2</v>
          </cell>
          <cell r="AQ113">
            <v>0.2</v>
          </cell>
          <cell r="AR113">
            <v>0.2</v>
          </cell>
          <cell r="AS113">
            <v>0.2</v>
          </cell>
          <cell r="AT113">
            <v>-0.04</v>
          </cell>
          <cell r="AU113">
            <v>0.92</v>
          </cell>
          <cell r="AV113">
            <v>20</v>
          </cell>
          <cell r="AZ113">
            <v>0.2</v>
          </cell>
          <cell r="BA113">
            <v>0.2</v>
          </cell>
        </row>
        <row r="114">
          <cell r="A114" t="str">
            <v>ALLUTEC PORTE &amp; FINESTRE</v>
          </cell>
          <cell r="D114" t="str">
            <v xml:space="preserve">VIA L. CALDIERI 124/130 </v>
          </cell>
          <cell r="E114" t="str">
            <v>80128</v>
          </cell>
          <cell r="F114" t="str">
            <v>NAPOLI</v>
          </cell>
          <cell r="G114" t="str">
            <v>NA</v>
          </cell>
          <cell r="H114" t="str">
            <v>ITALIA</v>
          </cell>
          <cell r="J114" t="str">
            <v> 05588990639</v>
          </cell>
          <cell r="M114" t="str">
            <v>UFFICIO ACQUISTI</v>
          </cell>
          <cell r="N114" t="str">
            <v xml:space="preserve"> 08 15602535 </v>
          </cell>
          <cell r="P114" t="str">
            <v>info@allutec.it</v>
          </cell>
          <cell r="R114" t="str">
            <v>BONIFICO BANCARIO, ALLA DATA DELLA NOSTRA CONFERMA D'ORDINE</v>
          </cell>
          <cell r="X114">
            <v>0.25</v>
          </cell>
          <cell r="Y114">
            <v>-0.04</v>
          </cell>
          <cell r="AB114">
            <v>0.25</v>
          </cell>
          <cell r="AC114">
            <v>0.25</v>
          </cell>
          <cell r="AD114">
            <v>0.25</v>
          </cell>
          <cell r="AE114">
            <v>0.25</v>
          </cell>
          <cell r="AF114">
            <v>0.25</v>
          </cell>
          <cell r="AG114">
            <v>0.25</v>
          </cell>
          <cell r="AH114">
            <v>0.25</v>
          </cell>
          <cell r="AI114">
            <v>0.25</v>
          </cell>
          <cell r="AJ114">
            <v>0.25</v>
          </cell>
          <cell r="AK114">
            <v>0.25</v>
          </cell>
          <cell r="AL114">
            <v>0.25</v>
          </cell>
          <cell r="AM114">
            <v>0.25</v>
          </cell>
          <cell r="AN114">
            <v>0.25</v>
          </cell>
          <cell r="AO114">
            <v>0.25</v>
          </cell>
          <cell r="AP114">
            <v>0.25</v>
          </cell>
          <cell r="AQ114">
            <v>0.25</v>
          </cell>
          <cell r="AR114">
            <v>0.25</v>
          </cell>
          <cell r="AS114">
            <v>0.25</v>
          </cell>
          <cell r="AT114">
            <v>-0.04</v>
          </cell>
          <cell r="AU114">
            <v>0.92</v>
          </cell>
          <cell r="AV114">
            <v>20</v>
          </cell>
          <cell r="AZ114">
            <v>0.25</v>
          </cell>
          <cell r="BA114">
            <v>0.25</v>
          </cell>
        </row>
        <row r="115">
          <cell r="A115" t="str">
            <v xml:space="preserve">ALLUVETRO S.N.C. </v>
          </cell>
          <cell r="D115" t="str">
            <v>VIA DELLA SELVA, 33</v>
          </cell>
          <cell r="E115">
            <v>21010</v>
          </cell>
          <cell r="F115" t="str">
            <v>CARDANO AL CAMPO</v>
          </cell>
          <cell r="G115" t="str">
            <v>VR</v>
          </cell>
          <cell r="H115" t="str">
            <v>ITALIA</v>
          </cell>
          <cell r="I115" t="str">
            <v>01236380125</v>
          </cell>
          <cell r="J115" t="str">
            <v>01236380125</v>
          </cell>
          <cell r="M115" t="str">
            <v>UFFICIO ACQUISTI</v>
          </cell>
          <cell r="N115" t="str">
            <v>0331 260069</v>
          </cell>
          <cell r="P115" t="str">
            <v>alluvetro@alluvetro.it</v>
          </cell>
          <cell r="R115" t="str">
            <v>BONIFICO BANCARIO, ALLA DATA DELLA NOSTRA CONFERMA D'ORDINE</v>
          </cell>
          <cell r="X115">
            <v>0.25</v>
          </cell>
          <cell r="Y115">
            <v>-0.04</v>
          </cell>
          <cell r="AB115">
            <v>0.25</v>
          </cell>
          <cell r="AC115">
            <v>0.25</v>
          </cell>
          <cell r="AD115">
            <v>0.25</v>
          </cell>
          <cell r="AE115">
            <v>0.25</v>
          </cell>
          <cell r="AF115">
            <v>0.25</v>
          </cell>
          <cell r="AG115">
            <v>0.25</v>
          </cell>
          <cell r="AH115">
            <v>0.25</v>
          </cell>
          <cell r="AI115">
            <v>0.25</v>
          </cell>
          <cell r="AJ115">
            <v>0.25</v>
          </cell>
          <cell r="AK115">
            <v>0.25</v>
          </cell>
          <cell r="AL115">
            <v>0.25</v>
          </cell>
          <cell r="AM115">
            <v>0.25</v>
          </cell>
          <cell r="AN115">
            <v>0.25</v>
          </cell>
          <cell r="AO115">
            <v>0.25</v>
          </cell>
          <cell r="AP115">
            <v>0.25</v>
          </cell>
          <cell r="AQ115">
            <v>0.25</v>
          </cell>
          <cell r="AR115">
            <v>0.25</v>
          </cell>
          <cell r="AS115">
            <v>0.25</v>
          </cell>
          <cell r="AT115">
            <v>-0.04</v>
          </cell>
          <cell r="AU115">
            <v>0.92</v>
          </cell>
          <cell r="AV115">
            <v>20</v>
          </cell>
          <cell r="AY115" t="str">
            <v/>
          </cell>
          <cell r="AZ115">
            <v>0.25</v>
          </cell>
          <cell r="BA115">
            <v>0.25</v>
          </cell>
        </row>
        <row r="116">
          <cell r="A116" t="str">
            <v>ALMA EXECUTIVE SRLU</v>
          </cell>
          <cell r="D116" t="str">
            <v>LARGO URBINO 15/A</v>
          </cell>
          <cell r="E116" t="str">
            <v>00071</v>
          </cell>
          <cell r="F116" t="str">
            <v>POMEZIA</v>
          </cell>
          <cell r="G116" t="str">
            <v>RM</v>
          </cell>
          <cell r="H116" t="str">
            <v>ITALIA</v>
          </cell>
          <cell r="M116" t="str">
            <v>UFFICIO ACQUISTI</v>
          </cell>
          <cell r="N116" t="str">
            <v>06 9104018</v>
          </cell>
          <cell r="O116" t="str">
            <v>336 929242</v>
          </cell>
          <cell r="P116" t="str">
            <v>info@almaexecutive.com</v>
          </cell>
          <cell r="R116" t="str">
            <v>BONIFICO BANCARIO, ALLA DATA DELLA NOSTRA CONFERMA D'ORDINE</v>
          </cell>
          <cell r="X116">
            <v>0.25</v>
          </cell>
          <cell r="Y116">
            <v>-0.04</v>
          </cell>
          <cell r="AB116">
            <v>0.25</v>
          </cell>
          <cell r="AC116">
            <v>0.25</v>
          </cell>
          <cell r="AD116">
            <v>0.25</v>
          </cell>
          <cell r="AE116">
            <v>0.25</v>
          </cell>
          <cell r="AF116">
            <v>0.25</v>
          </cell>
          <cell r="AG116">
            <v>0.25</v>
          </cell>
          <cell r="AH116">
            <v>0.25</v>
          </cell>
          <cell r="AI116">
            <v>0.25</v>
          </cell>
          <cell r="AJ116">
            <v>0.25</v>
          </cell>
          <cell r="AK116">
            <v>0.25</v>
          </cell>
          <cell r="AL116">
            <v>0.25</v>
          </cell>
          <cell r="AM116">
            <v>0.25</v>
          </cell>
          <cell r="AN116">
            <v>0.25</v>
          </cell>
          <cell r="AO116">
            <v>0.25</v>
          </cell>
          <cell r="AP116">
            <v>0.25</v>
          </cell>
          <cell r="AQ116">
            <v>0.25</v>
          </cell>
          <cell r="AR116">
            <v>0.25</v>
          </cell>
          <cell r="AS116">
            <v>0.25</v>
          </cell>
          <cell r="AT116">
            <v>-0.04</v>
          </cell>
          <cell r="AU116">
            <v>0.92</v>
          </cell>
          <cell r="AV116">
            <v>20</v>
          </cell>
          <cell r="AY116" t="str">
            <v/>
          </cell>
          <cell r="AZ116">
            <v>0.25</v>
          </cell>
          <cell r="BA116">
            <v>0.25</v>
          </cell>
        </row>
        <row r="117">
          <cell r="A117" t="str">
            <v>ALMAN SRL SERRAMENTI</v>
          </cell>
          <cell r="D117" t="str">
            <v>VIA CAVOUR, 1</v>
          </cell>
          <cell r="E117">
            <v>13894</v>
          </cell>
          <cell r="F117" t="str">
            <v>GAGLIANICO</v>
          </cell>
          <cell r="G117" t="str">
            <v>BI</v>
          </cell>
          <cell r="H117" t="str">
            <v>ITALIA</v>
          </cell>
          <cell r="J117" t="str">
            <v>02557270028</v>
          </cell>
          <cell r="K117" t="str">
            <v>M5UXCR1</v>
          </cell>
          <cell r="M117" t="str">
            <v>UFFICIO ACQUISTI</v>
          </cell>
          <cell r="N117" t="str">
            <v>015 9526624</v>
          </cell>
          <cell r="P117" t="str">
            <v>alman-srl@libero.it</v>
          </cell>
          <cell r="R117" t="str">
            <v>BONIFICO BANCARIO, ALLA DATA DELLA NOSTRA CONFERMA D'ORDINE</v>
          </cell>
          <cell r="X117">
            <v>0.25</v>
          </cell>
          <cell r="Y117">
            <v>-0.04</v>
          </cell>
          <cell r="AB117">
            <v>0.25</v>
          </cell>
          <cell r="AC117">
            <v>0.25</v>
          </cell>
          <cell r="AD117">
            <v>0.25</v>
          </cell>
          <cell r="AE117">
            <v>0.25</v>
          </cell>
          <cell r="AF117">
            <v>0.25</v>
          </cell>
          <cell r="AG117">
            <v>0.25</v>
          </cell>
          <cell r="AH117">
            <v>0.25</v>
          </cell>
          <cell r="AI117">
            <v>0.25</v>
          </cell>
          <cell r="AJ117">
            <v>0.25</v>
          </cell>
          <cell r="AK117">
            <v>0.25</v>
          </cell>
          <cell r="AL117">
            <v>0.25</v>
          </cell>
          <cell r="AM117">
            <v>0.25</v>
          </cell>
          <cell r="AN117">
            <v>0.25</v>
          </cell>
          <cell r="AO117">
            <v>0.25</v>
          </cell>
          <cell r="AP117">
            <v>0.25</v>
          </cell>
          <cell r="AQ117">
            <v>0.25</v>
          </cell>
          <cell r="AR117">
            <v>0.25</v>
          </cell>
          <cell r="AS117">
            <v>0.25</v>
          </cell>
          <cell r="AT117">
            <v>-0.04</v>
          </cell>
          <cell r="AU117">
            <v>0.92</v>
          </cell>
          <cell r="AV117">
            <v>20</v>
          </cell>
          <cell r="AY117" t="str">
            <v/>
          </cell>
          <cell r="AZ117">
            <v>0.25</v>
          </cell>
          <cell r="BA117">
            <v>0.25</v>
          </cell>
        </row>
        <row r="118">
          <cell r="A118" t="str">
            <v>ALOTTA GIOVANNI BATTISTA</v>
          </cell>
          <cell r="D118" t="str">
            <v>VIA CARROCETO, 156</v>
          </cell>
          <cell r="E118" t="str">
            <v>04011</v>
          </cell>
          <cell r="F118" t="str">
            <v>APRILIA</v>
          </cell>
          <cell r="G118" t="str">
            <v>LT</v>
          </cell>
          <cell r="H118" t="str">
            <v>ITALIA</v>
          </cell>
          <cell r="I118" t="str">
            <v>LTTGNN64H30A239P</v>
          </cell>
          <cell r="J118" t="str">
            <v>02525050593</v>
          </cell>
          <cell r="M118" t="str">
            <v>UFFICIO ACQUISTI</v>
          </cell>
          <cell r="N118" t="str">
            <v>06 9258710</v>
          </cell>
          <cell r="O118" t="str">
            <v>348 5148601</v>
          </cell>
          <cell r="P118" t="str">
            <v>alottagiovanni@live.it</v>
          </cell>
          <cell r="R118" t="str">
            <v>BONIFICO BANCARIO, ALLA DATA DELLA NOSTRA CONFERMA D'ORDINE</v>
          </cell>
          <cell r="X118">
            <v>0.2</v>
          </cell>
          <cell r="Y118">
            <v>-0.04</v>
          </cell>
          <cell r="AB118">
            <v>0.2</v>
          </cell>
          <cell r="AC118">
            <v>0.2</v>
          </cell>
          <cell r="AD118">
            <v>0.2</v>
          </cell>
          <cell r="AE118">
            <v>0.2</v>
          </cell>
          <cell r="AF118">
            <v>0.2</v>
          </cell>
          <cell r="AG118">
            <v>0.2</v>
          </cell>
          <cell r="AH118">
            <v>0.2</v>
          </cell>
          <cell r="AI118">
            <v>0.2</v>
          </cell>
          <cell r="AJ118">
            <v>0.2</v>
          </cell>
          <cell r="AK118">
            <v>0.2</v>
          </cell>
          <cell r="AL118">
            <v>0.2</v>
          </cell>
          <cell r="AM118">
            <v>0.2</v>
          </cell>
          <cell r="AN118">
            <v>0.2</v>
          </cell>
          <cell r="AO118">
            <v>0.2</v>
          </cell>
          <cell r="AP118">
            <v>0.2</v>
          </cell>
          <cell r="AQ118">
            <v>0.2</v>
          </cell>
          <cell r="AR118">
            <v>0.2</v>
          </cell>
          <cell r="AS118">
            <v>0.2</v>
          </cell>
          <cell r="AT118">
            <v>-0.04</v>
          </cell>
          <cell r="AU118">
            <v>0.92</v>
          </cell>
          <cell r="AV118">
            <v>20</v>
          </cell>
          <cell r="AZ118">
            <v>0.2</v>
          </cell>
          <cell r="BA118">
            <v>0.2</v>
          </cell>
        </row>
        <row r="119">
          <cell r="A119" t="str">
            <v>ALPA TECNOLEGNO SRL</v>
          </cell>
          <cell r="D119" t="str">
            <v>VIALE COMBATTENTI ALLEATI D'EUROPA, 41</v>
          </cell>
          <cell r="E119" t="str">
            <v>45100</v>
          </cell>
          <cell r="F119" t="str">
            <v>ROVIGO</v>
          </cell>
          <cell r="G119" t="str">
            <v>RO</v>
          </cell>
          <cell r="H119" t="str">
            <v>ITALIA</v>
          </cell>
          <cell r="J119" t="str">
            <v>00717850291</v>
          </cell>
          <cell r="K119" t="str">
            <v>G4AI1U8</v>
          </cell>
          <cell r="M119" t="str">
            <v>UFFICIO ACQUISTI</v>
          </cell>
          <cell r="N119" t="str">
            <v>0425 474507</v>
          </cell>
          <cell r="P119" t="str">
            <v>alpatecnolegno@libero.it</v>
          </cell>
          <cell r="R119" t="str">
            <v>BONIFICO BANCARIO, ALLA DATA DELLA NOSTRA CONFERMA D'ORDINE</v>
          </cell>
          <cell r="X119">
            <v>0.25</v>
          </cell>
          <cell r="Y119">
            <v>-0.04</v>
          </cell>
          <cell r="AB119">
            <v>0.25</v>
          </cell>
          <cell r="AC119">
            <v>0.25</v>
          </cell>
          <cell r="AD119">
            <v>0.25</v>
          </cell>
          <cell r="AE119">
            <v>0.25</v>
          </cell>
          <cell r="AF119">
            <v>0.25</v>
          </cell>
          <cell r="AG119">
            <v>0.25</v>
          </cell>
          <cell r="AH119">
            <v>0.25</v>
          </cell>
          <cell r="AI119">
            <v>0.25</v>
          </cell>
          <cell r="AJ119">
            <v>0.25</v>
          </cell>
          <cell r="AK119">
            <v>0.25</v>
          </cell>
          <cell r="AL119">
            <v>0.25</v>
          </cell>
          <cell r="AM119">
            <v>0.25</v>
          </cell>
          <cell r="AN119">
            <v>0.25</v>
          </cell>
          <cell r="AO119">
            <v>0.25</v>
          </cell>
          <cell r="AP119">
            <v>0.25</v>
          </cell>
          <cell r="AQ119">
            <v>0.25</v>
          </cell>
          <cell r="AR119">
            <v>0.25</v>
          </cell>
          <cell r="AS119">
            <v>0.25</v>
          </cell>
          <cell r="AT119">
            <v>-0.04</v>
          </cell>
          <cell r="AU119">
            <v>0.92</v>
          </cell>
          <cell r="AV119">
            <v>20</v>
          </cell>
          <cell r="AY119" t="str">
            <v/>
          </cell>
          <cell r="AZ119">
            <v>0.25</v>
          </cell>
          <cell r="BA119">
            <v>0.25</v>
          </cell>
        </row>
        <row r="120">
          <cell r="A120" t="str">
            <v>ALPHA SERRAMENTI</v>
          </cell>
          <cell r="D120" t="str">
            <v>VIA LUIGI EINAUDI, 13</v>
          </cell>
          <cell r="E120" t="str">
            <v>73026</v>
          </cell>
          <cell r="F120" t="str">
            <v>MELEDUGNO</v>
          </cell>
          <cell r="G120" t="str">
            <v>LE</v>
          </cell>
          <cell r="H120" t="str">
            <v>ITALIA</v>
          </cell>
          <cell r="J120" t="str">
            <v>04728390750</v>
          </cell>
          <cell r="K120" t="str">
            <v>5RUO82D</v>
          </cell>
          <cell r="M120" t="str">
            <v>UFFICIO ACQUISTI</v>
          </cell>
          <cell r="O120" t="str">
            <v>380 1374922  328 2735574</v>
          </cell>
          <cell r="P120" t="str">
            <v>alphaserramenti@gmail.com</v>
          </cell>
          <cell r="R120" t="str">
            <v>BONIFICO BANCARIO, ALLA DATA DELLA NOSTRA CONFERMA D'ORDINE</v>
          </cell>
          <cell r="X120">
            <v>0.25</v>
          </cell>
          <cell r="Y120">
            <v>-0.04</v>
          </cell>
          <cell r="AB120">
            <v>0.25</v>
          </cell>
          <cell r="AC120">
            <v>0.25</v>
          </cell>
          <cell r="AD120">
            <v>0.25</v>
          </cell>
          <cell r="AE120">
            <v>0.25</v>
          </cell>
          <cell r="AF120">
            <v>0.25</v>
          </cell>
          <cell r="AG120">
            <v>0.25</v>
          </cell>
          <cell r="AH120">
            <v>0.25</v>
          </cell>
          <cell r="AI120">
            <v>0.25</v>
          </cell>
          <cell r="AJ120">
            <v>0.25</v>
          </cell>
          <cell r="AK120">
            <v>0.25</v>
          </cell>
          <cell r="AL120">
            <v>0.25</v>
          </cell>
          <cell r="AM120">
            <v>0.25</v>
          </cell>
          <cell r="AN120">
            <v>0.25</v>
          </cell>
          <cell r="AO120">
            <v>0.25</v>
          </cell>
          <cell r="AP120">
            <v>0.25</v>
          </cell>
          <cell r="AQ120">
            <v>0.25</v>
          </cell>
          <cell r="AR120">
            <v>0.25</v>
          </cell>
          <cell r="AS120">
            <v>0.25</v>
          </cell>
          <cell r="AT120">
            <v>-0.04</v>
          </cell>
          <cell r="AU120">
            <v>0.92</v>
          </cell>
          <cell r="AV120">
            <v>20</v>
          </cell>
          <cell r="AY120" t="str">
            <v/>
          </cell>
          <cell r="AZ120">
            <v>0.25</v>
          </cell>
          <cell r="BA120">
            <v>0.25</v>
          </cell>
          <cell r="BF120" t="str">
            <v>CLICK RAPID con carpenteria 05/10/2020</v>
          </cell>
        </row>
        <row r="121">
          <cell r="A121" t="str">
            <v>ALSER DI MARCHINA MAURO &amp; C.SNC</v>
          </cell>
          <cell r="D121" t="str">
            <v>VIA TITO SPERI, 13</v>
          </cell>
          <cell r="E121" t="str">
            <v>25065</v>
          </cell>
          <cell r="F121" t="str">
            <v>LUMEZZANE S.S.</v>
          </cell>
          <cell r="G121" t="str">
            <v>BS</v>
          </cell>
          <cell r="H121" t="str">
            <v>ITALIA</v>
          </cell>
          <cell r="J121" t="str">
            <v>00636970980</v>
          </cell>
          <cell r="M121" t="str">
            <v>UFFICIO ACQUISTI</v>
          </cell>
          <cell r="N121" t="str">
            <v>030 828633</v>
          </cell>
          <cell r="P121" t="str">
            <v>www.alserserramenti.it</v>
          </cell>
          <cell r="R121" t="str">
            <v>BONIFICO BANCARIO, ALLA DATA DELLA NOSTRA CONFERMA D'ORDINE</v>
          </cell>
          <cell r="X121">
            <v>0.2</v>
          </cell>
          <cell r="Y121">
            <v>-0.04</v>
          </cell>
          <cell r="AB121">
            <v>0.2</v>
          </cell>
          <cell r="AC121">
            <v>0.2</v>
          </cell>
          <cell r="AD121">
            <v>0.2</v>
          </cell>
          <cell r="AE121">
            <v>0.2</v>
          </cell>
          <cell r="AF121">
            <v>0.2</v>
          </cell>
          <cell r="AG121">
            <v>0.2</v>
          </cell>
          <cell r="AH121">
            <v>0.2</v>
          </cell>
          <cell r="AI121">
            <v>0.2</v>
          </cell>
          <cell r="AJ121">
            <v>0.2</v>
          </cell>
          <cell r="AK121">
            <v>0.2</v>
          </cell>
          <cell r="AL121">
            <v>0.2</v>
          </cell>
          <cell r="AM121">
            <v>0.2</v>
          </cell>
          <cell r="AN121">
            <v>0.2</v>
          </cell>
          <cell r="AO121">
            <v>0.2</v>
          </cell>
          <cell r="AP121">
            <v>0.2</v>
          </cell>
          <cell r="AQ121">
            <v>0.2</v>
          </cell>
          <cell r="AR121">
            <v>0.2</v>
          </cell>
          <cell r="AS121">
            <v>0.2</v>
          </cell>
          <cell r="AT121">
            <v>-0.04</v>
          </cell>
          <cell r="AU121">
            <v>0.92</v>
          </cell>
          <cell r="AV121">
            <v>20</v>
          </cell>
          <cell r="AZ121">
            <v>0.2</v>
          </cell>
          <cell r="BA121">
            <v>0.2</v>
          </cell>
        </row>
        <row r="122">
          <cell r="A122" t="str">
            <v>ALSIA DI TASSINARI ALESSANDRO E C SNC</v>
          </cell>
          <cell r="D122" t="str">
            <v>VIA ENRICO MATTEI 20</v>
          </cell>
          <cell r="E122" t="str">
            <v>40054</v>
          </cell>
          <cell r="F122" t="str">
            <v>BUDRIO</v>
          </cell>
          <cell r="G122" t="str">
            <v>BO</v>
          </cell>
          <cell r="H122" t="str">
            <v>ITALIA</v>
          </cell>
          <cell r="J122" t="str">
            <v>00621951201</v>
          </cell>
          <cell r="M122" t="str">
            <v>UFFICIO ACQUISTI</v>
          </cell>
          <cell r="N122" t="str">
            <v>051 6926374</v>
          </cell>
          <cell r="R122" t="str">
            <v>BONIFICO BANCARIO, ALLA DATA DELLA NOSTRA CONFERMA D'ORDINE</v>
          </cell>
          <cell r="X122">
            <v>0.25</v>
          </cell>
          <cell r="Y122">
            <v>-0.04</v>
          </cell>
          <cell r="AB122">
            <v>0.25</v>
          </cell>
          <cell r="AC122">
            <v>0.25</v>
          </cell>
          <cell r="AD122">
            <v>0.25</v>
          </cell>
          <cell r="AE122">
            <v>0.25</v>
          </cell>
          <cell r="AF122">
            <v>0.25</v>
          </cell>
          <cell r="AG122">
            <v>0.25</v>
          </cell>
          <cell r="AH122">
            <v>0.25</v>
          </cell>
          <cell r="AI122">
            <v>0.25</v>
          </cell>
          <cell r="AJ122">
            <v>0.25</v>
          </cell>
          <cell r="AK122">
            <v>0.25</v>
          </cell>
          <cell r="AL122">
            <v>0.25</v>
          </cell>
          <cell r="AM122">
            <v>0.25</v>
          </cell>
          <cell r="AN122">
            <v>0.25</v>
          </cell>
          <cell r="AO122">
            <v>0.25</v>
          </cell>
          <cell r="AP122">
            <v>0.25</v>
          </cell>
          <cell r="AQ122">
            <v>0.25</v>
          </cell>
          <cell r="AR122">
            <v>0.25</v>
          </cell>
          <cell r="AS122">
            <v>0.25</v>
          </cell>
          <cell r="AT122">
            <v>-0.04</v>
          </cell>
          <cell r="AU122">
            <v>0.92</v>
          </cell>
          <cell r="AV122">
            <v>20</v>
          </cell>
          <cell r="AY122" t="str">
            <v/>
          </cell>
          <cell r="AZ122">
            <v>0.25</v>
          </cell>
          <cell r="BA122">
            <v>0.25</v>
          </cell>
        </row>
        <row r="123">
          <cell r="A123" t="str">
            <v>ALSIA SNC</v>
          </cell>
          <cell r="D123" t="str">
            <v>VIA E. MATTEI, 20</v>
          </cell>
          <cell r="E123">
            <v>40054</v>
          </cell>
          <cell r="F123" t="str">
            <v>CENTO DI BUDRIO</v>
          </cell>
          <cell r="G123" t="str">
            <v>BO</v>
          </cell>
          <cell r="H123" t="str">
            <v>ITALIA</v>
          </cell>
          <cell r="I123" t="str">
            <v>03445060373</v>
          </cell>
          <cell r="J123" t="str">
            <v>00621951201</v>
          </cell>
          <cell r="M123" t="str">
            <v>UFFICIO ACQUISTI</v>
          </cell>
          <cell r="N123" t="str">
            <v>051 6926374</v>
          </cell>
          <cell r="P123" t="str">
            <v>alsianc@gmail.com</v>
          </cell>
          <cell r="R123" t="str">
            <v>BONIFICO BANCARIO, ALLA DATA DELLA NOSTRA CONFERMA D'ORDINE</v>
          </cell>
          <cell r="X123">
            <v>0.25</v>
          </cell>
          <cell r="Y123">
            <v>-0.04</v>
          </cell>
          <cell r="AB123">
            <v>0.25</v>
          </cell>
          <cell r="AC123">
            <v>0.25</v>
          </cell>
          <cell r="AD123">
            <v>0.25</v>
          </cell>
          <cell r="AE123">
            <v>0.25</v>
          </cell>
          <cell r="AF123">
            <v>0.25</v>
          </cell>
          <cell r="AG123">
            <v>0.25</v>
          </cell>
          <cell r="AH123">
            <v>0.25</v>
          </cell>
          <cell r="AI123">
            <v>0.25</v>
          </cell>
          <cell r="AJ123">
            <v>0.25</v>
          </cell>
          <cell r="AK123">
            <v>0.25</v>
          </cell>
          <cell r="AL123">
            <v>0.25</v>
          </cell>
          <cell r="AM123">
            <v>0.25</v>
          </cell>
          <cell r="AN123">
            <v>0.25</v>
          </cell>
          <cell r="AO123">
            <v>0.25</v>
          </cell>
          <cell r="AP123">
            <v>0.25</v>
          </cell>
          <cell r="AQ123">
            <v>0.25</v>
          </cell>
          <cell r="AR123">
            <v>0.25</v>
          </cell>
          <cell r="AS123">
            <v>0.25</v>
          </cell>
          <cell r="AT123">
            <v>-0.04</v>
          </cell>
          <cell r="AU123">
            <v>0.92</v>
          </cell>
          <cell r="AV123">
            <v>20</v>
          </cell>
          <cell r="AY123" t="str">
            <v/>
          </cell>
          <cell r="AZ123">
            <v>0.25</v>
          </cell>
          <cell r="BA123">
            <v>0.25</v>
          </cell>
        </row>
        <row r="124">
          <cell r="A124" t="str">
            <v>AL-TRA S.R.L.</v>
          </cell>
          <cell r="D124" t="str">
            <v>VIA TRENTO 87/89</v>
          </cell>
          <cell r="E124">
            <v>25024</v>
          </cell>
          <cell r="F124" t="str">
            <v>PORZANO DI LENO</v>
          </cell>
          <cell r="G124" t="str">
            <v>BS</v>
          </cell>
          <cell r="H124" t="str">
            <v>ITALIA</v>
          </cell>
          <cell r="J124" t="str">
            <v>03414760987</v>
          </cell>
          <cell r="M124" t="str">
            <v>UFFICIO ACQUISTI</v>
          </cell>
          <cell r="N124" t="str">
            <v>030 9048519</v>
          </cell>
          <cell r="O124" t="str">
            <v>335 7405462</v>
          </cell>
          <cell r="P124" t="str">
            <v>info@al-tra.it</v>
          </cell>
          <cell r="R124" t="str">
            <v>BONIFICO BANCARIO, ALLA DATA DELLA NOSTRA CONFERMA D'ORDINE</v>
          </cell>
          <cell r="X124">
            <v>0.25</v>
          </cell>
          <cell r="Y124">
            <v>-0.04</v>
          </cell>
          <cell r="AB124">
            <v>0.25</v>
          </cell>
          <cell r="AC124">
            <v>0.25</v>
          </cell>
          <cell r="AD124">
            <v>0.25</v>
          </cell>
          <cell r="AE124">
            <v>0.25</v>
          </cell>
          <cell r="AF124">
            <v>0.25</v>
          </cell>
          <cell r="AG124">
            <v>0.25</v>
          </cell>
          <cell r="AH124">
            <v>0.25</v>
          </cell>
          <cell r="AI124">
            <v>0.25</v>
          </cell>
          <cell r="AJ124">
            <v>0.25</v>
          </cell>
          <cell r="AK124">
            <v>0.25</v>
          </cell>
          <cell r="AL124">
            <v>0.25</v>
          </cell>
          <cell r="AM124">
            <v>0.25</v>
          </cell>
          <cell r="AN124">
            <v>0.25</v>
          </cell>
          <cell r="AO124">
            <v>0.25</v>
          </cell>
          <cell r="AP124">
            <v>0.25</v>
          </cell>
          <cell r="AQ124">
            <v>0.25</v>
          </cell>
          <cell r="AR124">
            <v>0.25</v>
          </cell>
          <cell r="AS124">
            <v>0.25</v>
          </cell>
          <cell r="AT124">
            <v>-0.04</v>
          </cell>
          <cell r="AU124">
            <v>0.92</v>
          </cell>
          <cell r="AV124">
            <v>20</v>
          </cell>
          <cell r="AY124" t="str">
            <v/>
          </cell>
          <cell r="AZ124">
            <v>0.25</v>
          </cell>
          <cell r="BA124">
            <v>0.25</v>
          </cell>
        </row>
        <row r="125">
          <cell r="A125" t="str">
            <v>ALU METAL DI NOLLI M.CARPENTERIA</v>
          </cell>
          <cell r="D125" t="str">
            <v>VIA LOMBARDIA, 68</v>
          </cell>
          <cell r="E125" t="str">
            <v>46049</v>
          </cell>
          <cell r="F125" t="str">
            <v>VOLTA MANTOVANA</v>
          </cell>
          <cell r="G125" t="str">
            <v>MN</v>
          </cell>
          <cell r="H125" t="str">
            <v>ITALIA</v>
          </cell>
          <cell r="J125" t="str">
            <v>01955960206</v>
          </cell>
          <cell r="M125" t="str">
            <v>UFFICIO ACQUISTI</v>
          </cell>
          <cell r="N125" t="str">
            <v>0376 83593</v>
          </cell>
          <cell r="P125" t="str">
            <v>info@alu-metal.it</v>
          </cell>
          <cell r="R125" t="str">
            <v>BONIFICO BANCARIO, ALLA DATA DELLA NOSTRA CONFERMA D'ORDINE</v>
          </cell>
          <cell r="X125">
            <v>0.25</v>
          </cell>
          <cell r="Y125">
            <v>-0.04</v>
          </cell>
          <cell r="AB125">
            <v>0.25</v>
          </cell>
          <cell r="AC125">
            <v>0.25</v>
          </cell>
          <cell r="AD125">
            <v>0.25</v>
          </cell>
          <cell r="AE125">
            <v>0.25</v>
          </cell>
          <cell r="AF125">
            <v>0.25</v>
          </cell>
          <cell r="AG125">
            <v>0.25</v>
          </cell>
          <cell r="AH125">
            <v>0.25</v>
          </cell>
          <cell r="AI125">
            <v>0.25</v>
          </cell>
          <cell r="AJ125">
            <v>0.25</v>
          </cell>
          <cell r="AK125">
            <v>0.25</v>
          </cell>
          <cell r="AL125">
            <v>0.25</v>
          </cell>
          <cell r="AM125">
            <v>0.25</v>
          </cell>
          <cell r="AN125">
            <v>0.25</v>
          </cell>
          <cell r="AO125">
            <v>0.25</v>
          </cell>
          <cell r="AP125">
            <v>0.25</v>
          </cell>
          <cell r="AQ125">
            <v>0.25</v>
          </cell>
          <cell r="AR125">
            <v>0.25</v>
          </cell>
          <cell r="AS125">
            <v>0.25</v>
          </cell>
          <cell r="AT125">
            <v>-0.04</v>
          </cell>
          <cell r="AU125">
            <v>0.92</v>
          </cell>
          <cell r="AV125">
            <v>20</v>
          </cell>
          <cell r="AY125" t="str">
            <v/>
          </cell>
          <cell r="AZ125">
            <v>0.25</v>
          </cell>
          <cell r="BA125">
            <v>0.25</v>
          </cell>
        </row>
        <row r="126">
          <cell r="A126" t="str">
            <v>ALUART SERRAMENTI</v>
          </cell>
          <cell r="D126" t="str">
            <v>VIA CONTARELLA, 15 A</v>
          </cell>
          <cell r="E126" t="str">
            <v>42019</v>
          </cell>
          <cell r="F126" t="str">
            <v>SCANDIANO</v>
          </cell>
          <cell r="G126" t="str">
            <v>RE</v>
          </cell>
          <cell r="H126" t="str">
            <v>ITALIA</v>
          </cell>
          <cell r="J126" t="str">
            <v>02049980358</v>
          </cell>
          <cell r="M126" t="str">
            <v>UFFICIO ACQUISTI</v>
          </cell>
          <cell r="N126" t="str">
            <v>0522 851240</v>
          </cell>
          <cell r="P126" t="str">
            <v>aluart100@aluart.191.it</v>
          </cell>
          <cell r="R126" t="str">
            <v>BONIFICO BANCARIO, ALLA DATA DELLA NOSTRA CONFERMA D'ORDINE</v>
          </cell>
          <cell r="X126">
            <v>0.25</v>
          </cell>
          <cell r="Y126">
            <v>-0.04</v>
          </cell>
          <cell r="AB126">
            <v>0.25</v>
          </cell>
          <cell r="AC126">
            <v>0.25</v>
          </cell>
          <cell r="AD126">
            <v>0.25</v>
          </cell>
          <cell r="AE126">
            <v>0.25</v>
          </cell>
          <cell r="AF126">
            <v>0.25</v>
          </cell>
          <cell r="AG126">
            <v>0.25</v>
          </cell>
          <cell r="AH126">
            <v>0.25</v>
          </cell>
          <cell r="AI126">
            <v>0.25</v>
          </cell>
          <cell r="AJ126">
            <v>0.25</v>
          </cell>
          <cell r="AK126">
            <v>0.25</v>
          </cell>
          <cell r="AL126">
            <v>0.25</v>
          </cell>
          <cell r="AM126">
            <v>0.25</v>
          </cell>
          <cell r="AN126">
            <v>0.25</v>
          </cell>
          <cell r="AO126">
            <v>0.25</v>
          </cell>
          <cell r="AP126">
            <v>0.25</v>
          </cell>
          <cell r="AQ126">
            <v>0.25</v>
          </cell>
          <cell r="AR126">
            <v>0.25</v>
          </cell>
          <cell r="AS126">
            <v>0.25</v>
          </cell>
          <cell r="AT126">
            <v>-0.04</v>
          </cell>
          <cell r="AU126">
            <v>0.92</v>
          </cell>
          <cell r="AV126">
            <v>20</v>
          </cell>
          <cell r="AY126" t="str">
            <v/>
          </cell>
          <cell r="AZ126">
            <v>0.25</v>
          </cell>
          <cell r="BA126">
            <v>0.25</v>
          </cell>
        </row>
        <row r="127">
          <cell r="A127" t="str">
            <v>ALUFER</v>
          </cell>
          <cell r="D127" t="str">
            <v>VIA MARCO BIAGI, 13</v>
          </cell>
          <cell r="E127">
            <v>37019</v>
          </cell>
          <cell r="F127" t="str">
            <v>DESENZANO D.G.</v>
          </cell>
          <cell r="G127" t="str">
            <v>VR</v>
          </cell>
          <cell r="H127" t="str">
            <v>ITALIA</v>
          </cell>
          <cell r="M127" t="str">
            <v>UFFICIO ACQUISTI</v>
          </cell>
          <cell r="N127" t="str">
            <v>045 750383</v>
          </cell>
          <cell r="P127" t="str">
            <v>info@alufersrl.it</v>
          </cell>
          <cell r="R127" t="str">
            <v>BONIFICO BANCARIO, ALLA DATA DELLA NOSTRA CONFERMA D'ORDINE</v>
          </cell>
          <cell r="X127">
            <v>0.25</v>
          </cell>
          <cell r="Y127">
            <v>-0.04</v>
          </cell>
          <cell r="AB127">
            <v>0.25</v>
          </cell>
          <cell r="AC127">
            <v>0.25</v>
          </cell>
          <cell r="AD127">
            <v>0.25</v>
          </cell>
          <cell r="AE127">
            <v>0.25</v>
          </cell>
          <cell r="AF127">
            <v>0.25</v>
          </cell>
          <cell r="AG127">
            <v>0.25</v>
          </cell>
          <cell r="AH127">
            <v>0.25</v>
          </cell>
          <cell r="AI127">
            <v>0.25</v>
          </cell>
          <cell r="AJ127">
            <v>0.25</v>
          </cell>
          <cell r="AK127">
            <v>0.25</v>
          </cell>
          <cell r="AL127">
            <v>0.25</v>
          </cell>
          <cell r="AM127">
            <v>0.25</v>
          </cell>
          <cell r="AN127">
            <v>0.25</v>
          </cell>
          <cell r="AO127">
            <v>0.25</v>
          </cell>
          <cell r="AP127">
            <v>0.25</v>
          </cell>
          <cell r="AQ127">
            <v>0.25</v>
          </cell>
          <cell r="AR127">
            <v>0.25</v>
          </cell>
          <cell r="AS127">
            <v>0.25</v>
          </cell>
          <cell r="AT127">
            <v>-0.04</v>
          </cell>
          <cell r="AU127">
            <v>0.92</v>
          </cell>
          <cell r="AV127">
            <v>20</v>
          </cell>
          <cell r="AY127" t="str">
            <v/>
          </cell>
          <cell r="AZ127">
            <v>0.25</v>
          </cell>
          <cell r="BA127">
            <v>0.25</v>
          </cell>
        </row>
        <row r="128">
          <cell r="A128" t="str">
            <v>ALUINFISSI SRL</v>
          </cell>
          <cell r="B128" t="str">
            <v>MARRAS GIUSEPPE AMMINISTRATORE</v>
          </cell>
          <cell r="D128" t="str">
            <v>ZONA INDUSTRIALE SAS MANCAS</v>
          </cell>
          <cell r="E128" t="str">
            <v>08028</v>
          </cell>
          <cell r="F128" t="str">
            <v>OROSEI</v>
          </cell>
          <cell r="G128" t="str">
            <v>NU</v>
          </cell>
          <cell r="H128" t="str">
            <v>ITALIA</v>
          </cell>
          <cell r="J128" t="str">
            <v>01321250910</v>
          </cell>
          <cell r="K128" t="str">
            <v>KRRH6B9</v>
          </cell>
          <cell r="M128" t="str">
            <v>UFFICIO ACQUISTI</v>
          </cell>
          <cell r="N128" t="str">
            <v>0784 91136</v>
          </cell>
          <cell r="O128" t="str">
            <v>348 2517011 AMM.RE MARRAS GIUSEPPE</v>
          </cell>
          <cell r="P128" t="str">
            <v>info@aluinfissi.com</v>
          </cell>
          <cell r="R128" t="str">
            <v>BONIFICO BANCARIO, ALLA DATA DELLA NOSTRA CONFERMA D'ORDINE</v>
          </cell>
          <cell r="X128">
            <v>0.25</v>
          </cell>
          <cell r="Y128">
            <v>-0.04</v>
          </cell>
          <cell r="AB128">
            <v>0.2</v>
          </cell>
          <cell r="AC128">
            <v>0.2</v>
          </cell>
          <cell r="AD128">
            <v>0.2</v>
          </cell>
          <cell r="AE128">
            <v>0.2</v>
          </cell>
          <cell r="AF128">
            <v>0.2</v>
          </cell>
          <cell r="AG128">
            <v>0.2</v>
          </cell>
          <cell r="AH128">
            <v>0.2</v>
          </cell>
          <cell r="AI128">
            <v>0.2</v>
          </cell>
          <cell r="AJ128">
            <v>0.2</v>
          </cell>
          <cell r="AK128">
            <v>0.2</v>
          </cell>
          <cell r="AL128">
            <v>0.2</v>
          </cell>
          <cell r="AM128">
            <v>0.2</v>
          </cell>
          <cell r="AN128">
            <v>0.2</v>
          </cell>
          <cell r="AO128">
            <v>0.2</v>
          </cell>
          <cell r="AP128">
            <v>0.2</v>
          </cell>
          <cell r="AQ128">
            <v>0.2</v>
          </cell>
          <cell r="AR128">
            <v>0.2</v>
          </cell>
          <cell r="AS128">
            <v>0.2</v>
          </cell>
          <cell r="AT128">
            <v>-0.04</v>
          </cell>
          <cell r="AU128">
            <v>0.92</v>
          </cell>
          <cell r="AV128">
            <v>20</v>
          </cell>
          <cell r="AZ128">
            <v>0.2</v>
          </cell>
          <cell r="BA128">
            <v>0.2</v>
          </cell>
        </row>
        <row r="129">
          <cell r="A129" t="str">
            <v xml:space="preserve">ALUIT </v>
          </cell>
          <cell r="D129" t="str">
            <v>VIA PAVIA, 3</v>
          </cell>
          <cell r="E129" t="str">
            <v>27027</v>
          </cell>
          <cell r="F129" t="str">
            <v>GROPELLO CAIROLI</v>
          </cell>
          <cell r="G129" t="str">
            <v>PV</v>
          </cell>
          <cell r="H129" t="str">
            <v>ITALIA</v>
          </cell>
          <cell r="M129" t="str">
            <v>UFFICIO ACQUISTI</v>
          </cell>
          <cell r="N129" t="str">
            <v>0382 817081</v>
          </cell>
          <cell r="P129" t="str">
            <v>stefano.rolla@aluit.com</v>
          </cell>
          <cell r="R129" t="str">
            <v>BONIFICO BANCARIO, ALLA DATA DELLA NOSTRA CONFERMA D'ORDINE</v>
          </cell>
          <cell r="X129">
            <v>0.25</v>
          </cell>
          <cell r="Y129">
            <v>-0.04</v>
          </cell>
          <cell r="AB129">
            <v>0.25</v>
          </cell>
          <cell r="AC129">
            <v>0.25</v>
          </cell>
          <cell r="AD129">
            <v>0.25</v>
          </cell>
          <cell r="AE129">
            <v>0.25</v>
          </cell>
          <cell r="AF129">
            <v>0.25</v>
          </cell>
          <cell r="AG129">
            <v>0.25</v>
          </cell>
          <cell r="AH129">
            <v>0.25</v>
          </cell>
          <cell r="AI129">
            <v>0.25</v>
          </cell>
          <cell r="AJ129">
            <v>0.25</v>
          </cell>
          <cell r="AK129">
            <v>0.25</v>
          </cell>
          <cell r="AL129">
            <v>0.25</v>
          </cell>
          <cell r="AM129">
            <v>0.25</v>
          </cell>
          <cell r="AN129">
            <v>0.25</v>
          </cell>
          <cell r="AO129">
            <v>0.25</v>
          </cell>
          <cell r="AP129">
            <v>0.25</v>
          </cell>
          <cell r="AQ129">
            <v>0.25</v>
          </cell>
          <cell r="AR129">
            <v>0.25</v>
          </cell>
          <cell r="AS129">
            <v>0.25</v>
          </cell>
          <cell r="AT129">
            <v>-0.04</v>
          </cell>
          <cell r="AU129">
            <v>0.92</v>
          </cell>
          <cell r="AV129">
            <v>20</v>
          </cell>
          <cell r="AZ129">
            <v>0.25</v>
          </cell>
          <cell r="BA129">
            <v>0.25</v>
          </cell>
        </row>
        <row r="130">
          <cell r="A130" t="str">
            <v>ALULEN</v>
          </cell>
          <cell r="E130">
            <v>72015</v>
          </cell>
          <cell r="F130" t="str">
            <v>FASANO</v>
          </cell>
          <cell r="G130" t="str">
            <v>BR</v>
          </cell>
          <cell r="H130" t="str">
            <v>ITALIA</v>
          </cell>
          <cell r="J130" t="str">
            <v>01432560744</v>
          </cell>
          <cell r="M130" t="str">
            <v>UFFICIO ACQUISTI</v>
          </cell>
          <cell r="N130" t="str">
            <v>080 4425579</v>
          </cell>
          <cell r="P130" t="str">
            <v>sial@sialserramenti.it</v>
          </cell>
          <cell r="R130" t="str">
            <v>BONIFICO BANCARIO, ALLA DATA DELLA NOSTRA CONFERMA D'ORDINE</v>
          </cell>
          <cell r="X130">
            <v>0.25</v>
          </cell>
          <cell r="Y130">
            <v>-0.04</v>
          </cell>
          <cell r="AB130">
            <v>0.25</v>
          </cell>
          <cell r="AC130">
            <v>0.25</v>
          </cell>
          <cell r="AD130">
            <v>0.25</v>
          </cell>
          <cell r="AE130">
            <v>0.25</v>
          </cell>
          <cell r="AF130">
            <v>0.25</v>
          </cell>
          <cell r="AG130">
            <v>0.25</v>
          </cell>
          <cell r="AH130">
            <v>0.25</v>
          </cell>
          <cell r="AI130">
            <v>0.25</v>
          </cell>
          <cell r="AJ130">
            <v>0.25</v>
          </cell>
          <cell r="AK130">
            <v>0.25</v>
          </cell>
          <cell r="AL130">
            <v>0.25</v>
          </cell>
          <cell r="AM130">
            <v>0.25</v>
          </cell>
          <cell r="AN130">
            <v>0.25</v>
          </cell>
          <cell r="AO130">
            <v>0.25</v>
          </cell>
          <cell r="AP130">
            <v>0.25</v>
          </cell>
          <cell r="AQ130">
            <v>0.25</v>
          </cell>
          <cell r="AR130">
            <v>0.25</v>
          </cell>
          <cell r="AS130">
            <v>0.25</v>
          </cell>
          <cell r="AT130">
            <v>-0.04</v>
          </cell>
          <cell r="AU130">
            <v>0.92</v>
          </cell>
          <cell r="AV130">
            <v>20</v>
          </cell>
          <cell r="AZ130">
            <v>0.25</v>
          </cell>
          <cell r="BA130">
            <v>0.25</v>
          </cell>
        </row>
        <row r="131">
          <cell r="A131" t="str">
            <v>ALUMADHI SL</v>
          </cell>
          <cell r="D131" t="str">
            <v>AVD DULCINEA, 5</v>
          </cell>
          <cell r="E131" t="str">
            <v>29640</v>
          </cell>
          <cell r="F131" t="str">
            <v>FUENGIROLA- MALAGA</v>
          </cell>
          <cell r="H131" t="str">
            <v>SPAGNA</v>
          </cell>
          <cell r="J131" t="str">
            <v>ESB29559085</v>
          </cell>
          <cell r="K131" t="str">
            <v>XXXXXXX</v>
          </cell>
          <cell r="M131" t="str">
            <v>UFFICIO ACQUISTI</v>
          </cell>
          <cell r="N131" t="str">
            <v>+34 952465248</v>
          </cell>
          <cell r="O131" t="str">
            <v>+34 656979800</v>
          </cell>
          <cell r="P131" t="str">
            <v>alumadhi@alumadhi.es</v>
          </cell>
          <cell r="R131" t="str">
            <v>TRANSFERENCIA BANCARIA, EN LA FECHA DE NUESTRA CONFIRMACIÓN DE PEDIDO</v>
          </cell>
          <cell r="X131">
            <v>0.25</v>
          </cell>
          <cell r="Y131">
            <v>-0.04</v>
          </cell>
          <cell r="AB131">
            <v>0.25</v>
          </cell>
          <cell r="AC131">
            <v>0.25</v>
          </cell>
          <cell r="AD131">
            <v>0.25</v>
          </cell>
          <cell r="AE131">
            <v>0.25</v>
          </cell>
          <cell r="AF131">
            <v>0.25</v>
          </cell>
          <cell r="AG131">
            <v>0.25</v>
          </cell>
          <cell r="AH131">
            <v>0.25</v>
          </cell>
          <cell r="AI131">
            <v>0.25</v>
          </cell>
          <cell r="AJ131">
            <v>0.25</v>
          </cell>
          <cell r="AK131">
            <v>0.25</v>
          </cell>
          <cell r="AL131">
            <v>0.25</v>
          </cell>
          <cell r="AM131">
            <v>0.25</v>
          </cell>
          <cell r="AN131">
            <v>0.25</v>
          </cell>
          <cell r="AO131">
            <v>0.25</v>
          </cell>
          <cell r="AP131">
            <v>0.25</v>
          </cell>
          <cell r="AQ131">
            <v>0.25</v>
          </cell>
          <cell r="AR131">
            <v>0.25</v>
          </cell>
          <cell r="AS131">
            <v>0.25</v>
          </cell>
          <cell r="AT131">
            <v>-0.04</v>
          </cell>
          <cell r="AU131">
            <v>0.87</v>
          </cell>
          <cell r="AV131">
            <v>20</v>
          </cell>
          <cell r="AZ131">
            <v>0.25</v>
          </cell>
          <cell r="BA131">
            <v>0.25</v>
          </cell>
        </row>
        <row r="132">
          <cell r="A132" t="str">
            <v>ALUMASCH DI MASCIAGA ROBERTO E LORENZO SNC</v>
          </cell>
          <cell r="D132" t="str">
            <v>VIA MOMO 120</v>
          </cell>
          <cell r="E132" t="str">
            <v>28047</v>
          </cell>
          <cell r="F132" t="str">
            <v>OLEGGIO</v>
          </cell>
          <cell r="G132" t="str">
            <v>NO</v>
          </cell>
          <cell r="H132" t="str">
            <v>ITALIA</v>
          </cell>
          <cell r="J132" t="str">
            <v>01554370039</v>
          </cell>
          <cell r="M132" t="str">
            <v>UFFICIO ACQUISTI</v>
          </cell>
          <cell r="N132" t="str">
            <v>0321 960826</v>
          </cell>
          <cell r="P132" t="str">
            <v>info@alumasch.com</v>
          </cell>
          <cell r="R132" t="str">
            <v>BONIFICO BANCARIO, ALLA DATA DELLA NOSTRA CONFERMA D'ORDINE</v>
          </cell>
          <cell r="X132">
            <v>0.25</v>
          </cell>
          <cell r="Y132">
            <v>-0.04</v>
          </cell>
          <cell r="AB132">
            <v>0.25</v>
          </cell>
          <cell r="AC132">
            <v>0.25</v>
          </cell>
          <cell r="AD132">
            <v>0.25</v>
          </cell>
          <cell r="AE132">
            <v>0.25</v>
          </cell>
          <cell r="AF132">
            <v>0.25</v>
          </cell>
          <cell r="AG132">
            <v>0.25</v>
          </cell>
          <cell r="AH132">
            <v>0.25</v>
          </cell>
          <cell r="AI132">
            <v>0.25</v>
          </cell>
          <cell r="AJ132">
            <v>0.25</v>
          </cell>
          <cell r="AK132">
            <v>0.25</v>
          </cell>
          <cell r="AL132">
            <v>0.25</v>
          </cell>
          <cell r="AM132">
            <v>0.25</v>
          </cell>
          <cell r="AN132">
            <v>0.25</v>
          </cell>
          <cell r="AO132">
            <v>0.25</v>
          </cell>
          <cell r="AP132">
            <v>0.25</v>
          </cell>
          <cell r="AQ132">
            <v>0.25</v>
          </cell>
          <cell r="AR132">
            <v>0.25</v>
          </cell>
          <cell r="AS132">
            <v>0.25</v>
          </cell>
          <cell r="AT132">
            <v>-0.04</v>
          </cell>
          <cell r="AU132">
            <v>0.92</v>
          </cell>
          <cell r="AV132">
            <v>20</v>
          </cell>
          <cell r="AY132" t="str">
            <v>CONTRASSEGNO corriere espresso GLS 3% (minimo 3 euro)</v>
          </cell>
          <cell r="AZ132">
            <v>0.25</v>
          </cell>
          <cell r="BA132">
            <v>0.25</v>
          </cell>
        </row>
        <row r="133">
          <cell r="A133" t="str">
            <v>ALUMEN.COM SRL</v>
          </cell>
          <cell r="D133" t="str">
            <v>VIALE EUROPA 30</v>
          </cell>
          <cell r="E133" t="str">
            <v>04011</v>
          </cell>
          <cell r="F133" t="str">
            <v>APRILIA</v>
          </cell>
          <cell r="G133" t="str">
            <v>LT</v>
          </cell>
          <cell r="H133" t="str">
            <v>ITALIA</v>
          </cell>
          <cell r="J133" t="str">
            <v>02153190596</v>
          </cell>
          <cell r="M133" t="str">
            <v>UFFICIO ACQUISTI</v>
          </cell>
          <cell r="N133" t="str">
            <v>06 9280684</v>
          </cell>
          <cell r="O133" t="str">
            <v>342 3533487</v>
          </cell>
          <cell r="P133" t="str">
            <v>commercialevendite@alumen.it</v>
          </cell>
          <cell r="R133" t="str">
            <v>BONIFICO BANCARIO, ALLA DATA DELLA NOSTRA CONFERMA D'ORDINE</v>
          </cell>
          <cell r="X133">
            <v>0.25</v>
          </cell>
          <cell r="Y133">
            <v>-0.04</v>
          </cell>
          <cell r="AB133">
            <v>0.25</v>
          </cell>
          <cell r="AC133">
            <v>0.25</v>
          </cell>
          <cell r="AD133">
            <v>0.25</v>
          </cell>
          <cell r="AE133">
            <v>0.25</v>
          </cell>
          <cell r="AF133">
            <v>0.25</v>
          </cell>
          <cell r="AG133">
            <v>0.25</v>
          </cell>
          <cell r="AH133">
            <v>0.25</v>
          </cell>
          <cell r="AI133">
            <v>0.25</v>
          </cell>
          <cell r="AJ133">
            <v>0.25</v>
          </cell>
          <cell r="AK133">
            <v>0.25</v>
          </cell>
          <cell r="AL133">
            <v>0.25</v>
          </cell>
          <cell r="AM133">
            <v>0.25</v>
          </cell>
          <cell r="AN133">
            <v>0.25</v>
          </cell>
          <cell r="AO133">
            <v>0.25</v>
          </cell>
          <cell r="AP133">
            <v>0.25</v>
          </cell>
          <cell r="AQ133">
            <v>0.25</v>
          </cell>
          <cell r="AR133">
            <v>0.25</v>
          </cell>
          <cell r="AS133">
            <v>0.25</v>
          </cell>
          <cell r="AT133">
            <v>-0.04</v>
          </cell>
          <cell r="AU133">
            <v>0.92</v>
          </cell>
          <cell r="AV133">
            <v>20</v>
          </cell>
          <cell r="AY133" t="str">
            <v/>
          </cell>
          <cell r="AZ133">
            <v>0.25</v>
          </cell>
          <cell r="BA133">
            <v>0.25</v>
          </cell>
        </row>
        <row r="134">
          <cell r="A134" t="str">
            <v>ALUPLAST DI CONFORTINI ANGIOLINO E C. S.N.C.</v>
          </cell>
          <cell r="B134" t="str">
            <v>COLLABORANO CON NELSON BAVUTTI - MP 29/09/2022</v>
          </cell>
          <cell r="D134" t="str">
            <v>VIA PRIMO MAGGIO, 2</v>
          </cell>
          <cell r="E134" t="str">
            <v>46028</v>
          </cell>
          <cell r="F134" t="str">
            <v>SERMIDE E FELONICA LOC. FELONICA</v>
          </cell>
          <cell r="G134" t="str">
            <v>MN</v>
          </cell>
          <cell r="H134" t="str">
            <v>ITALIA</v>
          </cell>
          <cell r="J134" t="str">
            <v>01578910208</v>
          </cell>
          <cell r="K134" t="str">
            <v>SUBM70N</v>
          </cell>
          <cell r="M134" t="str">
            <v>UFFICIO ACQUISTI</v>
          </cell>
          <cell r="N134" t="str">
            <v>0386 66316</v>
          </cell>
          <cell r="P134" t="str">
            <v>aluplastsnc@gmail.com</v>
          </cell>
          <cell r="R134" t="str">
            <v>BONIFICO BANCARIO, ALLA DATA DELLA NOSTRA CONFERMA D'ORDINE</v>
          </cell>
          <cell r="X134">
            <v>0.25</v>
          </cell>
          <cell r="Y134">
            <v>-0.04</v>
          </cell>
          <cell r="AB134">
            <v>0.25</v>
          </cell>
          <cell r="AC134">
            <v>0.25</v>
          </cell>
          <cell r="AD134">
            <v>0.25</v>
          </cell>
          <cell r="AE134">
            <v>0.25</v>
          </cell>
          <cell r="AF134">
            <v>0.25</v>
          </cell>
          <cell r="AG134">
            <v>0.25</v>
          </cell>
          <cell r="AH134">
            <v>0.25</v>
          </cell>
          <cell r="AI134">
            <v>0.25</v>
          </cell>
          <cell r="AJ134">
            <v>0.25</v>
          </cell>
          <cell r="AK134">
            <v>0.25</v>
          </cell>
          <cell r="AL134">
            <v>0.25</v>
          </cell>
          <cell r="AM134">
            <v>0.25</v>
          </cell>
          <cell r="AN134">
            <v>0.25</v>
          </cell>
          <cell r="AO134">
            <v>0.25</v>
          </cell>
          <cell r="AP134">
            <v>0.25</v>
          </cell>
          <cell r="AQ134">
            <v>0.25</v>
          </cell>
          <cell r="AR134">
            <v>0.25</v>
          </cell>
          <cell r="AS134">
            <v>0.25</v>
          </cell>
          <cell r="AT134">
            <v>-0.04</v>
          </cell>
          <cell r="AU134">
            <v>0.9</v>
          </cell>
          <cell r="AV134">
            <v>20</v>
          </cell>
          <cell r="AZ134">
            <v>0.25</v>
          </cell>
          <cell r="BA134">
            <v>0.25</v>
          </cell>
        </row>
        <row r="135">
          <cell r="A135" t="str">
            <v>ALUQUATTRO DI VIGNOLA B. E C. SNC</v>
          </cell>
          <cell r="D135" t="str">
            <v>VIA FORNACE STAZIONE, 131</v>
          </cell>
          <cell r="E135" t="str">
            <v>29010</v>
          </cell>
          <cell r="F135" t="str">
            <v>ALSENO</v>
          </cell>
          <cell r="G135" t="str">
            <v>BS</v>
          </cell>
          <cell r="H135" t="str">
            <v>ITALIA</v>
          </cell>
          <cell r="J135" t="str">
            <v>01478070335</v>
          </cell>
          <cell r="M135" t="str">
            <v>UFFICIO ACQUISTI</v>
          </cell>
          <cell r="N135" t="str">
            <v>0523 945627</v>
          </cell>
          <cell r="O135" t="str">
            <v>339 2005785 buzzetti emanuele</v>
          </cell>
          <cell r="P135" t="str">
            <v>aluquattro@libero.it</v>
          </cell>
          <cell r="R135" t="str">
            <v>BONIFICO BANCARIO, ALLA DATA DELLA NOSTRA CONFERMA D'ORDINE</v>
          </cell>
          <cell r="Y135">
            <v>-0.04</v>
          </cell>
          <cell r="AT135">
            <v>-0.04</v>
          </cell>
          <cell r="AV135">
            <v>20</v>
          </cell>
          <cell r="AZ135">
            <v>0</v>
          </cell>
          <cell r="BA135">
            <v>0</v>
          </cell>
        </row>
        <row r="136">
          <cell r="A136" t="str">
            <v>ALUSETTE srl</v>
          </cell>
          <cell r="B136" t="str">
            <v>LASCIATO DEPLIANT - MP 21/12/22 SI RIFORNISCONO DA ACQUASTOP. CHIAMARE ANNO NUOVO</v>
          </cell>
          <cell r="D136" t="str">
            <v>VIA PIERMARINI, 16 18</v>
          </cell>
          <cell r="E136">
            <v>6132</v>
          </cell>
          <cell r="F136" t="str">
            <v>SAN SISTO</v>
          </cell>
          <cell r="G136" t="str">
            <v>PG</v>
          </cell>
          <cell r="H136" t="str">
            <v>ITALIA</v>
          </cell>
          <cell r="I136" t="str">
            <v>03116650544</v>
          </cell>
          <cell r="J136" t="str">
            <v>03116650544</v>
          </cell>
          <cell r="M136" t="str">
            <v>UFFICIO ACQUISTI</v>
          </cell>
          <cell r="N136" t="str">
            <v>075 5292262</v>
          </cell>
          <cell r="P136" t="str">
            <v>info@alusetteaccessori.com</v>
          </cell>
          <cell r="R136" t="str">
            <v>BONIFICO BANCARIO, ALLA DATA DELLA NOSTRA CONFERMA D'ORDINE</v>
          </cell>
          <cell r="X136">
            <v>0.25</v>
          </cell>
          <cell r="Y136">
            <v>-0.04</v>
          </cell>
          <cell r="AB136">
            <v>0.25</v>
          </cell>
          <cell r="AC136">
            <v>0.25</v>
          </cell>
          <cell r="AD136">
            <v>0.25</v>
          </cell>
          <cell r="AE136">
            <v>0.25</v>
          </cell>
          <cell r="AF136">
            <v>0.25</v>
          </cell>
          <cell r="AG136">
            <v>0.25</v>
          </cell>
          <cell r="AH136">
            <v>0.25</v>
          </cell>
          <cell r="AI136">
            <v>0.25</v>
          </cell>
          <cell r="AJ136">
            <v>0.25</v>
          </cell>
          <cell r="AK136">
            <v>0.25</v>
          </cell>
          <cell r="AL136">
            <v>0.25</v>
          </cell>
          <cell r="AM136">
            <v>0.25</v>
          </cell>
          <cell r="AN136">
            <v>0.25</v>
          </cell>
          <cell r="AO136">
            <v>0.25</v>
          </cell>
          <cell r="AP136">
            <v>0.25</v>
          </cell>
          <cell r="AQ136">
            <v>0.25</v>
          </cell>
          <cell r="AR136">
            <v>0.25</v>
          </cell>
          <cell r="AS136">
            <v>0.25</v>
          </cell>
          <cell r="AT136">
            <v>-0.04</v>
          </cell>
          <cell r="AU136">
            <v>0.92</v>
          </cell>
          <cell r="AV136">
            <v>20</v>
          </cell>
          <cell r="AY136" t="str">
            <v/>
          </cell>
          <cell r="AZ136">
            <v>0.25</v>
          </cell>
          <cell r="BA136">
            <v>0.25</v>
          </cell>
        </row>
        <row r="137">
          <cell r="A137" t="str">
            <v>ALUSISTEM</v>
          </cell>
          <cell r="D137" t="str">
            <v>VIA F.VEZZANI, 48 F R</v>
          </cell>
          <cell r="E137">
            <v>16159</v>
          </cell>
          <cell r="F137" t="str">
            <v>GENOVA- RIVAROLO</v>
          </cell>
          <cell r="G137" t="str">
            <v>GE</v>
          </cell>
          <cell r="H137" t="str">
            <v>ITALIA</v>
          </cell>
          <cell r="J137" t="str">
            <v>03253810109</v>
          </cell>
          <cell r="M137" t="str">
            <v>UFFICIO ACQUISTI</v>
          </cell>
          <cell r="N137" t="str">
            <v>010 7491312</v>
          </cell>
          <cell r="P137" t="str">
            <v>alusistem@tiscali.it</v>
          </cell>
          <cell r="R137" t="str">
            <v>BONIFICO BANCARIO, ALLA DATA DELLA NOSTRA CONFERMA D'ORDINE</v>
          </cell>
          <cell r="X137">
            <v>0.25</v>
          </cell>
          <cell r="Y137">
            <v>-0.04</v>
          </cell>
          <cell r="AB137">
            <v>0.25</v>
          </cell>
          <cell r="AC137">
            <v>0.25</v>
          </cell>
          <cell r="AD137">
            <v>0.25</v>
          </cell>
          <cell r="AE137">
            <v>0.25</v>
          </cell>
          <cell r="AF137">
            <v>0.25</v>
          </cell>
          <cell r="AG137">
            <v>0.25</v>
          </cell>
          <cell r="AH137">
            <v>0.25</v>
          </cell>
          <cell r="AI137">
            <v>0.25</v>
          </cell>
          <cell r="AJ137">
            <v>0.25</v>
          </cell>
          <cell r="AK137">
            <v>0.25</v>
          </cell>
          <cell r="AL137">
            <v>0.25</v>
          </cell>
          <cell r="AM137">
            <v>0.25</v>
          </cell>
          <cell r="AN137">
            <v>0.25</v>
          </cell>
          <cell r="AO137">
            <v>0.25</v>
          </cell>
          <cell r="AP137">
            <v>0.25</v>
          </cell>
          <cell r="AQ137">
            <v>0.25</v>
          </cell>
          <cell r="AR137">
            <v>0.25</v>
          </cell>
          <cell r="AS137">
            <v>0.25</v>
          </cell>
          <cell r="AT137">
            <v>-0.04</v>
          </cell>
          <cell r="AU137">
            <v>0.92</v>
          </cell>
          <cell r="AV137">
            <v>20</v>
          </cell>
          <cell r="AZ137">
            <v>0.25</v>
          </cell>
          <cell r="BA137">
            <v>0.25</v>
          </cell>
        </row>
        <row r="138">
          <cell r="A138" t="str">
            <v>ALUSTORE RAVERA</v>
          </cell>
          <cell r="D138" t="str">
            <v>VIA BIANCHERI, 10</v>
          </cell>
          <cell r="E138">
            <v>18039</v>
          </cell>
          <cell r="F138" t="str">
            <v>VENTIMIGLIA</v>
          </cell>
          <cell r="G138" t="str">
            <v>IM</v>
          </cell>
          <cell r="H138" t="str">
            <v>ITALIA</v>
          </cell>
          <cell r="M138" t="str">
            <v>UFFICIO ACQUISTI</v>
          </cell>
          <cell r="N138" t="str">
            <v>0184 33416</v>
          </cell>
          <cell r="O138" t="str">
            <v>335 6309471</v>
          </cell>
          <cell r="P138" t="str">
            <v>info@alustore.it</v>
          </cell>
          <cell r="R138" t="str">
            <v>BONIFICO BANCARIO, ALLA DATA DELLA NOSTRA CONFERMA D'ORDINE</v>
          </cell>
          <cell r="X138">
            <v>0.25</v>
          </cell>
          <cell r="Y138">
            <v>-0.04</v>
          </cell>
          <cell r="AB138">
            <v>0.25</v>
          </cell>
          <cell r="AC138">
            <v>0.25</v>
          </cell>
          <cell r="AD138">
            <v>0.25</v>
          </cell>
          <cell r="AE138">
            <v>0.25</v>
          </cell>
          <cell r="AF138">
            <v>0.25</v>
          </cell>
          <cell r="AG138">
            <v>0.25</v>
          </cell>
          <cell r="AH138">
            <v>0.25</v>
          </cell>
          <cell r="AI138">
            <v>0.25</v>
          </cell>
          <cell r="AJ138">
            <v>0.25</v>
          </cell>
          <cell r="AK138">
            <v>0.25</v>
          </cell>
          <cell r="AL138">
            <v>0.25</v>
          </cell>
          <cell r="AM138">
            <v>0.25</v>
          </cell>
          <cell r="AN138">
            <v>0.25</v>
          </cell>
          <cell r="AO138">
            <v>0.25</v>
          </cell>
          <cell r="AP138">
            <v>0.25</v>
          </cell>
          <cell r="AQ138">
            <v>0.25</v>
          </cell>
          <cell r="AR138">
            <v>0.25</v>
          </cell>
          <cell r="AS138">
            <v>0.25</v>
          </cell>
          <cell r="AT138">
            <v>-0.04</v>
          </cell>
          <cell r="AU138">
            <v>0.92</v>
          </cell>
          <cell r="AV138">
            <v>20</v>
          </cell>
          <cell r="AY138" t="str">
            <v/>
          </cell>
          <cell r="AZ138">
            <v>0.25</v>
          </cell>
          <cell r="BA138">
            <v>0.25</v>
          </cell>
        </row>
        <row r="139">
          <cell r="A139" t="str">
            <v>ALVAL SRLS</v>
          </cell>
          <cell r="D139" t="str">
            <v>VIA VALTELLINA, 182</v>
          </cell>
          <cell r="E139" t="str">
            <v>21027</v>
          </cell>
          <cell r="F139" t="str">
            <v>ISPRA</v>
          </cell>
          <cell r="G139" t="str">
            <v>VA</v>
          </cell>
          <cell r="H139" t="str">
            <v>ITALIA</v>
          </cell>
          <cell r="J139" t="str">
            <v>03565690124</v>
          </cell>
          <cell r="K139" t="str">
            <v>USAL8PV</v>
          </cell>
          <cell r="L139" t="str">
            <v>VIA MILANO, 4 - BESOZZO (VA)</v>
          </cell>
          <cell r="M139" t="str">
            <v>UFFICIO ACQUISTI</v>
          </cell>
          <cell r="N139" t="str">
            <v>0332 602740</v>
          </cell>
          <cell r="P139" t="str">
            <v>mail@alval.it</v>
          </cell>
          <cell r="R139" t="str">
            <v>BONIFICO BANCARIO, ALLA DATA DELLA NOSTRA CONFERMA D'ORDINE</v>
          </cell>
          <cell r="X139">
            <v>0.25</v>
          </cell>
          <cell r="Y139">
            <v>-0.04</v>
          </cell>
          <cell r="AB139">
            <v>0.25</v>
          </cell>
          <cell r="AC139">
            <v>0.25</v>
          </cell>
          <cell r="AD139">
            <v>0.25</v>
          </cell>
          <cell r="AE139">
            <v>0.25</v>
          </cell>
          <cell r="AF139">
            <v>0.25</v>
          </cell>
          <cell r="AG139">
            <v>0.25</v>
          </cell>
          <cell r="AH139">
            <v>0.25</v>
          </cell>
          <cell r="AI139">
            <v>0.25</v>
          </cell>
          <cell r="AJ139">
            <v>0.25</v>
          </cell>
          <cell r="AK139">
            <v>0.25</v>
          </cell>
          <cell r="AL139">
            <v>0.25</v>
          </cell>
          <cell r="AM139">
            <v>0.25</v>
          </cell>
          <cell r="AN139">
            <v>0.25</v>
          </cell>
          <cell r="AO139">
            <v>0.25</v>
          </cell>
          <cell r="AP139">
            <v>0.25</v>
          </cell>
          <cell r="AQ139">
            <v>0.25</v>
          </cell>
          <cell r="AR139">
            <v>0.25</v>
          </cell>
          <cell r="AS139">
            <v>0.25</v>
          </cell>
          <cell r="AT139">
            <v>-0.04</v>
          </cell>
          <cell r="AU139">
            <v>0.92</v>
          </cell>
          <cell r="AV139">
            <v>20</v>
          </cell>
          <cell r="AY139" t="str">
            <v/>
          </cell>
          <cell r="AZ139">
            <v>0.25</v>
          </cell>
          <cell r="BA139">
            <v>0.25</v>
          </cell>
          <cell r="BF139" t="str">
            <v>CLICK RAPID con carpenteria 01/02/2021</v>
          </cell>
        </row>
        <row r="140">
          <cell r="A140" t="str">
            <v>AM SERRAMENTI</v>
          </cell>
          <cell r="D140" t="str">
            <v>VIA ARTURO MAESTRI, 2</v>
          </cell>
          <cell r="E140">
            <v>25011</v>
          </cell>
          <cell r="F140" t="str">
            <v>PONTE SAN MARCO</v>
          </cell>
          <cell r="G140" t="str">
            <v>BS</v>
          </cell>
          <cell r="H140" t="str">
            <v>ITALIA</v>
          </cell>
          <cell r="M140" t="str">
            <v>UFFICIO ACQUISTI</v>
          </cell>
          <cell r="N140" t="str">
            <v>030 9969600</v>
          </cell>
          <cell r="O140" t="str">
            <v>Angelo Acerbis 335 7106173</v>
          </cell>
          <cell r="P140" t="str">
            <v>info@amserramenti.it</v>
          </cell>
          <cell r="R140" t="str">
            <v>BONIFICO BANCARIO, ALLA DATA DELLA NOSTRA CONFERMA D'ORDINE</v>
          </cell>
          <cell r="X140">
            <v>0.25</v>
          </cell>
          <cell r="Y140">
            <v>-0.04</v>
          </cell>
          <cell r="AB140">
            <v>0.25</v>
          </cell>
          <cell r="AC140">
            <v>0.25</v>
          </cell>
          <cell r="AD140">
            <v>0.25</v>
          </cell>
          <cell r="AE140">
            <v>0.25</v>
          </cell>
          <cell r="AF140">
            <v>0.25</v>
          </cell>
          <cell r="AG140">
            <v>0.25</v>
          </cell>
          <cell r="AH140">
            <v>0.25</v>
          </cell>
          <cell r="AI140">
            <v>0.25</v>
          </cell>
          <cell r="AJ140">
            <v>0.25</v>
          </cell>
          <cell r="AK140">
            <v>0.25</v>
          </cell>
          <cell r="AL140">
            <v>0.25</v>
          </cell>
          <cell r="AM140">
            <v>0.25</v>
          </cell>
          <cell r="AN140">
            <v>0.25</v>
          </cell>
          <cell r="AO140">
            <v>0.25</v>
          </cell>
          <cell r="AP140">
            <v>0.25</v>
          </cell>
          <cell r="AQ140">
            <v>0.25</v>
          </cell>
          <cell r="AR140">
            <v>0.25</v>
          </cell>
          <cell r="AS140">
            <v>0.25</v>
          </cell>
          <cell r="AT140">
            <v>-0.04</v>
          </cell>
          <cell r="AU140">
            <v>0.92</v>
          </cell>
          <cell r="AV140">
            <v>20</v>
          </cell>
          <cell r="AZ140">
            <v>0.25</v>
          </cell>
          <cell r="BA140">
            <v>0.25</v>
          </cell>
        </row>
        <row r="141">
          <cell r="A141" t="str">
            <v>AM SERRAMENTI SRL</v>
          </cell>
          <cell r="D141" t="str">
            <v>VIA G.BOGGIANO, 2/b</v>
          </cell>
          <cell r="E141" t="str">
            <v>70132</v>
          </cell>
          <cell r="F141" t="str">
            <v>BARI</v>
          </cell>
          <cell r="G141" t="str">
            <v>BA</v>
          </cell>
          <cell r="H141" t="str">
            <v>ITALIA</v>
          </cell>
          <cell r="J141" t="str">
            <v>08449330722</v>
          </cell>
          <cell r="K141" t="str">
            <v>KRRH6B9</v>
          </cell>
          <cell r="M141" t="str">
            <v>UFFICIO ACQUISTI</v>
          </cell>
          <cell r="N141" t="str">
            <v>080 4723328</v>
          </cell>
          <cell r="O141" t="str">
            <v>338 3559153 NICOLA</v>
          </cell>
          <cell r="P141" t="str">
            <v>amorusoserramenti@libero.it</v>
          </cell>
          <cell r="R141" t="str">
            <v>BONIFICO BANCARIO, ALLA DATA DELLA NOSTRA CONFERMA D'ORDINE</v>
          </cell>
          <cell r="X141">
            <v>0.2</v>
          </cell>
          <cell r="Y141">
            <v>-0.04</v>
          </cell>
          <cell r="AB141">
            <v>0.2</v>
          </cell>
          <cell r="AC141">
            <v>0.2</v>
          </cell>
          <cell r="AD141">
            <v>0.2</v>
          </cell>
          <cell r="AE141">
            <v>0.2</v>
          </cell>
          <cell r="AF141">
            <v>0.2</v>
          </cell>
          <cell r="AG141">
            <v>0.2</v>
          </cell>
          <cell r="AH141">
            <v>0.2</v>
          </cell>
          <cell r="AI141">
            <v>0.2</v>
          </cell>
          <cell r="AJ141">
            <v>0.2</v>
          </cell>
          <cell r="AK141">
            <v>0.2</v>
          </cell>
          <cell r="AL141">
            <v>0.2</v>
          </cell>
          <cell r="AM141">
            <v>0.2</v>
          </cell>
          <cell r="AN141">
            <v>0.2</v>
          </cell>
          <cell r="AO141">
            <v>0.2</v>
          </cell>
          <cell r="AP141">
            <v>0.2</v>
          </cell>
          <cell r="AQ141">
            <v>0.2</v>
          </cell>
          <cell r="AR141">
            <v>0.2</v>
          </cell>
          <cell r="AS141">
            <v>0.2</v>
          </cell>
          <cell r="AT141">
            <v>-0.04</v>
          </cell>
          <cell r="AU141">
            <v>0.92</v>
          </cell>
          <cell r="AV141">
            <v>20</v>
          </cell>
          <cell r="AZ141">
            <v>0.2</v>
          </cell>
          <cell r="BA141">
            <v>0.2</v>
          </cell>
        </row>
        <row r="142">
          <cell r="A142" t="str">
            <v>AMA SERRAMENTI</v>
          </cell>
          <cell r="B142" t="str">
            <v>PARLA CON IL SOCIO    SHOW R.: VIA ROMA, 36 - ISEO (BS)</v>
          </cell>
          <cell r="D142" t="str">
            <v>VIA REPUBBLICA, 197</v>
          </cell>
          <cell r="E142" t="str">
            <v>25068</v>
          </cell>
          <cell r="F142" t="str">
            <v>SAREZZO</v>
          </cell>
          <cell r="G142" t="str">
            <v>BS</v>
          </cell>
          <cell r="H142" t="str">
            <v>ITALIA</v>
          </cell>
          <cell r="M142" t="str">
            <v>UFFICIO ACQUISTI</v>
          </cell>
          <cell r="N142" t="str">
            <v>030 8901939</v>
          </cell>
          <cell r="P142" t="str">
            <v>info@amappalti.it</v>
          </cell>
          <cell r="R142" t="str">
            <v>BONIFICO BANCARIO, ALLA DATA DELLA NOSTRA CONFERMA D'ORDINE</v>
          </cell>
          <cell r="X142">
            <v>0.2</v>
          </cell>
          <cell r="Y142">
            <v>-0.04</v>
          </cell>
          <cell r="AB142">
            <v>0.2</v>
          </cell>
          <cell r="AC142">
            <v>0.2</v>
          </cell>
          <cell r="AD142">
            <v>0.2</v>
          </cell>
          <cell r="AE142">
            <v>0.2</v>
          </cell>
          <cell r="AF142">
            <v>0.2</v>
          </cell>
          <cell r="AG142">
            <v>0.2</v>
          </cell>
          <cell r="AH142">
            <v>0.2</v>
          </cell>
          <cell r="AI142">
            <v>0.2</v>
          </cell>
          <cell r="AJ142">
            <v>0.2</v>
          </cell>
          <cell r="AK142">
            <v>0.2</v>
          </cell>
          <cell r="AL142">
            <v>0.2</v>
          </cell>
          <cell r="AM142">
            <v>0.2</v>
          </cell>
          <cell r="AN142">
            <v>0.2</v>
          </cell>
          <cell r="AO142">
            <v>0.2</v>
          </cell>
          <cell r="AP142">
            <v>0.2</v>
          </cell>
          <cell r="AQ142">
            <v>0.2</v>
          </cell>
          <cell r="AR142">
            <v>0.2</v>
          </cell>
          <cell r="AS142">
            <v>0.2</v>
          </cell>
          <cell r="AT142">
            <v>-0.04</v>
          </cell>
          <cell r="AU142">
            <v>0.92</v>
          </cell>
          <cell r="AV142">
            <v>20</v>
          </cell>
          <cell r="AZ142">
            <v>0.2</v>
          </cell>
          <cell r="BA142">
            <v>0.2</v>
          </cell>
        </row>
        <row r="143">
          <cell r="A143" t="str">
            <v>AMADORI COSTRUZIONI SRL</v>
          </cell>
          <cell r="B143" t="str">
            <v>02/12 ORGANIZZATA VISITA CON MARCO</v>
          </cell>
          <cell r="D143" t="str">
            <v xml:space="preserve">VIA BERNINI, 1 </v>
          </cell>
          <cell r="E143" t="str">
            <v>61022</v>
          </cell>
          <cell r="F143" t="str">
            <v>VALLEFOGLIA</v>
          </cell>
          <cell r="G143" t="str">
            <v>PU</v>
          </cell>
          <cell r="H143" t="str">
            <v>ITALIA</v>
          </cell>
          <cell r="J143" t="str">
            <v>04526570417</v>
          </cell>
          <cell r="M143" t="str">
            <v>UFFICIO ACQUISTI</v>
          </cell>
          <cell r="N143" t="str">
            <v>0721 490382</v>
          </cell>
          <cell r="O143" t="str">
            <v xml:space="preserve">335 8048050 SIG. AMADORI </v>
          </cell>
          <cell r="P143" t="str">
            <v>ac.amadoricostruzioni@gmail.com</v>
          </cell>
          <cell r="R143" t="str">
            <v>BONIFICO BANCARIO, ALLA DATA DELLA NOSTRA CONFERMA D'ORDINE</v>
          </cell>
          <cell r="X143">
            <v>0.25</v>
          </cell>
          <cell r="Y143">
            <v>-0.04</v>
          </cell>
          <cell r="AB143">
            <v>0.25</v>
          </cell>
          <cell r="AC143">
            <v>0.25</v>
          </cell>
          <cell r="AD143">
            <v>0.25</v>
          </cell>
          <cell r="AE143">
            <v>0.25</v>
          </cell>
          <cell r="AF143">
            <v>0.25</v>
          </cell>
          <cell r="AG143">
            <v>0.25</v>
          </cell>
          <cell r="AH143">
            <v>0.25</v>
          </cell>
          <cell r="AI143">
            <v>0.25</v>
          </cell>
          <cell r="AJ143">
            <v>0.25</v>
          </cell>
          <cell r="AK143">
            <v>0.25</v>
          </cell>
          <cell r="AL143">
            <v>0.25</v>
          </cell>
          <cell r="AM143">
            <v>0.25</v>
          </cell>
          <cell r="AN143">
            <v>0.25</v>
          </cell>
          <cell r="AO143">
            <v>0.25</v>
          </cell>
          <cell r="AP143">
            <v>0.25</v>
          </cell>
          <cell r="AQ143">
            <v>0.25</v>
          </cell>
          <cell r="AR143">
            <v>0.25</v>
          </cell>
          <cell r="AS143">
            <v>0.25</v>
          </cell>
          <cell r="AT143">
            <v>-0.04</v>
          </cell>
          <cell r="AU143">
            <v>0.87</v>
          </cell>
          <cell r="AV143">
            <v>20</v>
          </cell>
          <cell r="AZ143">
            <v>0.25</v>
          </cell>
          <cell r="BA143">
            <v>0.25</v>
          </cell>
        </row>
        <row r="144">
          <cell r="A144" t="str">
            <v>AMATO INFISSI SRL</v>
          </cell>
          <cell r="D144" t="str">
            <v>VIA LUCIO STRABONE, 49</v>
          </cell>
          <cell r="E144">
            <v>72100</v>
          </cell>
          <cell r="F144" t="str">
            <v>BRINDISI</v>
          </cell>
          <cell r="G144" t="str">
            <v>BR</v>
          </cell>
          <cell r="H144" t="str">
            <v>ITALIA</v>
          </cell>
          <cell r="M144" t="str">
            <v>UFFICIO ACQUISTI</v>
          </cell>
          <cell r="N144" t="str">
            <v>0831 597923</v>
          </cell>
          <cell r="O144" t="str">
            <v>347 5156402</v>
          </cell>
          <cell r="P144" t="str">
            <v>amatoinfissi@gmail.com</v>
          </cell>
          <cell r="R144" t="str">
            <v>BONIFICO BANCARIO, ALLA DATA DELLA NOSTRA CONFERMA D'ORDINE</v>
          </cell>
          <cell r="X144">
            <v>0.25</v>
          </cell>
          <cell r="Y144">
            <v>-0.04</v>
          </cell>
          <cell r="AB144">
            <v>0.25</v>
          </cell>
          <cell r="AC144">
            <v>0.25</v>
          </cell>
          <cell r="AD144">
            <v>0.25</v>
          </cell>
          <cell r="AE144">
            <v>0.25</v>
          </cell>
          <cell r="AF144">
            <v>0.25</v>
          </cell>
          <cell r="AG144">
            <v>0.25</v>
          </cell>
          <cell r="AH144">
            <v>0.25</v>
          </cell>
          <cell r="AI144">
            <v>0.25</v>
          </cell>
          <cell r="AJ144">
            <v>0.25</v>
          </cell>
          <cell r="AK144">
            <v>0.25</v>
          </cell>
          <cell r="AL144">
            <v>0.25</v>
          </cell>
          <cell r="AM144">
            <v>0.25</v>
          </cell>
          <cell r="AN144">
            <v>0.25</v>
          </cell>
          <cell r="AO144">
            <v>0.25</v>
          </cell>
          <cell r="AP144">
            <v>0.25</v>
          </cell>
          <cell r="AQ144">
            <v>0.25</v>
          </cell>
          <cell r="AR144">
            <v>0.25</v>
          </cell>
          <cell r="AS144">
            <v>0.25</v>
          </cell>
          <cell r="AT144">
            <v>-0.04</v>
          </cell>
          <cell r="AU144">
            <v>0.92</v>
          </cell>
          <cell r="AV144">
            <v>20</v>
          </cell>
          <cell r="AZ144">
            <v>0.25</v>
          </cell>
          <cell r="BA144">
            <v>0.25</v>
          </cell>
        </row>
        <row r="145">
          <cell r="A145" t="str">
            <v xml:space="preserve">AMBIENTI E SERRAMENTI </v>
          </cell>
          <cell r="D145" t="str">
            <v>VIA VALDINIEVOLE 113</v>
          </cell>
          <cell r="E145" t="str">
            <v>00141</v>
          </cell>
          <cell r="F145" t="str">
            <v>ROMA</v>
          </cell>
          <cell r="G145" t="str">
            <v>RM</v>
          </cell>
          <cell r="H145" t="str">
            <v>ITALIA</v>
          </cell>
          <cell r="M145" t="str">
            <v>UFFICIO ACQUISTI</v>
          </cell>
          <cell r="N145" t="str">
            <v>06 87188033</v>
          </cell>
          <cell r="O145" t="str">
            <v>338 1047142</v>
          </cell>
          <cell r="P145" t="str">
            <v>info@ambientieserramenti.com</v>
          </cell>
          <cell r="R145" t="str">
            <v>BONIFICO BANCARIO, ALLA DATA DELLA NOSTRA CONFERMA D'ORDINE</v>
          </cell>
          <cell r="X145">
            <v>0.25</v>
          </cell>
          <cell r="Y145">
            <v>-0.04</v>
          </cell>
          <cell r="AB145">
            <v>0.25</v>
          </cell>
          <cell r="AC145">
            <v>0.25</v>
          </cell>
          <cell r="AD145">
            <v>0.25</v>
          </cell>
          <cell r="AE145">
            <v>0.25</v>
          </cell>
          <cell r="AF145">
            <v>0.25</v>
          </cell>
          <cell r="AG145">
            <v>0.25</v>
          </cell>
          <cell r="AH145">
            <v>0.25</v>
          </cell>
          <cell r="AI145">
            <v>0.25</v>
          </cell>
          <cell r="AJ145">
            <v>0.25</v>
          </cell>
          <cell r="AK145">
            <v>0.25</v>
          </cell>
          <cell r="AL145">
            <v>0.25</v>
          </cell>
          <cell r="AM145">
            <v>0.25</v>
          </cell>
          <cell r="AN145">
            <v>0.25</v>
          </cell>
          <cell r="AO145">
            <v>0.25</v>
          </cell>
          <cell r="AP145">
            <v>0.25</v>
          </cell>
          <cell r="AQ145">
            <v>0.25</v>
          </cell>
          <cell r="AR145">
            <v>0.25</v>
          </cell>
          <cell r="AS145">
            <v>0.25</v>
          </cell>
          <cell r="AT145">
            <v>-0.04</v>
          </cell>
          <cell r="AU145">
            <v>0.92</v>
          </cell>
          <cell r="AV145">
            <v>20</v>
          </cell>
          <cell r="AY145" t="str">
            <v/>
          </cell>
          <cell r="AZ145">
            <v>0.25</v>
          </cell>
          <cell r="BA145">
            <v>0.25</v>
          </cell>
        </row>
        <row r="146">
          <cell r="A146" t="str">
            <v>AMBROSOLI MANUEL</v>
          </cell>
          <cell r="D146" t="str">
            <v>VIA UMBERTO I°, 61</v>
          </cell>
          <cell r="E146" t="str">
            <v>24054</v>
          </cell>
          <cell r="F146" t="str">
            <v>CALCIO</v>
          </cell>
          <cell r="G146" t="str">
            <v>BG</v>
          </cell>
          <cell r="H146" t="str">
            <v>ITALIA</v>
          </cell>
          <cell r="I146" t="str">
            <v>MBRMNL74P14G149F</v>
          </cell>
          <cell r="J146" t="str">
            <v>03266230162</v>
          </cell>
          <cell r="M146" t="str">
            <v>UFFICIO ACQUISTI</v>
          </cell>
          <cell r="N146" t="str">
            <v>0363 969368</v>
          </cell>
          <cell r="R146" t="str">
            <v>BONIFICO BANCARIO, ALLA DATA DELLA NOSTRA CONFERMA D'ORDINE</v>
          </cell>
          <cell r="X146">
            <v>0.2</v>
          </cell>
          <cell r="Y146">
            <v>-0.04</v>
          </cell>
          <cell r="AB146">
            <v>0.2</v>
          </cell>
          <cell r="AC146">
            <v>0.2</v>
          </cell>
          <cell r="AD146">
            <v>0.2</v>
          </cell>
          <cell r="AE146">
            <v>0.2</v>
          </cell>
          <cell r="AF146">
            <v>0.2</v>
          </cell>
          <cell r="AG146">
            <v>0.2</v>
          </cell>
          <cell r="AH146">
            <v>0.2</v>
          </cell>
          <cell r="AI146">
            <v>0.2</v>
          </cell>
          <cell r="AJ146">
            <v>0.2</v>
          </cell>
          <cell r="AK146">
            <v>0.2</v>
          </cell>
          <cell r="AL146">
            <v>0.2</v>
          </cell>
          <cell r="AM146">
            <v>0.2</v>
          </cell>
          <cell r="AN146">
            <v>0.2</v>
          </cell>
          <cell r="AO146">
            <v>0.2</v>
          </cell>
          <cell r="AP146">
            <v>0.2</v>
          </cell>
          <cell r="AQ146">
            <v>0.2</v>
          </cell>
          <cell r="AR146">
            <v>0.2</v>
          </cell>
          <cell r="AS146">
            <v>0.2</v>
          </cell>
          <cell r="AT146">
            <v>-0.04</v>
          </cell>
          <cell r="AU146">
            <v>0.92</v>
          </cell>
          <cell r="AV146">
            <v>20</v>
          </cell>
          <cell r="AZ146">
            <v>0.2</v>
          </cell>
          <cell r="BA146">
            <v>0.2</v>
          </cell>
        </row>
        <row r="147">
          <cell r="A147" t="str">
            <v>AMF  Arc. Andrea Maria Ferraro</v>
          </cell>
          <cell r="D147" t="str">
            <v>VIA UGO FOSCOLO,  25</v>
          </cell>
          <cell r="E147">
            <v>21016</v>
          </cell>
          <cell r="F147" t="str">
            <v>LUINO</v>
          </cell>
          <cell r="G147" t="str">
            <v>VA</v>
          </cell>
          <cell r="H147" t="str">
            <v>ITALIA</v>
          </cell>
          <cell r="I147" t="str">
            <v>FRRNRM53TI6I625Z</v>
          </cell>
          <cell r="J147" t="str">
            <v>03366040123</v>
          </cell>
          <cell r="M147" t="str">
            <v>UFFICIO ACQUISTI</v>
          </cell>
          <cell r="O147" t="str">
            <v>345 8109948</v>
          </cell>
          <cell r="P147" t="str">
            <v>amf.ferraro@gmail.com</v>
          </cell>
          <cell r="R147" t="str">
            <v>BONIFICO BANCARIO, ALLA DATA DELLA NOSTRA CONFERMA D'ORDINE</v>
          </cell>
          <cell r="X147">
            <v>0.25</v>
          </cell>
          <cell r="Y147">
            <v>-0.04</v>
          </cell>
          <cell r="AB147">
            <v>0.25</v>
          </cell>
          <cell r="AC147">
            <v>0.25</v>
          </cell>
          <cell r="AD147">
            <v>0.25</v>
          </cell>
          <cell r="AE147">
            <v>0.25</v>
          </cell>
          <cell r="AF147">
            <v>0.25</v>
          </cell>
          <cell r="AG147">
            <v>0.25</v>
          </cell>
          <cell r="AH147">
            <v>0.25</v>
          </cell>
          <cell r="AI147">
            <v>0.25</v>
          </cell>
          <cell r="AJ147">
            <v>0.25</v>
          </cell>
          <cell r="AK147">
            <v>0.25</v>
          </cell>
          <cell r="AL147">
            <v>0.25</v>
          </cell>
          <cell r="AM147">
            <v>0.25</v>
          </cell>
          <cell r="AN147">
            <v>0.25</v>
          </cell>
          <cell r="AO147">
            <v>0.25</v>
          </cell>
          <cell r="AP147">
            <v>0.25</v>
          </cell>
          <cell r="AQ147">
            <v>0.25</v>
          </cell>
          <cell r="AR147">
            <v>0.25</v>
          </cell>
          <cell r="AS147">
            <v>0.25</v>
          </cell>
          <cell r="AT147">
            <v>-0.04</v>
          </cell>
          <cell r="AU147">
            <v>0.92</v>
          </cell>
          <cell r="AV147">
            <v>20</v>
          </cell>
          <cell r="AZ147">
            <v>0.25</v>
          </cell>
          <cell r="BA147">
            <v>0.25</v>
          </cell>
        </row>
        <row r="148">
          <cell r="A148" t="str">
            <v>AMK S.N.C.</v>
          </cell>
          <cell r="B148" t="str">
            <v>INTERESSATO</v>
          </cell>
          <cell r="D148" t="str">
            <v>VIA CA' NOVA ZAMPIERI, 3</v>
          </cell>
          <cell r="E148">
            <v>37057</v>
          </cell>
          <cell r="F148" t="str">
            <v>S.GIOVANNI LUPATOTO</v>
          </cell>
          <cell r="G148" t="str">
            <v>VR</v>
          </cell>
          <cell r="H148" t="str">
            <v>ITALIA</v>
          </cell>
          <cell r="M148" t="str">
            <v>UFFICIO ACQUISTI</v>
          </cell>
          <cell r="N148" t="str">
            <v>045 9251935</v>
          </cell>
          <cell r="O148" t="str">
            <v>Claudio 347 2955705</v>
          </cell>
          <cell r="P148" t="str">
            <v>info@amkblindati.com</v>
          </cell>
          <cell r="R148" t="str">
            <v>BONIFICO BANCARIO, ALLA DATA DELLA NOSTRA CONFERMA D'ORDINE</v>
          </cell>
          <cell r="X148">
            <v>0.25</v>
          </cell>
          <cell r="Y148">
            <v>-0.04</v>
          </cell>
          <cell r="AB148">
            <v>0.25</v>
          </cell>
          <cell r="AC148">
            <v>0.25</v>
          </cell>
          <cell r="AD148">
            <v>0.25</v>
          </cell>
          <cell r="AE148">
            <v>0.25</v>
          </cell>
          <cell r="AF148">
            <v>0.25</v>
          </cell>
          <cell r="AG148">
            <v>0.25</v>
          </cell>
          <cell r="AH148">
            <v>0.25</v>
          </cell>
          <cell r="AI148">
            <v>0.25</v>
          </cell>
          <cell r="AJ148">
            <v>0.25</v>
          </cell>
          <cell r="AK148">
            <v>0.25</v>
          </cell>
          <cell r="AL148">
            <v>0.25</v>
          </cell>
          <cell r="AM148">
            <v>0.25</v>
          </cell>
          <cell r="AN148">
            <v>0.25</v>
          </cell>
          <cell r="AO148">
            <v>0.25</v>
          </cell>
          <cell r="AP148">
            <v>0.25</v>
          </cell>
          <cell r="AQ148">
            <v>0.25</v>
          </cell>
          <cell r="AR148">
            <v>0.25</v>
          </cell>
          <cell r="AS148">
            <v>0.25</v>
          </cell>
          <cell r="AT148">
            <v>-0.04</v>
          </cell>
          <cell r="AU148">
            <v>0.92</v>
          </cell>
          <cell r="AV148">
            <v>20</v>
          </cell>
          <cell r="AY148" t="str">
            <v/>
          </cell>
          <cell r="AZ148">
            <v>0.25</v>
          </cell>
          <cell r="BA148">
            <v>0.25</v>
          </cell>
        </row>
        <row r="149">
          <cell r="A149" t="str">
            <v>AMORE S.R.L.S.</v>
          </cell>
          <cell r="B149" t="str">
            <v>OK CAMPIONE</v>
          </cell>
          <cell r="D149" t="str">
            <v>VIA S. ALESSANDRA C.DA PIANAZZO  SNC s.Alessandra C.da Pianazzo snc</v>
          </cell>
          <cell r="E149">
            <v>96019</v>
          </cell>
          <cell r="F149" t="str">
            <v>ROSOLINI</v>
          </cell>
          <cell r="G149" t="str">
            <v>SR</v>
          </cell>
          <cell r="H149" t="str">
            <v>ITALIA</v>
          </cell>
          <cell r="I149" t="str">
            <v>01855990899</v>
          </cell>
          <cell r="J149" t="str">
            <v>01855990899</v>
          </cell>
          <cell r="K149" t="str">
            <v>W7YVJK9</v>
          </cell>
          <cell r="M149" t="str">
            <v>UFFICIO ACQUISTI</v>
          </cell>
          <cell r="N149" t="str">
            <v>0931 1933895</v>
          </cell>
          <cell r="O149" t="str">
            <v>335 1619736</v>
          </cell>
          <cell r="P149" t="str">
            <v>amore.infissi@gmail.com</v>
          </cell>
          <cell r="R149" t="str">
            <v>BONIFICO BANCARIO, ALLA DATA DELLA NOSTRA CONFERMA D'ORDINE</v>
          </cell>
          <cell r="X149">
            <v>0.25</v>
          </cell>
          <cell r="Y149">
            <v>-0.04</v>
          </cell>
          <cell r="AB149">
            <v>0.25</v>
          </cell>
          <cell r="AC149">
            <v>0.25</v>
          </cell>
          <cell r="AD149">
            <v>0.25</v>
          </cell>
          <cell r="AE149">
            <v>0.25</v>
          </cell>
          <cell r="AF149">
            <v>0.25</v>
          </cell>
          <cell r="AG149">
            <v>0.25</v>
          </cell>
          <cell r="AH149">
            <v>0.25</v>
          </cell>
          <cell r="AI149">
            <v>0.25</v>
          </cell>
          <cell r="AJ149">
            <v>0.25</v>
          </cell>
          <cell r="AK149">
            <v>0.25</v>
          </cell>
          <cell r="AL149">
            <v>0.25</v>
          </cell>
          <cell r="AM149">
            <v>0.25</v>
          </cell>
          <cell r="AN149">
            <v>0.25</v>
          </cell>
          <cell r="AO149">
            <v>0.25</v>
          </cell>
          <cell r="AP149">
            <v>0.25</v>
          </cell>
          <cell r="AQ149">
            <v>0.25</v>
          </cell>
          <cell r="AR149">
            <v>0.25</v>
          </cell>
          <cell r="AS149">
            <v>0.25</v>
          </cell>
          <cell r="AT149">
            <v>-0.04</v>
          </cell>
          <cell r="AU149">
            <v>0.92</v>
          </cell>
          <cell r="AV149">
            <v>20</v>
          </cell>
          <cell r="AY149" t="str">
            <v/>
          </cell>
          <cell r="AZ149">
            <v>0.25</v>
          </cell>
          <cell r="BA149">
            <v>0.25</v>
          </cell>
          <cell r="BF149" t="str">
            <v>CLICK RAPID con carpenteria 02/03/2020</v>
          </cell>
        </row>
        <row r="150">
          <cell r="A150" t="str">
            <v>ANDOOR INFISSI ANDORA</v>
          </cell>
          <cell r="D150" t="str">
            <v>VIA CAVOUR, 9</v>
          </cell>
          <cell r="E150">
            <v>17051</v>
          </cell>
          <cell r="F150" t="str">
            <v>ANDORA</v>
          </cell>
          <cell r="G150" t="str">
            <v>SV</v>
          </cell>
          <cell r="H150" t="str">
            <v>ITALIA</v>
          </cell>
          <cell r="I150" t="str">
            <v>BNDPRB65M18A278D</v>
          </cell>
          <cell r="J150" t="str">
            <v>01621390093</v>
          </cell>
          <cell r="M150" t="str">
            <v>UFFICIO ACQUISTI</v>
          </cell>
          <cell r="O150" t="str">
            <v>338 8945513</v>
          </cell>
          <cell r="P150" t="str">
            <v>parobo@libero.it</v>
          </cell>
          <cell r="R150" t="str">
            <v>BONIFICO BANCARIO, ALLA DATA DELLA NOSTRA CONFERMA D'ORDINE</v>
          </cell>
          <cell r="X150">
            <v>0.25</v>
          </cell>
          <cell r="Y150">
            <v>-0.04</v>
          </cell>
          <cell r="AB150">
            <v>0.25</v>
          </cell>
          <cell r="AC150">
            <v>0.25</v>
          </cell>
          <cell r="AD150">
            <v>0.25</v>
          </cell>
          <cell r="AE150">
            <v>0.25</v>
          </cell>
          <cell r="AF150">
            <v>0.25</v>
          </cell>
          <cell r="AG150">
            <v>0.25</v>
          </cell>
          <cell r="AH150">
            <v>0.25</v>
          </cell>
          <cell r="AI150">
            <v>0.25</v>
          </cell>
          <cell r="AJ150">
            <v>0.25</v>
          </cell>
          <cell r="AK150">
            <v>0.25</v>
          </cell>
          <cell r="AL150">
            <v>0.25</v>
          </cell>
          <cell r="AM150">
            <v>0.25</v>
          </cell>
          <cell r="AN150">
            <v>0.25</v>
          </cell>
          <cell r="AO150">
            <v>0.25</v>
          </cell>
          <cell r="AP150">
            <v>0.25</v>
          </cell>
          <cell r="AQ150">
            <v>0.25</v>
          </cell>
          <cell r="AR150">
            <v>0.25</v>
          </cell>
          <cell r="AS150">
            <v>0.25</v>
          </cell>
          <cell r="AT150">
            <v>-0.04</v>
          </cell>
          <cell r="AU150">
            <v>0.92</v>
          </cell>
          <cell r="AV150">
            <v>20</v>
          </cell>
          <cell r="AY150" t="str">
            <v/>
          </cell>
          <cell r="AZ150">
            <v>0.25</v>
          </cell>
          <cell r="BA150">
            <v>0.25</v>
          </cell>
        </row>
        <row r="151">
          <cell r="A151" t="str">
            <v>ANDREA FURINI officin carpenteria meccanica</v>
          </cell>
          <cell r="B151" t="str">
            <v xml:space="preserve"> 0376 1888206</v>
          </cell>
          <cell r="D151" t="str">
            <v>VIA G.MAZZINI, 4</v>
          </cell>
          <cell r="E151">
            <v>46026</v>
          </cell>
          <cell r="F151" t="str">
            <v>QUISTELLO</v>
          </cell>
          <cell r="G151" t="str">
            <v>MN</v>
          </cell>
          <cell r="H151" t="str">
            <v>ITALIA</v>
          </cell>
          <cell r="M151" t="str">
            <v>UFFICIO ACQUISTI</v>
          </cell>
          <cell r="N151" t="str">
            <v>0376 625281</v>
          </cell>
          <cell r="P151" t="str">
            <v>carpenteria.furini@gmail.com</v>
          </cell>
          <cell r="R151" t="str">
            <v>BONIFICO BANCARIO, ALLA DATA DELLA NOSTRA CONFERMA D'ORDINE</v>
          </cell>
          <cell r="X151">
            <v>0.25</v>
          </cell>
          <cell r="Y151">
            <v>-0.04</v>
          </cell>
          <cell r="AB151">
            <v>0.25</v>
          </cell>
          <cell r="AC151">
            <v>0.25</v>
          </cell>
          <cell r="AD151">
            <v>0.25</v>
          </cell>
          <cell r="AE151">
            <v>0.25</v>
          </cell>
          <cell r="AF151">
            <v>0.25</v>
          </cell>
          <cell r="AG151">
            <v>0.25</v>
          </cell>
          <cell r="AH151">
            <v>0.25</v>
          </cell>
          <cell r="AI151">
            <v>0.25</v>
          </cell>
          <cell r="AJ151">
            <v>0.25</v>
          </cell>
          <cell r="AK151">
            <v>0.25</v>
          </cell>
          <cell r="AL151">
            <v>0.25</v>
          </cell>
          <cell r="AM151">
            <v>0.25</v>
          </cell>
          <cell r="AN151">
            <v>0.25</v>
          </cell>
          <cell r="AO151">
            <v>0.25</v>
          </cell>
          <cell r="AP151">
            <v>0.25</v>
          </cell>
          <cell r="AQ151">
            <v>0.25</v>
          </cell>
          <cell r="AR151">
            <v>0.25</v>
          </cell>
          <cell r="AS151">
            <v>0.25</v>
          </cell>
          <cell r="AT151">
            <v>-0.04</v>
          </cell>
          <cell r="AU151">
            <v>0.92</v>
          </cell>
          <cell r="AV151">
            <v>20</v>
          </cell>
          <cell r="AZ151">
            <v>0.25</v>
          </cell>
          <cell r="BA151">
            <v>0.25</v>
          </cell>
        </row>
        <row r="152">
          <cell r="A152" t="str">
            <v>ANDREA ZAFFARONI SRL</v>
          </cell>
          <cell r="D152" t="str">
            <v>VIA MATTEI, 50</v>
          </cell>
          <cell r="E152">
            <v>21040</v>
          </cell>
          <cell r="F152" t="str">
            <v>CISLAGO</v>
          </cell>
          <cell r="G152" t="str">
            <v>VA</v>
          </cell>
          <cell r="H152" t="str">
            <v>ITALIA</v>
          </cell>
          <cell r="I152" t="str">
            <v>02137390122</v>
          </cell>
          <cell r="J152" t="str">
            <v>02137390122</v>
          </cell>
          <cell r="M152" t="str">
            <v>UFFICIO ACQUISTI</v>
          </cell>
          <cell r="N152" t="str">
            <v>02 96400035</v>
          </cell>
          <cell r="P152" t="str">
            <v>zaffaroni.andrea@tiscalinet.it</v>
          </cell>
          <cell r="R152" t="str">
            <v>BONIFICO BANCARIO, ALLA DATA DELLA NOSTRA CONFERMA D'ORDINE</v>
          </cell>
          <cell r="X152">
            <v>0.25</v>
          </cell>
          <cell r="Y152">
            <v>-0.04</v>
          </cell>
          <cell r="AB152">
            <v>0.25</v>
          </cell>
          <cell r="AC152">
            <v>0.25</v>
          </cell>
          <cell r="AD152">
            <v>0.25</v>
          </cell>
          <cell r="AE152">
            <v>0.25</v>
          </cell>
          <cell r="AF152">
            <v>0.25</v>
          </cell>
          <cell r="AG152">
            <v>0.25</v>
          </cell>
          <cell r="AH152">
            <v>0.25</v>
          </cell>
          <cell r="AI152">
            <v>0.25</v>
          </cell>
          <cell r="AJ152">
            <v>0.25</v>
          </cell>
          <cell r="AK152">
            <v>0.25</v>
          </cell>
          <cell r="AL152">
            <v>0.25</v>
          </cell>
          <cell r="AM152">
            <v>0.25</v>
          </cell>
          <cell r="AN152">
            <v>0.25</v>
          </cell>
          <cell r="AO152">
            <v>0.25</v>
          </cell>
          <cell r="AP152">
            <v>0.25</v>
          </cell>
          <cell r="AQ152">
            <v>0.25</v>
          </cell>
          <cell r="AR152">
            <v>0.25</v>
          </cell>
          <cell r="AS152">
            <v>0.25</v>
          </cell>
          <cell r="AT152">
            <v>-0.04</v>
          </cell>
          <cell r="AU152">
            <v>0.92</v>
          </cell>
          <cell r="AV152">
            <v>20</v>
          </cell>
          <cell r="AY152" t="str">
            <v/>
          </cell>
          <cell r="AZ152">
            <v>0.25</v>
          </cell>
          <cell r="BA152">
            <v>0.25</v>
          </cell>
        </row>
        <row r="153">
          <cell r="A153" t="str">
            <v>ANGELINI ALESSANDRO</v>
          </cell>
          <cell r="D153" t="str">
            <v>VIA F.LLI SINTONI, 72</v>
          </cell>
          <cell r="E153" t="str">
            <v>47042</v>
          </cell>
          <cell r="F153" t="str">
            <v>CESENATICO</v>
          </cell>
          <cell r="G153" t="str">
            <v>FC</v>
          </cell>
          <cell r="H153" t="str">
            <v>ITALIA</v>
          </cell>
          <cell r="I153" t="str">
            <v>NGLLSN83B05C573A</v>
          </cell>
          <cell r="J153" t="str">
            <v>03480910409</v>
          </cell>
          <cell r="K153" t="str">
            <v>SUBM70N</v>
          </cell>
          <cell r="L153" t="str">
            <v>VIA DEI CIPRESSI, 2 - 47043 GATTEO (FC)</v>
          </cell>
          <cell r="M153" t="str">
            <v>UFFICIO ACQUISTI</v>
          </cell>
          <cell r="O153" t="str">
            <v>333 7813485</v>
          </cell>
          <cell r="P153" t="str">
            <v>amfarredo@gmail.com</v>
          </cell>
          <cell r="R153" t="str">
            <v>BONIFICO BANCARIO, ALLA DATA DELLA NOSTRA CONFERMA D'ORDINE</v>
          </cell>
          <cell r="X153">
            <v>0.25</v>
          </cell>
          <cell r="Y153">
            <v>-0.04</v>
          </cell>
          <cell r="AB153">
            <v>0.25</v>
          </cell>
          <cell r="AC153">
            <v>0.25</v>
          </cell>
          <cell r="AD153">
            <v>0.25</v>
          </cell>
          <cell r="AE153">
            <v>0.25</v>
          </cell>
          <cell r="AF153">
            <v>0.25</v>
          </cell>
          <cell r="AG153">
            <v>0.25</v>
          </cell>
          <cell r="AH153">
            <v>0.25</v>
          </cell>
          <cell r="AI153">
            <v>0.25</v>
          </cell>
          <cell r="AJ153">
            <v>0.25</v>
          </cell>
          <cell r="AK153">
            <v>0.25</v>
          </cell>
          <cell r="AL153">
            <v>0.25</v>
          </cell>
          <cell r="AM153">
            <v>0.25</v>
          </cell>
          <cell r="AN153">
            <v>0.25</v>
          </cell>
          <cell r="AO153">
            <v>0.25</v>
          </cell>
          <cell r="AP153">
            <v>0.25</v>
          </cell>
          <cell r="AQ153">
            <v>0.25</v>
          </cell>
          <cell r="AR153">
            <v>0.25</v>
          </cell>
          <cell r="AS153">
            <v>0.25</v>
          </cell>
          <cell r="AT153">
            <v>-0.04</v>
          </cell>
          <cell r="AU153">
            <v>0.92</v>
          </cell>
          <cell r="AV153">
            <v>20</v>
          </cell>
          <cell r="AZ153">
            <v>0.25</v>
          </cell>
          <cell r="BA153">
            <v>0.25</v>
          </cell>
          <cell r="BF153" t="str">
            <v>CLICK RAPID con carpenteria 08/06/2021</v>
          </cell>
        </row>
        <row r="154">
          <cell r="A154" t="str">
            <v>ANGER SRL</v>
          </cell>
          <cell r="D154" t="str">
            <v>VIA GAETANO RUMMO 7/9</v>
          </cell>
          <cell r="E154" t="str">
            <v>82100</v>
          </cell>
          <cell r="F154" t="str">
            <v>BENEVENTO</v>
          </cell>
          <cell r="G154" t="str">
            <v>BE</v>
          </cell>
          <cell r="H154" t="str">
            <v>ITALIA</v>
          </cell>
          <cell r="J154" t="str">
            <v>01477450629</v>
          </cell>
          <cell r="M154" t="str">
            <v>UFFICIO ACQUISTI</v>
          </cell>
          <cell r="N154" t="str">
            <v>0824 54492</v>
          </cell>
          <cell r="O154" t="str">
            <v>327 5483058</v>
          </cell>
          <cell r="P154" t="str">
            <v>info@portefinestreanger.it</v>
          </cell>
          <cell r="R154" t="str">
            <v>BONIFICO BANCARIO, ALLA DATA DELLA NOSTRA CONFERMA D'ORDINE</v>
          </cell>
          <cell r="X154">
            <v>0.25</v>
          </cell>
          <cell r="Y154">
            <v>-0.04</v>
          </cell>
          <cell r="AB154">
            <v>0.25</v>
          </cell>
          <cell r="AC154">
            <v>0.25</v>
          </cell>
          <cell r="AD154">
            <v>0.25</v>
          </cell>
          <cell r="AE154">
            <v>0.25</v>
          </cell>
          <cell r="AF154">
            <v>0.25</v>
          </cell>
          <cell r="AG154">
            <v>0.25</v>
          </cell>
          <cell r="AH154">
            <v>0.25</v>
          </cell>
          <cell r="AI154">
            <v>0.25</v>
          </cell>
          <cell r="AJ154">
            <v>0.25</v>
          </cell>
          <cell r="AK154">
            <v>0.25</v>
          </cell>
          <cell r="AL154">
            <v>0.25</v>
          </cell>
          <cell r="AM154">
            <v>0.25</v>
          </cell>
          <cell r="AN154">
            <v>0.25</v>
          </cell>
          <cell r="AO154">
            <v>0.25</v>
          </cell>
          <cell r="AP154">
            <v>0.25</v>
          </cell>
          <cell r="AQ154">
            <v>0.25</v>
          </cell>
          <cell r="AR154">
            <v>0.25</v>
          </cell>
          <cell r="AS154">
            <v>0.25</v>
          </cell>
          <cell r="AT154">
            <v>-0.04</v>
          </cell>
          <cell r="AU154">
            <v>0.92</v>
          </cell>
          <cell r="AV154">
            <v>20</v>
          </cell>
          <cell r="AZ154">
            <v>0.25</v>
          </cell>
          <cell r="BA154">
            <v>0.25</v>
          </cell>
        </row>
        <row r="155">
          <cell r="A155" t="str">
            <v>ANGOLO DELL'INFISSO</v>
          </cell>
          <cell r="D155" t="str">
            <v>VIA MANIN, 4 ANG.VIA DEL PALAZZO, 59</v>
          </cell>
          <cell r="E155">
            <v>50053</v>
          </cell>
          <cell r="F155" t="str">
            <v>SPICCHIO-VINCI</v>
          </cell>
          <cell r="G155" t="str">
            <v>FI</v>
          </cell>
          <cell r="H155" t="str">
            <v>ITALIA</v>
          </cell>
          <cell r="I155" t="str">
            <v>LRNLND79E45D403Q</v>
          </cell>
          <cell r="J155" t="str">
            <v>05671100484</v>
          </cell>
          <cell r="M155" t="str">
            <v>UFFICIO ACQUISTI</v>
          </cell>
          <cell r="N155" t="str">
            <v>0571 500397</v>
          </cell>
          <cell r="O155" t="str">
            <v>346 6954778    347 8539632</v>
          </cell>
          <cell r="P155" t="str">
            <v>linda.angolodellinfisso@gmail.com</v>
          </cell>
          <cell r="R155" t="str">
            <v>BONIFICO BANCARIO, ALLA DATA DELLA NOSTRA CONFERMA D'ORDINE</v>
          </cell>
          <cell r="X155">
            <v>0.25</v>
          </cell>
          <cell r="Y155">
            <v>-0.04</v>
          </cell>
          <cell r="AB155">
            <v>0.25</v>
          </cell>
          <cell r="AC155">
            <v>0.25</v>
          </cell>
          <cell r="AD155">
            <v>0.25</v>
          </cell>
          <cell r="AE155">
            <v>0.25</v>
          </cell>
          <cell r="AF155">
            <v>0.25</v>
          </cell>
          <cell r="AG155">
            <v>0.25</v>
          </cell>
          <cell r="AH155">
            <v>0.25</v>
          </cell>
          <cell r="AI155">
            <v>0.25</v>
          </cell>
          <cell r="AJ155">
            <v>0.25</v>
          </cell>
          <cell r="AK155">
            <v>0.25</v>
          </cell>
          <cell r="AL155">
            <v>0.25</v>
          </cell>
          <cell r="AM155">
            <v>0.25</v>
          </cell>
          <cell r="AN155">
            <v>0.25</v>
          </cell>
          <cell r="AO155">
            <v>0.25</v>
          </cell>
          <cell r="AP155">
            <v>0.25</v>
          </cell>
          <cell r="AQ155">
            <v>0.25</v>
          </cell>
          <cell r="AR155">
            <v>0.25</v>
          </cell>
          <cell r="AS155">
            <v>0.25</v>
          </cell>
          <cell r="AT155">
            <v>-0.04</v>
          </cell>
          <cell r="AU155">
            <v>0.92</v>
          </cell>
          <cell r="AV155">
            <v>20</v>
          </cell>
          <cell r="AY155" t="str">
            <v/>
          </cell>
          <cell r="AZ155">
            <v>0.25</v>
          </cell>
          <cell r="BA155">
            <v>0.25</v>
          </cell>
        </row>
        <row r="156">
          <cell r="A156" t="str">
            <v>ANTERA SOLUZIONI GLOBALI SRLS</v>
          </cell>
          <cell r="D156" t="str">
            <v>VIA ZANDONAI, 21</v>
          </cell>
          <cell r="E156" t="str">
            <v>44124</v>
          </cell>
          <cell r="F156" t="str">
            <v xml:space="preserve">FERRARA </v>
          </cell>
          <cell r="G156" t="str">
            <v>FE</v>
          </cell>
          <cell r="H156" t="str">
            <v>ITALIA</v>
          </cell>
          <cell r="J156" t="str">
            <v>01943200384</v>
          </cell>
          <cell r="K156" t="str">
            <v>J6URRTW</v>
          </cell>
          <cell r="M156" t="str">
            <v>UFFICIO ACQUISTI</v>
          </cell>
          <cell r="N156" t="str">
            <v>0532 906070</v>
          </cell>
          <cell r="O156" t="str">
            <v>348 4120620</v>
          </cell>
          <cell r="P156" t="str">
            <v>tecnico@anteraferrara.it</v>
          </cell>
          <cell r="R156" t="str">
            <v>BONIFICO BANCARIO, ALLA DATA DELLA NOSTRA CONFERMA D'ORDINE</v>
          </cell>
          <cell r="X156">
            <v>0.25</v>
          </cell>
          <cell r="Y156">
            <v>-0.04</v>
          </cell>
          <cell r="AB156">
            <v>0.25</v>
          </cell>
          <cell r="AC156">
            <v>0.25</v>
          </cell>
          <cell r="AD156">
            <v>0.25</v>
          </cell>
          <cell r="AE156">
            <v>0.25</v>
          </cell>
          <cell r="AF156">
            <v>0.25</v>
          </cell>
          <cell r="AG156">
            <v>0.25</v>
          </cell>
          <cell r="AH156">
            <v>0.25</v>
          </cell>
          <cell r="AI156">
            <v>0.25</v>
          </cell>
          <cell r="AJ156">
            <v>0.25</v>
          </cell>
          <cell r="AK156">
            <v>0.25</v>
          </cell>
          <cell r="AL156">
            <v>0.25</v>
          </cell>
          <cell r="AM156">
            <v>0.25</v>
          </cell>
          <cell r="AN156">
            <v>0.25</v>
          </cell>
          <cell r="AO156">
            <v>0.25</v>
          </cell>
          <cell r="AP156">
            <v>0.25</v>
          </cell>
          <cell r="AQ156">
            <v>0.25</v>
          </cell>
          <cell r="AR156">
            <v>0.25</v>
          </cell>
          <cell r="AS156">
            <v>0.25</v>
          </cell>
          <cell r="AT156">
            <v>-0.04</v>
          </cell>
          <cell r="AU156">
            <v>0.92</v>
          </cell>
          <cell r="AV156">
            <v>20</v>
          </cell>
          <cell r="AY156" t="str">
            <v/>
          </cell>
          <cell r="AZ156">
            <v>0.25</v>
          </cell>
          <cell r="BA156">
            <v>0.25</v>
          </cell>
        </row>
        <row r="157">
          <cell r="A157" t="str">
            <v>ANTICA FERRAMENTA BRUNELLI ANGELO &amp; GIUSEPPE INO</v>
          </cell>
          <cell r="D157" t="str">
            <v>P.ZZA VITTORIO EMANUELE II, 24</v>
          </cell>
          <cell r="E157">
            <v>25067</v>
          </cell>
          <cell r="F157" t="str">
            <v>SALO'</v>
          </cell>
          <cell r="G157" t="str">
            <v>BS</v>
          </cell>
          <cell r="H157" t="str">
            <v>ITALIA</v>
          </cell>
          <cell r="J157" t="str">
            <v>00546490988</v>
          </cell>
          <cell r="M157" t="str">
            <v>UFFICIO ACQUISTI</v>
          </cell>
          <cell r="N157" t="str">
            <v>0365 520681</v>
          </cell>
          <cell r="R157" t="str">
            <v>BONIFICO BANCARIO, ALLA DATA DELLA NOSTRA CONFERMA D'ORDINE</v>
          </cell>
          <cell r="X157">
            <v>0.25</v>
          </cell>
          <cell r="Y157">
            <v>-0.04</v>
          </cell>
          <cell r="AB157">
            <v>0.25</v>
          </cell>
          <cell r="AC157">
            <v>0.25</v>
          </cell>
          <cell r="AD157">
            <v>0.25</v>
          </cell>
          <cell r="AE157">
            <v>0.25</v>
          </cell>
          <cell r="AF157">
            <v>0.25</v>
          </cell>
          <cell r="AG157">
            <v>0.25</v>
          </cell>
          <cell r="AH157">
            <v>0.25</v>
          </cell>
          <cell r="AI157">
            <v>0.25</v>
          </cell>
          <cell r="AJ157">
            <v>0.25</v>
          </cell>
          <cell r="AK157">
            <v>0.25</v>
          </cell>
          <cell r="AL157">
            <v>0.25</v>
          </cell>
          <cell r="AM157">
            <v>0.25</v>
          </cell>
          <cell r="AN157">
            <v>0.25</v>
          </cell>
          <cell r="AO157">
            <v>0.25</v>
          </cell>
          <cell r="AP157">
            <v>0.25</v>
          </cell>
          <cell r="AQ157">
            <v>0.25</v>
          </cell>
          <cell r="AR157">
            <v>0.25</v>
          </cell>
          <cell r="AS157">
            <v>0.25</v>
          </cell>
          <cell r="AT157">
            <v>-0.04</v>
          </cell>
          <cell r="AU157">
            <v>0.92</v>
          </cell>
          <cell r="AV157">
            <v>20</v>
          </cell>
          <cell r="AY157" t="str">
            <v/>
          </cell>
          <cell r="AZ157">
            <v>0.25</v>
          </cell>
          <cell r="BA157">
            <v>0.25</v>
          </cell>
        </row>
        <row r="158">
          <cell r="A158" t="str">
            <v>ANTONELLI INFISSI SNC</v>
          </cell>
          <cell r="D158" t="str">
            <v>VIA FORNACI HOFFMAN, 10</v>
          </cell>
          <cell r="E158" t="str">
            <v>06034</v>
          </cell>
          <cell r="F158" t="str">
            <v>FOLIGNO</v>
          </cell>
          <cell r="G158" t="str">
            <v>PG</v>
          </cell>
          <cell r="H158" t="str">
            <v>ITALIA</v>
          </cell>
          <cell r="J158" t="str">
            <v>02203090549</v>
          </cell>
          <cell r="M158" t="str">
            <v>UFFICIO ACQUISTI</v>
          </cell>
          <cell r="N158" t="str">
            <v>0742 321025</v>
          </cell>
          <cell r="O158" t="str">
            <v>329 2636893 LUCIANO</v>
          </cell>
          <cell r="R158" t="str">
            <v>BONIFICO BANCARIO, ALLA DATA DELLA NOSTRA CONFERMA D'ORDINE</v>
          </cell>
          <cell r="Y158">
            <v>-0.04</v>
          </cell>
          <cell r="AT158">
            <v>-0.04</v>
          </cell>
          <cell r="AV158">
            <v>20</v>
          </cell>
          <cell r="AZ158">
            <v>0</v>
          </cell>
          <cell r="BA158">
            <v>0</v>
          </cell>
        </row>
        <row r="159">
          <cell r="A159" t="str">
            <v>ANTONIO D'AUTILIA</v>
          </cell>
          <cell r="D159" t="str">
            <v>VIA GALLIANO, 72</v>
          </cell>
          <cell r="E159" t="str">
            <v>73020</v>
          </cell>
          <cell r="F159" t="str">
            <v>GIURDIGNANO</v>
          </cell>
          <cell r="G159" t="str">
            <v>LE</v>
          </cell>
          <cell r="H159" t="str">
            <v>ITALIA</v>
          </cell>
          <cell r="J159" t="str">
            <v>03694920756</v>
          </cell>
          <cell r="M159" t="str">
            <v>UFFICIO ACQUISTI</v>
          </cell>
          <cell r="O159" t="str">
            <v>328 17026</v>
          </cell>
          <cell r="P159" t="str">
            <v>dautilia.infissi@gmail.com</v>
          </cell>
          <cell r="R159" t="str">
            <v>BONIFICO BANCARIO, ALLA DATA DELLA NOSTRA CONFERMA D'ORDINE</v>
          </cell>
          <cell r="X159">
            <v>0.25</v>
          </cell>
          <cell r="Y159">
            <v>-0.04</v>
          </cell>
          <cell r="AB159">
            <v>0.25</v>
          </cell>
          <cell r="AC159">
            <v>0.25</v>
          </cell>
          <cell r="AD159">
            <v>0.25</v>
          </cell>
          <cell r="AE159">
            <v>0.25</v>
          </cell>
          <cell r="AF159">
            <v>0.25</v>
          </cell>
          <cell r="AG159">
            <v>0.25</v>
          </cell>
          <cell r="AH159">
            <v>0.25</v>
          </cell>
          <cell r="AI159">
            <v>0.25</v>
          </cell>
          <cell r="AJ159">
            <v>0.25</v>
          </cell>
          <cell r="AK159">
            <v>0.25</v>
          </cell>
          <cell r="AL159">
            <v>0.25</v>
          </cell>
          <cell r="AM159">
            <v>0.25</v>
          </cell>
          <cell r="AN159">
            <v>0.25</v>
          </cell>
          <cell r="AO159">
            <v>0.25</v>
          </cell>
          <cell r="AP159">
            <v>0.25</v>
          </cell>
          <cell r="AQ159">
            <v>0.25</v>
          </cell>
          <cell r="AR159">
            <v>0.25</v>
          </cell>
          <cell r="AS159">
            <v>0.25</v>
          </cell>
          <cell r="AT159">
            <v>-0.04</v>
          </cell>
          <cell r="AU159">
            <v>0.92</v>
          </cell>
          <cell r="AV159">
            <v>20</v>
          </cell>
          <cell r="AZ159">
            <v>0.25</v>
          </cell>
          <cell r="BA159">
            <v>0.25</v>
          </cell>
        </row>
        <row r="160">
          <cell r="A160" t="str">
            <v>ANTONIOLI SRL</v>
          </cell>
          <cell r="D160" t="str">
            <v>VIALE EUROPA, 29</v>
          </cell>
          <cell r="E160" t="str">
            <v>37032</v>
          </cell>
          <cell r="F160" t="str">
            <v>MONTEFORTE D'ALPONE</v>
          </cell>
          <cell r="G160" t="str">
            <v>VR</v>
          </cell>
          <cell r="H160" t="str">
            <v>ITALIA</v>
          </cell>
          <cell r="J160" t="str">
            <v>03271050233</v>
          </cell>
          <cell r="M160" t="str">
            <v>UFFICIO ACQUISTI</v>
          </cell>
          <cell r="N160" t="str">
            <v>045 7611074</v>
          </cell>
          <cell r="O160" t="str">
            <v>335 6713457</v>
          </cell>
          <cell r="P160" t="str">
            <v>info@antoniolisrl.it</v>
          </cell>
          <cell r="R160" t="str">
            <v>BONIFICO BANCARIO, ALLA DATA DELLA NOSTRA CONFERMA D'ORDINE</v>
          </cell>
          <cell r="X160">
            <v>0.25</v>
          </cell>
          <cell r="Y160">
            <v>-0.04</v>
          </cell>
          <cell r="AB160">
            <v>0.25</v>
          </cell>
          <cell r="AC160">
            <v>0.25</v>
          </cell>
          <cell r="AD160">
            <v>0.25</v>
          </cell>
          <cell r="AE160">
            <v>0.25</v>
          </cell>
          <cell r="AF160">
            <v>0.25</v>
          </cell>
          <cell r="AG160">
            <v>0.25</v>
          </cell>
          <cell r="AH160">
            <v>0.25</v>
          </cell>
          <cell r="AI160">
            <v>0.25</v>
          </cell>
          <cell r="AJ160">
            <v>0.25</v>
          </cell>
          <cell r="AK160">
            <v>0.25</v>
          </cell>
          <cell r="AL160">
            <v>0.25</v>
          </cell>
          <cell r="AM160">
            <v>0.25</v>
          </cell>
          <cell r="AN160">
            <v>0.25</v>
          </cell>
          <cell r="AO160">
            <v>0.25</v>
          </cell>
          <cell r="AP160">
            <v>0.25</v>
          </cell>
          <cell r="AQ160">
            <v>0.25</v>
          </cell>
          <cell r="AR160">
            <v>0.25</v>
          </cell>
          <cell r="AS160">
            <v>0.25</v>
          </cell>
          <cell r="AT160">
            <v>-0.04</v>
          </cell>
          <cell r="AU160">
            <v>0.92</v>
          </cell>
          <cell r="AV160">
            <v>20</v>
          </cell>
          <cell r="AZ160">
            <v>0.25</v>
          </cell>
          <cell r="BA160">
            <v>0.25</v>
          </cell>
        </row>
        <row r="161">
          <cell r="A161" t="str">
            <v>ANXUR SA SERRAMENTI</v>
          </cell>
          <cell r="D161" t="str">
            <v>VIA ZORZI, 32</v>
          </cell>
          <cell r="E161">
            <v>6900</v>
          </cell>
          <cell r="F161" t="str">
            <v>PARADISO</v>
          </cell>
          <cell r="G161" t="str">
            <v>TI</v>
          </cell>
          <cell r="H161" t="str">
            <v>SVIZZERA</v>
          </cell>
          <cell r="M161" t="str">
            <v>UFFICIO ACQUISTI</v>
          </cell>
          <cell r="N161" t="str">
            <v>78 6564500</v>
          </cell>
          <cell r="P161" t="str">
            <v>cesaremensi@anxur.ch - info@anxur.ch</v>
          </cell>
          <cell r="R161" t="str">
            <v>BONIFICO BANCARIO, ALLA DATA DELLA NOSTRA CONFERMA D'ORDINE</v>
          </cell>
          <cell r="X161">
            <v>0.25</v>
          </cell>
          <cell r="Y161">
            <v>-0.04</v>
          </cell>
          <cell r="AB161">
            <v>0.25</v>
          </cell>
          <cell r="AC161">
            <v>0.25</v>
          </cell>
          <cell r="AD161">
            <v>0.25</v>
          </cell>
          <cell r="AE161">
            <v>0.25</v>
          </cell>
          <cell r="AF161">
            <v>0.25</v>
          </cell>
          <cell r="AG161">
            <v>0.25</v>
          </cell>
          <cell r="AH161">
            <v>0.25</v>
          </cell>
          <cell r="AI161">
            <v>0.25</v>
          </cell>
          <cell r="AJ161">
            <v>0.25</v>
          </cell>
          <cell r="AK161">
            <v>0.25</v>
          </cell>
          <cell r="AL161">
            <v>0.25</v>
          </cell>
          <cell r="AM161">
            <v>0.25</v>
          </cell>
          <cell r="AN161">
            <v>0.25</v>
          </cell>
          <cell r="AO161">
            <v>0.25</v>
          </cell>
          <cell r="AP161">
            <v>0.25</v>
          </cell>
          <cell r="AQ161">
            <v>0.25</v>
          </cell>
          <cell r="AR161">
            <v>0.25</v>
          </cell>
          <cell r="AS161">
            <v>0.25</v>
          </cell>
          <cell r="AT161">
            <v>-0.04</v>
          </cell>
          <cell r="AU161">
            <v>0.92</v>
          </cell>
          <cell r="AV161">
            <v>20</v>
          </cell>
          <cell r="AY161" t="str">
            <v/>
          </cell>
          <cell r="AZ161">
            <v>0.25</v>
          </cell>
          <cell r="BA161">
            <v>0.25</v>
          </cell>
        </row>
        <row r="162">
          <cell r="A162" t="str">
            <v>AP FALEGNAMERIA A.PAGANI</v>
          </cell>
          <cell r="D162" t="str">
            <v>FRAZ. DES MOULINS, 26</v>
          </cell>
          <cell r="E162" t="str">
            <v>11010</v>
          </cell>
          <cell r="F162" t="str">
            <v>AYMAVILLES</v>
          </cell>
          <cell r="G162" t="str">
            <v>AO</v>
          </cell>
          <cell r="H162" t="str">
            <v>ITALIA</v>
          </cell>
          <cell r="I162" t="str">
            <v>00466650074</v>
          </cell>
          <cell r="J162" t="str">
            <v>00466650074</v>
          </cell>
          <cell r="M162" t="str">
            <v>UFFICIO ACQUISTI</v>
          </cell>
          <cell r="N162" t="str">
            <v>0165 902122</v>
          </cell>
          <cell r="P162" t="str">
            <v>fal.pagani@tin.it</v>
          </cell>
          <cell r="R162" t="str">
            <v>BONIFICO BANCARIO, ALLA DATA DELLA NOSTRA CONFERMA D'ORDINE</v>
          </cell>
          <cell r="X162">
            <v>0.25</v>
          </cell>
          <cell r="Y162">
            <v>-0.04</v>
          </cell>
          <cell r="AB162">
            <v>0.25</v>
          </cell>
          <cell r="AC162">
            <v>0.25</v>
          </cell>
          <cell r="AD162">
            <v>0.25</v>
          </cell>
          <cell r="AE162">
            <v>0.25</v>
          </cell>
          <cell r="AF162">
            <v>0.25</v>
          </cell>
          <cell r="AG162">
            <v>0.25</v>
          </cell>
          <cell r="AH162">
            <v>0.25</v>
          </cell>
          <cell r="AI162">
            <v>0.25</v>
          </cell>
          <cell r="AJ162">
            <v>0.25</v>
          </cell>
          <cell r="AK162">
            <v>0.25</v>
          </cell>
          <cell r="AL162">
            <v>0.25</v>
          </cell>
          <cell r="AM162">
            <v>0.25</v>
          </cell>
          <cell r="AN162">
            <v>0.25</v>
          </cell>
          <cell r="AO162">
            <v>0.25</v>
          </cell>
          <cell r="AP162">
            <v>0.25</v>
          </cell>
          <cell r="AQ162">
            <v>0.25</v>
          </cell>
          <cell r="AR162">
            <v>0.25</v>
          </cell>
          <cell r="AS162">
            <v>0.25</v>
          </cell>
          <cell r="AT162">
            <v>-0.04</v>
          </cell>
          <cell r="AU162">
            <v>0.92</v>
          </cell>
          <cell r="AV162">
            <v>20</v>
          </cell>
          <cell r="AZ162">
            <v>0.25</v>
          </cell>
          <cell r="BA162">
            <v>0.25</v>
          </cell>
        </row>
        <row r="163">
          <cell r="A163" t="str">
            <v>APLICACIONES TECNICAS CASTELLÓN S.L.</v>
          </cell>
          <cell r="D163" t="str">
            <v>AVD. HERMANOS BOU 258</v>
          </cell>
          <cell r="E163" t="str">
            <v>12003</v>
          </cell>
          <cell r="F163" t="str">
            <v>CASTELLON</v>
          </cell>
          <cell r="H163" t="str">
            <v>SPAGNA</v>
          </cell>
          <cell r="J163" t="str">
            <v>B12928552</v>
          </cell>
          <cell r="K163" t="str">
            <v>XXXXXXX</v>
          </cell>
          <cell r="M163" t="str">
            <v>UFFICIO ACQUISTI</v>
          </cell>
          <cell r="N163" t="str">
            <v>+34 964243035</v>
          </cell>
          <cell r="O163" t="str">
            <v>+34 606351590</v>
          </cell>
          <cell r="P163" t="str">
            <v>tecnico@barrerasparaelagua.com</v>
          </cell>
          <cell r="R163" t="str">
            <v>TRANSFERENCIA BANCARIA, EN LA FECHA DE NUESTRA CONFIRMACIÓN DE PEDIDO</v>
          </cell>
          <cell r="X163">
            <v>0.2</v>
          </cell>
          <cell r="AB163">
            <v>0.2</v>
          </cell>
          <cell r="AC163">
            <v>0.2</v>
          </cell>
          <cell r="AD163">
            <v>0.2</v>
          </cell>
          <cell r="AE163">
            <v>0.2</v>
          </cell>
          <cell r="AF163">
            <v>0.2</v>
          </cell>
          <cell r="AG163">
            <v>0.2</v>
          </cell>
          <cell r="AH163">
            <v>0.2</v>
          </cell>
          <cell r="AI163">
            <v>0.2</v>
          </cell>
          <cell r="AJ163">
            <v>0.2</v>
          </cell>
          <cell r="AK163">
            <v>0.2</v>
          </cell>
          <cell r="AL163">
            <v>0.2</v>
          </cell>
          <cell r="AM163">
            <v>0.2</v>
          </cell>
          <cell r="AN163">
            <v>0.2</v>
          </cell>
          <cell r="AO163">
            <v>0.2</v>
          </cell>
          <cell r="AP163">
            <v>0.2</v>
          </cell>
          <cell r="AQ163">
            <v>0.2</v>
          </cell>
          <cell r="AR163">
            <v>0.2</v>
          </cell>
          <cell r="AS163">
            <v>0.2</v>
          </cell>
          <cell r="AU163">
            <v>0.87</v>
          </cell>
          <cell r="AV163">
            <v>20</v>
          </cell>
          <cell r="AZ163">
            <v>0.2</v>
          </cell>
          <cell r="BA163">
            <v>0.2</v>
          </cell>
        </row>
        <row r="164">
          <cell r="A164" t="str">
            <v>APRIRE SRLS</v>
          </cell>
          <cell r="D164" t="str">
            <v>VIALE JONIO, 115</v>
          </cell>
          <cell r="E164">
            <v>74121</v>
          </cell>
          <cell r="F164" t="str">
            <v>TARANTO</v>
          </cell>
          <cell r="G164" t="str">
            <v>TA</v>
          </cell>
          <cell r="H164" t="str">
            <v>ITALIA</v>
          </cell>
          <cell r="J164" t="str">
            <v>03095470732</v>
          </cell>
          <cell r="M164" t="str">
            <v>UFFICIO ACQUISTI</v>
          </cell>
          <cell r="N164" t="str">
            <v>099 7721484</v>
          </cell>
          <cell r="O164" t="str">
            <v>340 6246052</v>
          </cell>
          <cell r="P164" t="str">
            <v>apriresrls@gmail.com</v>
          </cell>
          <cell r="R164" t="str">
            <v>BONIFICO BANCARIO, ALLA DATA DELLA NOSTRA CONFERMA D'ORDINE</v>
          </cell>
          <cell r="X164">
            <v>0.25</v>
          </cell>
          <cell r="Y164">
            <v>-0.04</v>
          </cell>
          <cell r="AB164">
            <v>0.25</v>
          </cell>
          <cell r="AC164">
            <v>0.25</v>
          </cell>
          <cell r="AD164">
            <v>0.25</v>
          </cell>
          <cell r="AE164">
            <v>0.25</v>
          </cell>
          <cell r="AF164">
            <v>0.25</v>
          </cell>
          <cell r="AG164">
            <v>0.25</v>
          </cell>
          <cell r="AH164">
            <v>0.25</v>
          </cell>
          <cell r="AI164">
            <v>0.25</v>
          </cell>
          <cell r="AJ164">
            <v>0.25</v>
          </cell>
          <cell r="AK164">
            <v>0.25</v>
          </cell>
          <cell r="AL164">
            <v>0.25</v>
          </cell>
          <cell r="AM164">
            <v>0.25</v>
          </cell>
          <cell r="AN164">
            <v>0.25</v>
          </cell>
          <cell r="AO164">
            <v>0.25</v>
          </cell>
          <cell r="AP164">
            <v>0.25</v>
          </cell>
          <cell r="AQ164">
            <v>0.25</v>
          </cell>
          <cell r="AR164">
            <v>0.25</v>
          </cell>
          <cell r="AS164">
            <v>0.25</v>
          </cell>
          <cell r="AT164">
            <v>-0.04</v>
          </cell>
          <cell r="AU164">
            <v>0.92</v>
          </cell>
          <cell r="AV164">
            <v>20</v>
          </cell>
          <cell r="AY164" t="str">
            <v/>
          </cell>
          <cell r="AZ164">
            <v>0.25</v>
          </cell>
          <cell r="BA164">
            <v>0.25</v>
          </cell>
        </row>
        <row r="165">
          <cell r="A165" t="str">
            <v>APROTEC SRL</v>
          </cell>
          <cell r="B165" t="str">
            <v>VINCENZO V. LUIGI BARONE   FOTOGRAFIE</v>
          </cell>
          <cell r="D165" t="str">
            <v>VIA NICOLA ROMEO, 5</v>
          </cell>
          <cell r="E165">
            <v>80026</v>
          </cell>
          <cell r="F165" t="str">
            <v>CASORIA</v>
          </cell>
          <cell r="G165" t="str">
            <v>NA</v>
          </cell>
          <cell r="H165" t="str">
            <v>ITALIA</v>
          </cell>
          <cell r="M165" t="str">
            <v>UFFICIO ACQUISTI</v>
          </cell>
          <cell r="N165" t="str">
            <v>081 7572724</v>
          </cell>
          <cell r="P165" t="str">
            <v>info@aprotec.it</v>
          </cell>
          <cell r="R165" t="str">
            <v>BONIFICO BANCARIO, ALLA DATA DELLA NOSTRA CONFERMA D'ORDINE</v>
          </cell>
          <cell r="X165">
            <v>0.25</v>
          </cell>
          <cell r="Y165">
            <v>-0.04</v>
          </cell>
          <cell r="AB165">
            <v>0.25</v>
          </cell>
          <cell r="AC165">
            <v>0.25</v>
          </cell>
          <cell r="AD165">
            <v>0.25</v>
          </cell>
          <cell r="AE165">
            <v>0.25</v>
          </cell>
          <cell r="AF165">
            <v>0.25</v>
          </cell>
          <cell r="AG165">
            <v>0.25</v>
          </cell>
          <cell r="AH165">
            <v>0.25</v>
          </cell>
          <cell r="AI165">
            <v>0.25</v>
          </cell>
          <cell r="AJ165">
            <v>0.25</v>
          </cell>
          <cell r="AK165">
            <v>0.25</v>
          </cell>
          <cell r="AL165">
            <v>0.25</v>
          </cell>
          <cell r="AM165">
            <v>0.25</v>
          </cell>
          <cell r="AN165">
            <v>0.25</v>
          </cell>
          <cell r="AO165">
            <v>0.25</v>
          </cell>
          <cell r="AP165">
            <v>0.25</v>
          </cell>
          <cell r="AQ165">
            <v>0.25</v>
          </cell>
          <cell r="AR165">
            <v>0.25</v>
          </cell>
          <cell r="AS165">
            <v>0.25</v>
          </cell>
          <cell r="AT165">
            <v>-0.04</v>
          </cell>
          <cell r="AU165">
            <v>0.92</v>
          </cell>
          <cell r="AV165">
            <v>20</v>
          </cell>
          <cell r="AZ165">
            <v>0.25</v>
          </cell>
          <cell r="BA165">
            <v>0.25</v>
          </cell>
        </row>
        <row r="166">
          <cell r="A166" t="str">
            <v>AQUINO INFISSI</v>
          </cell>
          <cell r="D166" t="str">
            <v>VIA DEI MULINI 63</v>
          </cell>
          <cell r="E166" t="str">
            <v>82100</v>
          </cell>
          <cell r="F166" t="str">
            <v>BENEVENTO</v>
          </cell>
          <cell r="G166" t="str">
            <v>BN</v>
          </cell>
          <cell r="H166" t="str">
            <v>ITALIA</v>
          </cell>
          <cell r="J166" t="str">
            <v>01316160629</v>
          </cell>
          <cell r="K166" t="str">
            <v>KRRH6B9</v>
          </cell>
          <cell r="M166" t="str">
            <v>UFFICIO ACQUISTI</v>
          </cell>
          <cell r="N166" t="str">
            <v>0824 42502</v>
          </cell>
          <cell r="O166" t="str">
            <v>333 7954041</v>
          </cell>
          <cell r="P166" t="str">
            <v>info@aquinoinfissi.it</v>
          </cell>
          <cell r="R166" t="str">
            <v>BONIFICO BANCARIO, ALLA DATA DELLA NOSTRA CONFERMA D'ORDINE</v>
          </cell>
          <cell r="X166">
            <v>0.25</v>
          </cell>
          <cell r="Y166">
            <v>-0.04</v>
          </cell>
          <cell r="AB166">
            <v>0.25</v>
          </cell>
          <cell r="AC166">
            <v>0.25</v>
          </cell>
          <cell r="AD166">
            <v>0.25</v>
          </cell>
          <cell r="AE166">
            <v>0.25</v>
          </cell>
          <cell r="AF166">
            <v>0.25</v>
          </cell>
          <cell r="AG166">
            <v>0.25</v>
          </cell>
          <cell r="AH166">
            <v>0.25</v>
          </cell>
          <cell r="AI166">
            <v>0.25</v>
          </cell>
          <cell r="AJ166">
            <v>0.25</v>
          </cell>
          <cell r="AK166">
            <v>0.25</v>
          </cell>
          <cell r="AL166">
            <v>0.25</v>
          </cell>
          <cell r="AM166">
            <v>0.25</v>
          </cell>
          <cell r="AN166">
            <v>0.25</v>
          </cell>
          <cell r="AO166">
            <v>0.25</v>
          </cell>
          <cell r="AP166">
            <v>0.25</v>
          </cell>
          <cell r="AQ166">
            <v>0.25</v>
          </cell>
          <cell r="AR166">
            <v>0.25</v>
          </cell>
          <cell r="AS166">
            <v>0.25</v>
          </cell>
          <cell r="AT166">
            <v>-0.04</v>
          </cell>
          <cell r="AU166">
            <v>0.92</v>
          </cell>
          <cell r="AV166">
            <v>20</v>
          </cell>
          <cell r="AY166" t="str">
            <v/>
          </cell>
          <cell r="AZ166">
            <v>0.25</v>
          </cell>
          <cell r="BA166">
            <v>0.25</v>
          </cell>
          <cell r="BF166" t="str">
            <v>CLICK RAPID con carpenteria 07/02/2020</v>
          </cell>
        </row>
        <row r="167">
          <cell r="A167" t="str">
            <v>AR INFISSI SRL</v>
          </cell>
          <cell r="B167" t="str">
            <v>CAMPIONE SCONTO 30% CARPENTERIA GRATUITA INVIARE FOTO E FILMATI</v>
          </cell>
          <cell r="D167" t="str">
            <v>VIA ROMA, 358</v>
          </cell>
          <cell r="E167" t="str">
            <v>91021</v>
          </cell>
          <cell r="F167" t="str">
            <v>COMPOBELLO DI MAZARA</v>
          </cell>
          <cell r="G167" t="str">
            <v>TP</v>
          </cell>
          <cell r="H167" t="str">
            <v>ITALIA</v>
          </cell>
          <cell r="J167" t="str">
            <v>02671350813</v>
          </cell>
          <cell r="M167" t="str">
            <v>UFFICIO ACQUISTI</v>
          </cell>
          <cell r="N167" t="str">
            <v>0924 47065</v>
          </cell>
          <cell r="O167" t="str">
            <v>329 0212070</v>
          </cell>
          <cell r="P167" t="str">
            <v>arinfissisrl@gmail.com</v>
          </cell>
          <cell r="R167" t="str">
            <v>BONIFICO BANCARIO, ALLA DATA DELLA NOSTRA CONFERMA D'ORDINE</v>
          </cell>
          <cell r="X167">
            <v>0.25</v>
          </cell>
          <cell r="Y167">
            <v>-0.04</v>
          </cell>
          <cell r="AB167">
            <v>0.25</v>
          </cell>
          <cell r="AC167">
            <v>0.25</v>
          </cell>
          <cell r="AD167">
            <v>0.25</v>
          </cell>
          <cell r="AE167">
            <v>0.25</v>
          </cell>
          <cell r="AF167">
            <v>0.25</v>
          </cell>
          <cell r="AG167">
            <v>0.25</v>
          </cell>
          <cell r="AH167">
            <v>0.25</v>
          </cell>
          <cell r="AI167">
            <v>0.25</v>
          </cell>
          <cell r="AJ167">
            <v>0.25</v>
          </cell>
          <cell r="AK167">
            <v>0.25</v>
          </cell>
          <cell r="AL167">
            <v>0.25</v>
          </cell>
          <cell r="AM167">
            <v>0.25</v>
          </cell>
          <cell r="AN167">
            <v>0.25</v>
          </cell>
          <cell r="AO167">
            <v>0.25</v>
          </cell>
          <cell r="AP167">
            <v>0.25</v>
          </cell>
          <cell r="AQ167">
            <v>0.25</v>
          </cell>
          <cell r="AR167">
            <v>0.25</v>
          </cell>
          <cell r="AS167">
            <v>0.25</v>
          </cell>
          <cell r="AT167">
            <v>-0.04</v>
          </cell>
          <cell r="AU167">
            <v>0.92</v>
          </cell>
          <cell r="AV167">
            <v>20</v>
          </cell>
          <cell r="AY167" t="str">
            <v/>
          </cell>
          <cell r="AZ167">
            <v>0.25</v>
          </cell>
          <cell r="BA167">
            <v>0.25</v>
          </cell>
        </row>
        <row r="168">
          <cell r="A168" t="str">
            <v>ARBIA MOBILI SRL</v>
          </cell>
          <cell r="D168" t="str">
            <v>VIA G. GALILEI, 222</v>
          </cell>
          <cell r="E168" t="str">
            <v>53014</v>
          </cell>
          <cell r="F168" t="str">
            <v>MONTERONI D'ARBIA</v>
          </cell>
          <cell r="G168" t="str">
            <v>SI</v>
          </cell>
          <cell r="H168" t="str">
            <v>ITALIA</v>
          </cell>
          <cell r="J168" t="str">
            <v>00247180524</v>
          </cell>
          <cell r="M168" t="str">
            <v>UFFICIO ACQUISTI</v>
          </cell>
          <cell r="N168" t="str">
            <v>0577 370095</v>
          </cell>
          <cell r="P168" t="str">
            <v>arbiamobili@gmail.com</v>
          </cell>
          <cell r="R168" t="str">
            <v>BONIFICO BANCARIO, ALLA DATA DELLA NOSTRA CONFERMA D'ORDINE</v>
          </cell>
          <cell r="X168">
            <v>0.25</v>
          </cell>
          <cell r="Y168">
            <v>-0.04</v>
          </cell>
          <cell r="AB168">
            <v>0.25</v>
          </cell>
          <cell r="AC168">
            <v>0.25</v>
          </cell>
          <cell r="AD168">
            <v>0.25</v>
          </cell>
          <cell r="AE168">
            <v>0.25</v>
          </cell>
          <cell r="AF168">
            <v>0.25</v>
          </cell>
          <cell r="AG168">
            <v>0.25</v>
          </cell>
          <cell r="AH168">
            <v>0.25</v>
          </cell>
          <cell r="AI168">
            <v>0.25</v>
          </cell>
          <cell r="AJ168">
            <v>0.25</v>
          </cell>
          <cell r="AK168">
            <v>0.25</v>
          </cell>
          <cell r="AL168">
            <v>0.25</v>
          </cell>
          <cell r="AM168">
            <v>0.25</v>
          </cell>
          <cell r="AN168">
            <v>0.25</v>
          </cell>
          <cell r="AO168">
            <v>0.25</v>
          </cell>
          <cell r="AP168">
            <v>0.25</v>
          </cell>
          <cell r="AQ168">
            <v>0.25</v>
          </cell>
          <cell r="AR168">
            <v>0.25</v>
          </cell>
          <cell r="AS168">
            <v>0.25</v>
          </cell>
          <cell r="AT168">
            <v>-0.04</v>
          </cell>
          <cell r="AU168">
            <v>0.92</v>
          </cell>
          <cell r="AV168">
            <v>20</v>
          </cell>
          <cell r="AY168" t="str">
            <v/>
          </cell>
          <cell r="AZ168">
            <v>0.25</v>
          </cell>
          <cell r="BA168">
            <v>0.25</v>
          </cell>
        </row>
        <row r="169">
          <cell r="A169" t="str">
            <v>ARCA S.R.L.</v>
          </cell>
          <cell r="D169" t="str">
            <v xml:space="preserve">VIA FRANCESCO OREFICE,2 </v>
          </cell>
          <cell r="E169" t="str">
            <v>80026</v>
          </cell>
          <cell r="F169" t="str">
            <v>CASORIA</v>
          </cell>
          <cell r="G169" t="str">
            <v>NA</v>
          </cell>
          <cell r="H169" t="str">
            <v>ITALIA</v>
          </cell>
          <cell r="M169" t="str">
            <v>UFFICIO ACQUISTI</v>
          </cell>
          <cell r="N169" t="str">
            <v>0823 1499487</v>
          </cell>
          <cell r="O169" t="str">
            <v>348 5196968 ING. SALVATORE PETRENGA</v>
          </cell>
          <cell r="P169" t="str">
            <v>salvatore.petrenga@arcafirm.it</v>
          </cell>
          <cell r="R169" t="str">
            <v>BONIFICO BANCARIO, ALLA DATA DELLA NOSTRA CONFERMA D'ORDINE</v>
          </cell>
          <cell r="X169">
            <v>0.25</v>
          </cell>
          <cell r="Y169">
            <v>-0.04</v>
          </cell>
          <cell r="AB169">
            <v>0.25</v>
          </cell>
          <cell r="AC169">
            <v>0.25</v>
          </cell>
          <cell r="AD169">
            <v>0.25</v>
          </cell>
          <cell r="AE169">
            <v>0.25</v>
          </cell>
          <cell r="AF169">
            <v>0.25</v>
          </cell>
          <cell r="AG169">
            <v>0.25</v>
          </cell>
          <cell r="AH169">
            <v>0.25</v>
          </cell>
          <cell r="AI169">
            <v>0.25</v>
          </cell>
          <cell r="AJ169">
            <v>0.25</v>
          </cell>
          <cell r="AK169">
            <v>0.25</v>
          </cell>
          <cell r="AL169">
            <v>0.25</v>
          </cell>
          <cell r="AM169">
            <v>0.25</v>
          </cell>
          <cell r="AN169">
            <v>0.25</v>
          </cell>
          <cell r="AO169">
            <v>0.25</v>
          </cell>
          <cell r="AP169">
            <v>0.25</v>
          </cell>
          <cell r="AQ169">
            <v>0.25</v>
          </cell>
          <cell r="AR169">
            <v>0.25</v>
          </cell>
          <cell r="AS169">
            <v>0.25</v>
          </cell>
          <cell r="AT169">
            <v>-0.04</v>
          </cell>
          <cell r="AU169">
            <v>0.92</v>
          </cell>
          <cell r="AV169">
            <v>20</v>
          </cell>
          <cell r="AZ169">
            <v>0.25</v>
          </cell>
          <cell r="BA169">
            <v>0.25</v>
          </cell>
        </row>
        <row r="170">
          <cell r="A170" t="str">
            <v>ARCADE S.P.A.</v>
          </cell>
          <cell r="B170" t="str">
            <v>21/03/23 NON SONO INTERESSATI</v>
          </cell>
          <cell r="D170" t="str">
            <v>VIA G MATTEOTTI, 45 F</v>
          </cell>
          <cell r="E170">
            <v>29010</v>
          </cell>
          <cell r="F170" t="str">
            <v>CASTELVETRO P.NO</v>
          </cell>
          <cell r="G170" t="str">
            <v>PC</v>
          </cell>
          <cell r="H170" t="str">
            <v>ITALIA</v>
          </cell>
          <cell r="M170" t="str">
            <v>UFFICIO ACQUISTI</v>
          </cell>
          <cell r="N170" t="str">
            <v>0523 823086 R.A.</v>
          </cell>
          <cell r="P170" t="str">
            <v>tecnico@arcadespa.com</v>
          </cell>
          <cell r="R170" t="str">
            <v>BONIFICO BANCARIO, ALLA DATA DELLA NOSTRA CONFERMA D'ORDINE</v>
          </cell>
          <cell r="X170">
            <v>0.25</v>
          </cell>
          <cell r="Y170">
            <v>-0.04</v>
          </cell>
          <cell r="AB170">
            <v>0.25</v>
          </cell>
          <cell r="AC170">
            <v>0.25</v>
          </cell>
          <cell r="AD170">
            <v>0.25</v>
          </cell>
          <cell r="AE170">
            <v>0.25</v>
          </cell>
          <cell r="AF170">
            <v>0.25</v>
          </cell>
          <cell r="AG170">
            <v>0.25</v>
          </cell>
          <cell r="AH170">
            <v>0.25</v>
          </cell>
          <cell r="AI170">
            <v>0.25</v>
          </cell>
          <cell r="AJ170">
            <v>0.25</v>
          </cell>
          <cell r="AK170">
            <v>0.25</v>
          </cell>
          <cell r="AL170">
            <v>0.25</v>
          </cell>
          <cell r="AM170">
            <v>0.25</v>
          </cell>
          <cell r="AN170">
            <v>0.25</v>
          </cell>
          <cell r="AO170">
            <v>0.25</v>
          </cell>
          <cell r="AP170">
            <v>0.25</v>
          </cell>
          <cell r="AQ170">
            <v>0.25</v>
          </cell>
          <cell r="AR170">
            <v>0.25</v>
          </cell>
          <cell r="AS170">
            <v>0.25</v>
          </cell>
          <cell r="AT170">
            <v>-0.04</v>
          </cell>
          <cell r="AU170">
            <v>0.92</v>
          </cell>
          <cell r="AV170">
            <v>20</v>
          </cell>
          <cell r="AY170" t="str">
            <v/>
          </cell>
          <cell r="AZ170">
            <v>0.25</v>
          </cell>
          <cell r="BA170">
            <v>0.25</v>
          </cell>
        </row>
        <row r="171">
          <cell r="A171" t="str">
            <v>ARCE'INFISSI</v>
          </cell>
          <cell r="D171" t="str">
            <v>VIA SACCO, 6 A</v>
          </cell>
          <cell r="E171">
            <v>37026</v>
          </cell>
          <cell r="F171" t="str">
            <v>PESCANTINA</v>
          </cell>
          <cell r="G171" t="str">
            <v>VR</v>
          </cell>
          <cell r="H171" t="str">
            <v>ITALIA</v>
          </cell>
          <cell r="I171" t="str">
            <v>03742520236</v>
          </cell>
          <cell r="J171" t="str">
            <v>03742520236</v>
          </cell>
          <cell r="M171" t="str">
            <v>UFFICIO ACQUISTI</v>
          </cell>
          <cell r="N171" t="str">
            <v>045 6700487</v>
          </cell>
          <cell r="P171" t="str">
            <v>info@arceinfissi.it</v>
          </cell>
          <cell r="R171" t="str">
            <v>BONIFICO BANCARIO, ALLA DATA DELLA NOSTRA CONFERMA D'ORDINE</v>
          </cell>
          <cell r="X171">
            <v>0.25</v>
          </cell>
          <cell r="Y171">
            <v>-0.04</v>
          </cell>
          <cell r="AB171">
            <v>0.25</v>
          </cell>
          <cell r="AC171">
            <v>0.25</v>
          </cell>
          <cell r="AD171">
            <v>0.25</v>
          </cell>
          <cell r="AE171">
            <v>0.25</v>
          </cell>
          <cell r="AF171">
            <v>0.25</v>
          </cell>
          <cell r="AG171">
            <v>0.25</v>
          </cell>
          <cell r="AH171">
            <v>0.25</v>
          </cell>
          <cell r="AI171">
            <v>0.25</v>
          </cell>
          <cell r="AJ171">
            <v>0.25</v>
          </cell>
          <cell r="AK171">
            <v>0.25</v>
          </cell>
          <cell r="AL171">
            <v>0.25</v>
          </cell>
          <cell r="AM171">
            <v>0.25</v>
          </cell>
          <cell r="AN171">
            <v>0.25</v>
          </cell>
          <cell r="AO171">
            <v>0.25</v>
          </cell>
          <cell r="AP171">
            <v>0.25</v>
          </cell>
          <cell r="AQ171">
            <v>0.25</v>
          </cell>
          <cell r="AR171">
            <v>0.25</v>
          </cell>
          <cell r="AS171">
            <v>0.25</v>
          </cell>
          <cell r="AT171">
            <v>-0.04</v>
          </cell>
          <cell r="AU171">
            <v>0.92</v>
          </cell>
          <cell r="AV171">
            <v>20</v>
          </cell>
          <cell r="AY171" t="str">
            <v/>
          </cell>
          <cell r="AZ171">
            <v>0.25</v>
          </cell>
          <cell r="BA171">
            <v>0.25</v>
          </cell>
        </row>
        <row r="172">
          <cell r="A172" t="str">
            <v>ARCHEO HOME SRL</v>
          </cell>
          <cell r="B172" t="str">
            <v>RESP.VINCENZO CAPITANIO</v>
          </cell>
          <cell r="D172" t="str">
            <v>VIA BROSETA, 36</v>
          </cell>
          <cell r="E172" t="str">
            <v>24122</v>
          </cell>
          <cell r="F172" t="str">
            <v>BERGAMO</v>
          </cell>
          <cell r="G172" t="str">
            <v>BG</v>
          </cell>
          <cell r="H172" t="str">
            <v>ITALIA</v>
          </cell>
          <cell r="J172" t="str">
            <v>03997070168</v>
          </cell>
          <cell r="L172" t="str">
            <v>VIA FIUME PO - STEZZANO (BG)</v>
          </cell>
          <cell r="M172" t="str">
            <v>UFFICIO ACQUISTI</v>
          </cell>
          <cell r="N172" t="str">
            <v>035 5297243</v>
          </cell>
          <cell r="O172" t="str">
            <v>335 6021567 VINCENZO CAPITANIO</v>
          </cell>
          <cell r="P172" t="str">
            <v>info@archeoceramiche.it</v>
          </cell>
          <cell r="R172" t="str">
            <v>BONIFICO BANCARIO, ALLA DATA DELLA NOSTRA CONFERMA D'ORDINE</v>
          </cell>
          <cell r="X172">
            <v>0.2</v>
          </cell>
          <cell r="Y172">
            <v>-0.04</v>
          </cell>
          <cell r="AB172">
            <v>0.2</v>
          </cell>
          <cell r="AC172">
            <v>0.2</v>
          </cell>
          <cell r="AD172">
            <v>0.2</v>
          </cell>
          <cell r="AE172">
            <v>0.2</v>
          </cell>
          <cell r="AF172">
            <v>0.2</v>
          </cell>
          <cell r="AG172">
            <v>0.2</v>
          </cell>
          <cell r="AH172">
            <v>0.2</v>
          </cell>
          <cell r="AI172">
            <v>0.2</v>
          </cell>
          <cell r="AJ172">
            <v>0.2</v>
          </cell>
          <cell r="AK172">
            <v>0.2</v>
          </cell>
          <cell r="AL172">
            <v>0.2</v>
          </cell>
          <cell r="AM172">
            <v>0.2</v>
          </cell>
          <cell r="AN172">
            <v>0.2</v>
          </cell>
          <cell r="AO172">
            <v>0.2</v>
          </cell>
          <cell r="AP172">
            <v>0.2</v>
          </cell>
          <cell r="AQ172">
            <v>0.2</v>
          </cell>
          <cell r="AR172">
            <v>0.2</v>
          </cell>
          <cell r="AS172">
            <v>0.2</v>
          </cell>
          <cell r="AT172">
            <v>-0.04</v>
          </cell>
          <cell r="AU172">
            <v>0.92</v>
          </cell>
          <cell r="AV172">
            <v>20</v>
          </cell>
          <cell r="AZ172">
            <v>0.2</v>
          </cell>
          <cell r="BA172">
            <v>0.2</v>
          </cell>
        </row>
        <row r="173">
          <cell r="A173" t="str">
            <v>ARDA SRL</v>
          </cell>
          <cell r="D173" t="str">
            <v>VIA PADRE A.DELLA BELLA, 55</v>
          </cell>
          <cell r="E173" t="str">
            <v>71122</v>
          </cell>
          <cell r="F173" t="str">
            <v>FOGGIA</v>
          </cell>
          <cell r="G173" t="str">
            <v>FG</v>
          </cell>
          <cell r="H173" t="str">
            <v>ITALIA</v>
          </cell>
          <cell r="J173" t="str">
            <v>03303400711</v>
          </cell>
          <cell r="M173" t="str">
            <v>UFFICIO ACQUISTI</v>
          </cell>
          <cell r="N173" t="str">
            <v>0881 663270</v>
          </cell>
          <cell r="R173" t="str">
            <v>BONIFICO BANCARIO, ALLA DATA DELLA NOSTRA CONFERMA D'ORDINE</v>
          </cell>
          <cell r="X173">
            <v>0.2</v>
          </cell>
          <cell r="Y173">
            <v>-0.04</v>
          </cell>
          <cell r="AB173">
            <v>0.2</v>
          </cell>
          <cell r="AC173">
            <v>0.2</v>
          </cell>
          <cell r="AD173">
            <v>0.2</v>
          </cell>
          <cell r="AE173">
            <v>0.2</v>
          </cell>
          <cell r="AF173">
            <v>0.2</v>
          </cell>
          <cell r="AG173">
            <v>0.2</v>
          </cell>
          <cell r="AH173">
            <v>0.2</v>
          </cell>
          <cell r="AI173">
            <v>0.2</v>
          </cell>
          <cell r="AJ173">
            <v>0.2</v>
          </cell>
          <cell r="AK173">
            <v>0.2</v>
          </cell>
          <cell r="AL173">
            <v>0.2</v>
          </cell>
          <cell r="AM173">
            <v>0.2</v>
          </cell>
          <cell r="AN173">
            <v>0.2</v>
          </cell>
          <cell r="AO173">
            <v>0.2</v>
          </cell>
          <cell r="AP173">
            <v>0.2</v>
          </cell>
          <cell r="AQ173">
            <v>0.2</v>
          </cell>
          <cell r="AR173">
            <v>0.2</v>
          </cell>
          <cell r="AS173">
            <v>0.2</v>
          </cell>
          <cell r="AT173">
            <v>-0.04</v>
          </cell>
          <cell r="AU173">
            <v>0.92</v>
          </cell>
          <cell r="AV173">
            <v>20</v>
          </cell>
          <cell r="AZ173">
            <v>0.2</v>
          </cell>
          <cell r="BA173">
            <v>0.2</v>
          </cell>
        </row>
        <row r="174">
          <cell r="A174" t="str">
            <v>ARDESI SERRAMENTI</v>
          </cell>
          <cell r="B174" t="str">
            <v>P.VEND.:VIA MAMELI, 2/K 2/J - GARDONE V.T.</v>
          </cell>
          <cell r="D174" t="str">
            <v>VIA GARIBALDI, 24 BROZZO</v>
          </cell>
          <cell r="E174" t="str">
            <v>25060</v>
          </cell>
          <cell r="F174" t="str">
            <v>MARCHENO</v>
          </cell>
          <cell r="G174" t="str">
            <v>BS</v>
          </cell>
          <cell r="H174" t="str">
            <v>ITALIA</v>
          </cell>
          <cell r="J174" t="str">
            <v>01873340986</v>
          </cell>
          <cell r="M174" t="str">
            <v>UFFICIO ACQUISTI</v>
          </cell>
          <cell r="N174" t="str">
            <v>030 861359</v>
          </cell>
          <cell r="O174" t="str">
            <v>342 8458206</v>
          </cell>
          <cell r="P174" t="str">
            <v>info@ardesiserramenti.it</v>
          </cell>
          <cell r="R174" t="str">
            <v>BONIFICO BANCARIO, ALLA DATA DELLA NOSTRA CONFERMA D'ORDINE</v>
          </cell>
          <cell r="X174">
            <v>0.2</v>
          </cell>
          <cell r="Y174">
            <v>-0.04</v>
          </cell>
          <cell r="AB174">
            <v>0.2</v>
          </cell>
          <cell r="AC174">
            <v>0.2</v>
          </cell>
          <cell r="AD174">
            <v>0.2</v>
          </cell>
          <cell r="AE174">
            <v>0.2</v>
          </cell>
          <cell r="AF174">
            <v>0.2</v>
          </cell>
          <cell r="AG174">
            <v>0.2</v>
          </cell>
          <cell r="AH174">
            <v>0.2</v>
          </cell>
          <cell r="AI174">
            <v>0.2</v>
          </cell>
          <cell r="AJ174">
            <v>0.2</v>
          </cell>
          <cell r="AK174">
            <v>0.2</v>
          </cell>
          <cell r="AL174">
            <v>0.2</v>
          </cell>
          <cell r="AM174">
            <v>0.2</v>
          </cell>
          <cell r="AN174">
            <v>0.2</v>
          </cell>
          <cell r="AO174">
            <v>0.2</v>
          </cell>
          <cell r="AP174">
            <v>0.2</v>
          </cell>
          <cell r="AQ174">
            <v>0.2</v>
          </cell>
          <cell r="AR174">
            <v>0.2</v>
          </cell>
          <cell r="AS174">
            <v>0.2</v>
          </cell>
          <cell r="AT174">
            <v>-0.04</v>
          </cell>
          <cell r="AU174">
            <v>0.92</v>
          </cell>
          <cell r="AV174">
            <v>20</v>
          </cell>
          <cell r="AZ174">
            <v>0.2</v>
          </cell>
          <cell r="BA174">
            <v>0.2</v>
          </cell>
        </row>
        <row r="175">
          <cell r="A175" t="str">
            <v xml:space="preserve">ARDITO LE PORTE </v>
          </cell>
          <cell r="D175" t="str">
            <v>VIALE TRICESIMO 206/4</v>
          </cell>
          <cell r="E175" t="str">
            <v>33100</v>
          </cell>
          <cell r="F175" t="str">
            <v>UDINE</v>
          </cell>
          <cell r="G175" t="str">
            <v>UD</v>
          </cell>
          <cell r="H175" t="str">
            <v>ITALIA</v>
          </cell>
          <cell r="J175" t="str">
            <v>02530010301</v>
          </cell>
          <cell r="M175" t="str">
            <v>UFFICIO ACQUISTI</v>
          </cell>
          <cell r="N175" t="str">
            <v>0432 681377</v>
          </cell>
          <cell r="P175" t="str">
            <v>info@arditoleporte.com</v>
          </cell>
          <cell r="R175" t="str">
            <v>BONIFICO BANCARIO, ALLA DATA DELLA NOSTRA CONFERMA D'ORDINE</v>
          </cell>
          <cell r="X175">
            <v>0.25</v>
          </cell>
          <cell r="Y175">
            <v>-0.04</v>
          </cell>
          <cell r="AB175">
            <v>0.25</v>
          </cell>
          <cell r="AC175">
            <v>0.25</v>
          </cell>
          <cell r="AD175">
            <v>0.25</v>
          </cell>
          <cell r="AE175">
            <v>0.25</v>
          </cell>
          <cell r="AF175">
            <v>0.25</v>
          </cell>
          <cell r="AG175">
            <v>0.25</v>
          </cell>
          <cell r="AH175">
            <v>0.25</v>
          </cell>
          <cell r="AI175">
            <v>0.25</v>
          </cell>
          <cell r="AJ175">
            <v>0.25</v>
          </cell>
          <cell r="AK175">
            <v>0.25</v>
          </cell>
          <cell r="AL175">
            <v>0.25</v>
          </cell>
          <cell r="AM175">
            <v>0.25</v>
          </cell>
          <cell r="AN175">
            <v>0.25</v>
          </cell>
          <cell r="AO175">
            <v>0.25</v>
          </cell>
          <cell r="AP175">
            <v>0.25</v>
          </cell>
          <cell r="AQ175">
            <v>0.25</v>
          </cell>
          <cell r="AR175">
            <v>0.25</v>
          </cell>
          <cell r="AS175">
            <v>0.25</v>
          </cell>
          <cell r="AT175">
            <v>-0.04</v>
          </cell>
          <cell r="AU175">
            <v>0.92</v>
          </cell>
          <cell r="AV175">
            <v>20</v>
          </cell>
          <cell r="AY175" t="str">
            <v/>
          </cell>
          <cell r="AZ175">
            <v>0.25</v>
          </cell>
          <cell r="BA175">
            <v>0.25</v>
          </cell>
        </row>
        <row r="176">
          <cell r="A176" t="str">
            <v>AREA INFISSI</v>
          </cell>
          <cell r="D176" t="str">
            <v>VIALE EUGENIO CHIESA 17</v>
          </cell>
          <cell r="E176" t="str">
            <v>54100</v>
          </cell>
          <cell r="F176" t="str">
            <v>MASSA</v>
          </cell>
          <cell r="G176" t="str">
            <v>MS</v>
          </cell>
          <cell r="H176" t="str">
            <v>ITALIA</v>
          </cell>
          <cell r="J176" t="str">
            <v>01314430453</v>
          </cell>
          <cell r="M176" t="str">
            <v>UFFICIO ACQUISTI</v>
          </cell>
          <cell r="N176" t="str">
            <v>347 2516838</v>
          </cell>
          <cell r="O176" t="str">
            <v>393 9357510</v>
          </cell>
          <cell r="R176" t="str">
            <v>BONIFICO BANCARIO, ALLA DATA DELLA NOSTRA CONFERMA D'ORDINE</v>
          </cell>
          <cell r="X176">
            <v>0.25</v>
          </cell>
          <cell r="Y176">
            <v>-0.04</v>
          </cell>
          <cell r="AB176">
            <v>0.25</v>
          </cell>
          <cell r="AC176">
            <v>0.25</v>
          </cell>
          <cell r="AD176">
            <v>0.25</v>
          </cell>
          <cell r="AE176">
            <v>0.25</v>
          </cell>
          <cell r="AF176">
            <v>0.25</v>
          </cell>
          <cell r="AG176">
            <v>0.25</v>
          </cell>
          <cell r="AH176">
            <v>0.25</v>
          </cell>
          <cell r="AI176">
            <v>0.25</v>
          </cell>
          <cell r="AJ176">
            <v>0.25</v>
          </cell>
          <cell r="AK176">
            <v>0.25</v>
          </cell>
          <cell r="AL176">
            <v>0.25</v>
          </cell>
          <cell r="AM176">
            <v>0.25</v>
          </cell>
          <cell r="AN176">
            <v>0.25</v>
          </cell>
          <cell r="AO176">
            <v>0.25</v>
          </cell>
          <cell r="AP176">
            <v>0.25</v>
          </cell>
          <cell r="AQ176">
            <v>0.25</v>
          </cell>
          <cell r="AR176">
            <v>0.25</v>
          </cell>
          <cell r="AS176">
            <v>0.25</v>
          </cell>
          <cell r="AT176">
            <v>-0.04</v>
          </cell>
          <cell r="AU176">
            <v>0.92</v>
          </cell>
          <cell r="AV176">
            <v>20</v>
          </cell>
          <cell r="AY176" t="str">
            <v/>
          </cell>
          <cell r="AZ176">
            <v>0.25</v>
          </cell>
          <cell r="BA176">
            <v>0.25</v>
          </cell>
        </row>
        <row r="177">
          <cell r="A177" t="str">
            <v>ARETINO SERRAMENTI</v>
          </cell>
          <cell r="D177" t="str">
            <v>VIA ROMA, 264</v>
          </cell>
          <cell r="E177" t="str">
            <v>09020</v>
          </cell>
          <cell r="F177" t="str">
            <v>USSANA</v>
          </cell>
          <cell r="G177" t="str">
            <v>CA</v>
          </cell>
          <cell r="H177" t="str">
            <v>ITALIA</v>
          </cell>
          <cell r="I177" t="str">
            <v>RTNRND64T06B354B</v>
          </cell>
          <cell r="J177" t="str">
            <v>03183080922</v>
          </cell>
          <cell r="K177" t="str">
            <v>KRRH6B9</v>
          </cell>
          <cell r="M177" t="str">
            <v>UFFICIO ACQUISTI</v>
          </cell>
          <cell r="O177" t="str">
            <v>328 2224802 ARMANDO ARETINO</v>
          </cell>
          <cell r="P177" t="str">
            <v>armaretino@libero.it</v>
          </cell>
          <cell r="R177" t="str">
            <v>BONIFICO BANCARIO, ALLA DATA DELLA NOSTRA CONFERMA D'ORDINE</v>
          </cell>
          <cell r="X177">
            <v>0.25</v>
          </cell>
          <cell r="Y177">
            <v>-0.04</v>
          </cell>
          <cell r="AB177">
            <v>0.25</v>
          </cell>
          <cell r="AC177">
            <v>0.25</v>
          </cell>
          <cell r="AD177">
            <v>0.25</v>
          </cell>
          <cell r="AE177">
            <v>0.25</v>
          </cell>
          <cell r="AF177">
            <v>0.25</v>
          </cell>
          <cell r="AG177">
            <v>0.25</v>
          </cell>
          <cell r="AH177">
            <v>0.25</v>
          </cell>
          <cell r="AI177">
            <v>0.25</v>
          </cell>
          <cell r="AJ177">
            <v>0.25</v>
          </cell>
          <cell r="AK177">
            <v>0.25</v>
          </cell>
          <cell r="AL177">
            <v>0.25</v>
          </cell>
          <cell r="AM177">
            <v>0.25</v>
          </cell>
          <cell r="AN177">
            <v>0.25</v>
          </cell>
          <cell r="AO177">
            <v>0.25</v>
          </cell>
          <cell r="AP177">
            <v>0.25</v>
          </cell>
          <cell r="AQ177">
            <v>0.25</v>
          </cell>
          <cell r="AR177">
            <v>0.25</v>
          </cell>
          <cell r="AS177">
            <v>0.25</v>
          </cell>
          <cell r="AT177">
            <v>-0.04</v>
          </cell>
          <cell r="AU177">
            <v>0.92</v>
          </cell>
          <cell r="AV177">
            <v>20</v>
          </cell>
          <cell r="AZ177">
            <v>0.25</v>
          </cell>
          <cell r="BA177">
            <v>0.25</v>
          </cell>
        </row>
        <row r="178">
          <cell r="A178" t="str">
            <v>ARETINO SERRAMENTI DI ARMANDO ARETINO</v>
          </cell>
          <cell r="B178" t="str">
            <v>ESPOSITORE E 1000 VOLANTINI</v>
          </cell>
          <cell r="D178" t="str">
            <v>VIA ROMA, 264</v>
          </cell>
          <cell r="E178" t="str">
            <v>09020</v>
          </cell>
          <cell r="F178" t="str">
            <v>USSANA</v>
          </cell>
          <cell r="G178" t="str">
            <v>CA</v>
          </cell>
          <cell r="H178" t="str">
            <v>ITALIA</v>
          </cell>
          <cell r="I178" t="str">
            <v>RTNRND64T06B354B</v>
          </cell>
          <cell r="J178" t="str">
            <v>03183080922</v>
          </cell>
          <cell r="K178" t="str">
            <v>KRRH6B9</v>
          </cell>
          <cell r="M178" t="str">
            <v>UFFICIO ACQUISTI</v>
          </cell>
          <cell r="O178" t="str">
            <v>328 2224802 ARMANDO ARETINO</v>
          </cell>
          <cell r="P178" t="str">
            <v>armaretino@libero.it</v>
          </cell>
          <cell r="R178" t="str">
            <v>BONIFICO BANCARIO, ALLA DATA DELLA NOSTRA CONFERMA D'ORDINE</v>
          </cell>
          <cell r="X178">
            <v>0.25</v>
          </cell>
          <cell r="Y178">
            <v>-0.04</v>
          </cell>
          <cell r="AB178">
            <v>0.25</v>
          </cell>
          <cell r="AC178">
            <v>0.25</v>
          </cell>
          <cell r="AD178">
            <v>0.25</v>
          </cell>
          <cell r="AE178">
            <v>0.25</v>
          </cell>
          <cell r="AF178">
            <v>0.25</v>
          </cell>
          <cell r="AG178">
            <v>0.25</v>
          </cell>
          <cell r="AH178">
            <v>0.25</v>
          </cell>
          <cell r="AI178">
            <v>0.25</v>
          </cell>
          <cell r="AJ178">
            <v>0.25</v>
          </cell>
          <cell r="AK178">
            <v>0.25</v>
          </cell>
          <cell r="AL178">
            <v>0.25</v>
          </cell>
          <cell r="AM178">
            <v>0.25</v>
          </cell>
          <cell r="AN178">
            <v>0.25</v>
          </cell>
          <cell r="AO178">
            <v>0.25</v>
          </cell>
          <cell r="AP178">
            <v>0.25</v>
          </cell>
          <cell r="AQ178">
            <v>0.25</v>
          </cell>
          <cell r="AR178">
            <v>0.25</v>
          </cell>
          <cell r="AS178">
            <v>0.25</v>
          </cell>
          <cell r="AT178">
            <v>-0.04</v>
          </cell>
          <cell r="AU178">
            <v>0.92</v>
          </cell>
          <cell r="AV178">
            <v>20</v>
          </cell>
          <cell r="AZ178">
            <v>0.25</v>
          </cell>
          <cell r="BA178">
            <v>0.25</v>
          </cell>
        </row>
        <row r="179">
          <cell r="A179" t="str">
            <v>ARIES - FERRAMENTA A COLORI E CARTONGESSO</v>
          </cell>
          <cell r="B179" t="str">
            <v>07/11/22 PARLATO CON IL SIG. ANDOLINA, TITOLARE. DICE CHE ARRIVIAMO IN RITARDO IN QUANTO L'ALLAGAMENTO C'E' GIA' STATO E HANNO PROVVEDUTO IN MOLTI I MANIERA PIU O MENO ARETIGIANALE. SPIEGATO APPUNT OCHE ARTIGIANALMENTE BEN POCO SI RISOLVE E SPIEGATO NS BARRIERE. MANDATA MAIL + VUOLE VISITA</v>
          </cell>
          <cell r="D179" t="str">
            <v>VIA GIUSEPPE CESARO', 28</v>
          </cell>
          <cell r="E179">
            <v>91100</v>
          </cell>
          <cell r="F179" t="str">
            <v>CASA SANTA</v>
          </cell>
          <cell r="G179" t="str">
            <v>TP</v>
          </cell>
          <cell r="H179" t="str">
            <v>ITALIA</v>
          </cell>
          <cell r="J179" t="str">
            <v>01776140814</v>
          </cell>
          <cell r="M179" t="str">
            <v>UFFICIO ACQUISTI</v>
          </cell>
          <cell r="N179" t="str">
            <v>0923 560222</v>
          </cell>
          <cell r="P179" t="str">
            <v>barando70@gmail.com</v>
          </cell>
          <cell r="R179" t="str">
            <v>BONIFICO BANCARIO, ALLA DATA DELLA NOSTRA CONFERMA D'ORDINE</v>
          </cell>
          <cell r="X179">
            <v>0.25</v>
          </cell>
          <cell r="Y179">
            <v>-0.04</v>
          </cell>
          <cell r="AB179">
            <v>0.25</v>
          </cell>
          <cell r="AC179">
            <v>0.25</v>
          </cell>
          <cell r="AD179">
            <v>0.25</v>
          </cell>
          <cell r="AE179">
            <v>0.25</v>
          </cell>
          <cell r="AF179">
            <v>0.25</v>
          </cell>
          <cell r="AG179">
            <v>0.25</v>
          </cell>
          <cell r="AH179">
            <v>0.25</v>
          </cell>
          <cell r="AI179">
            <v>0.25</v>
          </cell>
          <cell r="AJ179">
            <v>0.25</v>
          </cell>
          <cell r="AK179">
            <v>0.25</v>
          </cell>
          <cell r="AL179">
            <v>0.25</v>
          </cell>
          <cell r="AM179">
            <v>0.25</v>
          </cell>
          <cell r="AN179">
            <v>0.25</v>
          </cell>
          <cell r="AO179">
            <v>0.25</v>
          </cell>
          <cell r="AP179">
            <v>0.25</v>
          </cell>
          <cell r="AQ179">
            <v>0.25</v>
          </cell>
          <cell r="AR179">
            <v>0.25</v>
          </cell>
          <cell r="AS179">
            <v>0.25</v>
          </cell>
          <cell r="AT179">
            <v>-0.04</v>
          </cell>
          <cell r="AU179">
            <v>0.87</v>
          </cell>
          <cell r="AV179">
            <v>20</v>
          </cell>
          <cell r="AZ179">
            <v>0.25</v>
          </cell>
          <cell r="BA179">
            <v>0.25</v>
          </cell>
        </row>
        <row r="180">
          <cell r="A180" t="str">
            <v>ARREDAM SRL</v>
          </cell>
          <cell r="B180" t="str">
            <v>FRANCESCO SCOLPATI</v>
          </cell>
          <cell r="D180" t="str">
            <v>VIA A. GRANDI 6 A</v>
          </cell>
          <cell r="E180" t="str">
            <v>60131</v>
          </cell>
          <cell r="F180" t="str">
            <v>ANCONA</v>
          </cell>
          <cell r="G180" t="str">
            <v>AN</v>
          </cell>
          <cell r="H180" t="str">
            <v>ITALIA</v>
          </cell>
          <cell r="M180" t="str">
            <v>UFFICIO ACQUISTI</v>
          </cell>
          <cell r="N180" t="str">
            <v>071 2866450</v>
          </cell>
          <cell r="O180" t="str">
            <v>338 1867818</v>
          </cell>
          <cell r="P180" t="str">
            <v>amministrazione@arredam.it</v>
          </cell>
          <cell r="R180" t="str">
            <v>BONIFICO BANCARIO, ALLA DATA DELLA NOSTRA CONFERMA D'ORDINE</v>
          </cell>
          <cell r="X180">
            <v>0.25</v>
          </cell>
          <cell r="Y180">
            <v>-0.04</v>
          </cell>
          <cell r="AB180">
            <v>0.25</v>
          </cell>
          <cell r="AC180">
            <v>0.25</v>
          </cell>
          <cell r="AD180">
            <v>0.25</v>
          </cell>
          <cell r="AE180">
            <v>0.25</v>
          </cell>
          <cell r="AF180">
            <v>0.25</v>
          </cell>
          <cell r="AG180">
            <v>0.25</v>
          </cell>
          <cell r="AH180">
            <v>0.25</v>
          </cell>
          <cell r="AI180">
            <v>0.25</v>
          </cell>
          <cell r="AJ180">
            <v>0.25</v>
          </cell>
          <cell r="AK180">
            <v>0.25</v>
          </cell>
          <cell r="AL180">
            <v>0.25</v>
          </cell>
          <cell r="AM180">
            <v>0.25</v>
          </cell>
          <cell r="AN180">
            <v>0.25</v>
          </cell>
          <cell r="AO180">
            <v>0.25</v>
          </cell>
          <cell r="AP180">
            <v>0.25</v>
          </cell>
          <cell r="AQ180">
            <v>0.25</v>
          </cell>
          <cell r="AR180">
            <v>0.25</v>
          </cell>
          <cell r="AS180">
            <v>0.25</v>
          </cell>
          <cell r="AT180">
            <v>-0.04</v>
          </cell>
          <cell r="AU180">
            <v>0.92</v>
          </cell>
          <cell r="AV180">
            <v>20</v>
          </cell>
          <cell r="AY180" t="str">
            <v/>
          </cell>
          <cell r="AZ180">
            <v>0.25</v>
          </cell>
          <cell r="BA180">
            <v>0.25</v>
          </cell>
        </row>
        <row r="181">
          <cell r="A181" t="str">
            <v>ARREDAMENTI SANI DESIGN</v>
          </cell>
          <cell r="D181" t="str">
            <v>VIA PACINOTTI, 17</v>
          </cell>
          <cell r="E181">
            <v>50053</v>
          </cell>
          <cell r="F181" t="str">
            <v>EMPOLI</v>
          </cell>
          <cell r="G181" t="str">
            <v>FI</v>
          </cell>
          <cell r="H181" t="str">
            <v>ITALIA</v>
          </cell>
          <cell r="M181" t="str">
            <v>UFFICIO ACQUISTI</v>
          </cell>
          <cell r="N181" t="str">
            <v>0571 921096</v>
          </cell>
          <cell r="P181" t="str">
            <v>disani@tin.it</v>
          </cell>
          <cell r="R181" t="str">
            <v>BONIFICO BANCARIO, ALLA DATA DELLA NOSTRA CONFERMA D'ORDINE</v>
          </cell>
          <cell r="X181">
            <v>0.25</v>
          </cell>
          <cell r="Y181">
            <v>-0.04</v>
          </cell>
          <cell r="AB181">
            <v>0.25</v>
          </cell>
          <cell r="AC181">
            <v>0.25</v>
          </cell>
          <cell r="AD181">
            <v>0.25</v>
          </cell>
          <cell r="AE181">
            <v>0.25</v>
          </cell>
          <cell r="AF181">
            <v>0.25</v>
          </cell>
          <cell r="AG181">
            <v>0.25</v>
          </cell>
          <cell r="AH181">
            <v>0.25</v>
          </cell>
          <cell r="AI181">
            <v>0.25</v>
          </cell>
          <cell r="AJ181">
            <v>0.25</v>
          </cell>
          <cell r="AK181">
            <v>0.25</v>
          </cell>
          <cell r="AL181">
            <v>0.25</v>
          </cell>
          <cell r="AM181">
            <v>0.25</v>
          </cell>
          <cell r="AN181">
            <v>0.25</v>
          </cell>
          <cell r="AO181">
            <v>0.25</v>
          </cell>
          <cell r="AP181">
            <v>0.25</v>
          </cell>
          <cell r="AQ181">
            <v>0.25</v>
          </cell>
          <cell r="AR181">
            <v>0.25</v>
          </cell>
          <cell r="AS181">
            <v>0.25</v>
          </cell>
          <cell r="AT181">
            <v>-0.04</v>
          </cell>
          <cell r="AU181">
            <v>0.92</v>
          </cell>
          <cell r="AV181">
            <v>20</v>
          </cell>
          <cell r="AZ181">
            <v>0.25</v>
          </cell>
          <cell r="BA181">
            <v>0.25</v>
          </cell>
        </row>
        <row r="182">
          <cell r="A182" t="str">
            <v>ARREDAMENTI SU MISURA SANTINI CLAUDIO</v>
          </cell>
          <cell r="D182" t="str">
            <v>VIA P. LAURETI, 30</v>
          </cell>
          <cell r="E182" t="str">
            <v>06049</v>
          </cell>
          <cell r="F182" t="str">
            <v>SPOLETO</v>
          </cell>
          <cell r="G182" t="str">
            <v>PG</v>
          </cell>
          <cell r="H182" t="str">
            <v>ITALIA</v>
          </cell>
          <cell r="J182" t="str">
            <v>02244870545</v>
          </cell>
          <cell r="M182" t="str">
            <v>UFFICIO ACQUISTI</v>
          </cell>
          <cell r="N182" t="str">
            <v>0743 43438</v>
          </cell>
          <cell r="P182" t="str">
            <v>santiniclaudio@libero.it</v>
          </cell>
          <cell r="R182" t="str">
            <v>BONIFICO BANCARIO, ALLA DATA DELLA NOSTRA CONFERMA D'ORDINE</v>
          </cell>
          <cell r="Y182">
            <v>-0.04</v>
          </cell>
          <cell r="AT182">
            <v>-0.04</v>
          </cell>
          <cell r="AV182">
            <v>20</v>
          </cell>
          <cell r="AZ182">
            <v>0</v>
          </cell>
          <cell r="BA182">
            <v>0</v>
          </cell>
        </row>
        <row r="183">
          <cell r="A183" t="str">
            <v>ARREDINFISSI007 SRL</v>
          </cell>
          <cell r="B183" t="str">
            <v>AVVISARE PRIMA DI CONSEGNARE     GUARNIZ. SALATA</v>
          </cell>
          <cell r="D183" t="str">
            <v>SANTA CROCE, 180</v>
          </cell>
          <cell r="E183" t="str">
            <v>30135</v>
          </cell>
          <cell r="F183" t="str">
            <v>VENEZIA</v>
          </cell>
          <cell r="G183" t="str">
            <v>VE</v>
          </cell>
          <cell r="H183" t="str">
            <v>ITALIA</v>
          </cell>
          <cell r="I183" t="str">
            <v>04191040270</v>
          </cell>
          <cell r="J183" t="str">
            <v>04191040270</v>
          </cell>
          <cell r="K183" t="str">
            <v>WP7SE2Q</v>
          </cell>
          <cell r="M183" t="str">
            <v>UFFICIO ACQUISTI</v>
          </cell>
          <cell r="N183" t="str">
            <v>041 2759580</v>
          </cell>
          <cell r="O183" t="str">
            <v>Samuel 366 9709362</v>
          </cell>
          <cell r="P183" t="str">
            <v>info@arredinfissi007.it</v>
          </cell>
          <cell r="R183" t="str">
            <v>BONIFICO BANCARIO, ALLA DATA DELLA NOSTRA CONFERMA D'ORDINE</v>
          </cell>
          <cell r="W183" t="str">
            <v>ACQUA SALATA</v>
          </cell>
          <cell r="X183">
            <v>0.25</v>
          </cell>
          <cell r="Y183">
            <v>-0.04</v>
          </cell>
          <cell r="AB183">
            <v>0.25</v>
          </cell>
          <cell r="AC183">
            <v>0.25</v>
          </cell>
          <cell r="AD183">
            <v>0.25</v>
          </cell>
          <cell r="AE183">
            <v>0.25</v>
          </cell>
          <cell r="AF183">
            <v>0.25</v>
          </cell>
          <cell r="AG183">
            <v>0.25</v>
          </cell>
          <cell r="AH183">
            <v>0.25</v>
          </cell>
          <cell r="AI183">
            <v>0.25</v>
          </cell>
          <cell r="AJ183">
            <v>0.25</v>
          </cell>
          <cell r="AK183">
            <v>0.25</v>
          </cell>
          <cell r="AL183">
            <v>0.25</v>
          </cell>
          <cell r="AM183">
            <v>0.25</v>
          </cell>
          <cell r="AN183">
            <v>0.25</v>
          </cell>
          <cell r="AO183">
            <v>0.25</v>
          </cell>
          <cell r="AP183">
            <v>0.25</v>
          </cell>
          <cell r="AQ183">
            <v>0.25</v>
          </cell>
          <cell r="AR183">
            <v>0.25</v>
          </cell>
          <cell r="AS183">
            <v>0.25</v>
          </cell>
          <cell r="AT183">
            <v>-0.04</v>
          </cell>
          <cell r="AU183">
            <v>0.92</v>
          </cell>
          <cell r="AV183">
            <v>20</v>
          </cell>
          <cell r="AY183" t="str">
            <v/>
          </cell>
          <cell r="AZ183">
            <v>0.25</v>
          </cell>
          <cell r="BA183">
            <v>0.25</v>
          </cell>
        </row>
        <row r="184">
          <cell r="A184" t="str">
            <v>ARREDO INIFSSI DI SIGNORELLI IRENE</v>
          </cell>
          <cell r="D184" t="str">
            <v>VIA GRAVINA 10</v>
          </cell>
          <cell r="E184" t="str">
            <v>75100</v>
          </cell>
          <cell r="F184" t="str">
            <v xml:space="preserve">MATERA </v>
          </cell>
          <cell r="G184" t="str">
            <v>MT</v>
          </cell>
          <cell r="H184" t="str">
            <v>ITALIA</v>
          </cell>
          <cell r="J184" t="str">
            <v>01139850778</v>
          </cell>
          <cell r="M184" t="str">
            <v>UFFICIO ACQUISTI</v>
          </cell>
          <cell r="N184" t="str">
            <v>0835 309172</v>
          </cell>
          <cell r="O184" t="str">
            <v>320 0747710</v>
          </cell>
          <cell r="P184" t="str">
            <v>arredoinfissi@libero.it</v>
          </cell>
          <cell r="R184" t="str">
            <v>BONIFICO BANCARIO, ALLA DATA DELLA NOSTRA CONFERMA D'ORDINE</v>
          </cell>
          <cell r="X184">
            <v>0.25</v>
          </cell>
          <cell r="Y184">
            <v>-0.04</v>
          </cell>
          <cell r="AB184">
            <v>0.25</v>
          </cell>
          <cell r="AC184">
            <v>0.25</v>
          </cell>
          <cell r="AD184">
            <v>0.25</v>
          </cell>
          <cell r="AE184">
            <v>0.25</v>
          </cell>
          <cell r="AF184">
            <v>0.25</v>
          </cell>
          <cell r="AG184">
            <v>0.25</v>
          </cell>
          <cell r="AH184">
            <v>0.25</v>
          </cell>
          <cell r="AI184">
            <v>0.25</v>
          </cell>
          <cell r="AJ184">
            <v>0.25</v>
          </cell>
          <cell r="AK184">
            <v>0.25</v>
          </cell>
          <cell r="AL184">
            <v>0.25</v>
          </cell>
          <cell r="AM184">
            <v>0.25</v>
          </cell>
          <cell r="AN184">
            <v>0.25</v>
          </cell>
          <cell r="AO184">
            <v>0.25</v>
          </cell>
          <cell r="AP184">
            <v>0.25</v>
          </cell>
          <cell r="AQ184">
            <v>0.25</v>
          </cell>
          <cell r="AR184">
            <v>0.25</v>
          </cell>
          <cell r="AS184">
            <v>0.25</v>
          </cell>
          <cell r="AT184">
            <v>-0.04</v>
          </cell>
          <cell r="AU184">
            <v>0.92</v>
          </cell>
          <cell r="AV184">
            <v>20</v>
          </cell>
          <cell r="AY184" t="str">
            <v/>
          </cell>
          <cell r="AZ184">
            <v>0.25</v>
          </cell>
          <cell r="BA184">
            <v>0.25</v>
          </cell>
        </row>
        <row r="185">
          <cell r="A185" t="str">
            <v>ARRIGO SCHIEPPATI SAS</v>
          </cell>
          <cell r="B185" t="str">
            <v>ING.ALESSANDRO SCHIEPPATI</v>
          </cell>
          <cell r="D185" t="str">
            <v>VIA GRUMELLO, 55</v>
          </cell>
          <cell r="E185" t="str">
            <v>24127</v>
          </cell>
          <cell r="F185" t="str">
            <v>BERGAMO</v>
          </cell>
          <cell r="G185" t="str">
            <v>BG</v>
          </cell>
          <cell r="H185" t="str">
            <v>ITALIA</v>
          </cell>
          <cell r="J185" t="str">
            <v>00222370165</v>
          </cell>
          <cell r="M185" t="str">
            <v>UFFICIO ACQUISTI</v>
          </cell>
          <cell r="N185" t="str">
            <v>035 254061</v>
          </cell>
          <cell r="O185" t="str">
            <v>338 7292735</v>
          </cell>
          <cell r="P185" t="str">
            <v>schieppatiarrigo@tin.it</v>
          </cell>
          <cell r="R185" t="str">
            <v>BONIFICO BANCARIO, ALLA DATA DELLA NOSTRA CONFERMA D'ORDINE</v>
          </cell>
          <cell r="X185">
            <v>0.2</v>
          </cell>
          <cell r="Y185">
            <v>-0.04</v>
          </cell>
          <cell r="AB185">
            <v>0.2</v>
          </cell>
          <cell r="AC185">
            <v>0.2</v>
          </cell>
          <cell r="AD185">
            <v>0.2</v>
          </cell>
          <cell r="AE185">
            <v>0.2</v>
          </cell>
          <cell r="AF185">
            <v>0.2</v>
          </cell>
          <cell r="AG185">
            <v>0.2</v>
          </cell>
          <cell r="AH185">
            <v>0.2</v>
          </cell>
          <cell r="AI185">
            <v>0.2</v>
          </cell>
          <cell r="AJ185">
            <v>0.2</v>
          </cell>
          <cell r="AK185">
            <v>0.2</v>
          </cell>
          <cell r="AL185">
            <v>0.2</v>
          </cell>
          <cell r="AM185">
            <v>0.2</v>
          </cell>
          <cell r="AN185">
            <v>0.2</v>
          </cell>
          <cell r="AO185">
            <v>0.2</v>
          </cell>
          <cell r="AP185">
            <v>0.2</v>
          </cell>
          <cell r="AQ185">
            <v>0.2</v>
          </cell>
          <cell r="AR185">
            <v>0.2</v>
          </cell>
          <cell r="AS185">
            <v>0.2</v>
          </cell>
          <cell r="AT185">
            <v>-0.04</v>
          </cell>
          <cell r="AU185">
            <v>0.92</v>
          </cell>
          <cell r="AV185">
            <v>20</v>
          </cell>
          <cell r="AZ185">
            <v>0.2</v>
          </cell>
          <cell r="BA185">
            <v>0.2</v>
          </cell>
        </row>
        <row r="186">
          <cell r="A186" t="str">
            <v>ART INFISSI S.N.C. DI MARIO GALANTE E GIUSEPPE BOCHICCHIO</v>
          </cell>
          <cell r="D186" t="str">
            <v>CONTRADA PEDALE DELLA MADONNA</v>
          </cell>
          <cell r="E186" t="str">
            <v>75100</v>
          </cell>
          <cell r="F186" t="str">
            <v xml:space="preserve">MATERA </v>
          </cell>
          <cell r="G186" t="str">
            <v>MT</v>
          </cell>
          <cell r="H186" t="str">
            <v>ITALIA</v>
          </cell>
          <cell r="J186" t="str">
            <v>00639030774</v>
          </cell>
          <cell r="M186" t="str">
            <v>UFFICIO ACQUISTI</v>
          </cell>
          <cell r="N186" t="str">
            <v>0835 389231</v>
          </cell>
          <cell r="O186" t="str">
            <v>348 7315633-348 7315632</v>
          </cell>
          <cell r="P186" t="str">
            <v>artinfissisnc@gmail.com</v>
          </cell>
          <cell r="R186" t="str">
            <v>BONIFICO BANCARIO, ALLA DATA DELLA NOSTRA CONFERMA D'ORDINE</v>
          </cell>
          <cell r="X186">
            <v>0.25</v>
          </cell>
          <cell r="Y186">
            <v>-0.04</v>
          </cell>
          <cell r="AB186">
            <v>0.25</v>
          </cell>
          <cell r="AC186">
            <v>0.25</v>
          </cell>
          <cell r="AD186">
            <v>0.25</v>
          </cell>
          <cell r="AE186">
            <v>0.25</v>
          </cell>
          <cell r="AF186">
            <v>0.25</v>
          </cell>
          <cell r="AG186">
            <v>0.25</v>
          </cell>
          <cell r="AH186">
            <v>0.25</v>
          </cell>
          <cell r="AI186">
            <v>0.25</v>
          </cell>
          <cell r="AJ186">
            <v>0.25</v>
          </cell>
          <cell r="AK186">
            <v>0.25</v>
          </cell>
          <cell r="AL186">
            <v>0.25</v>
          </cell>
          <cell r="AM186">
            <v>0.25</v>
          </cell>
          <cell r="AN186">
            <v>0.25</v>
          </cell>
          <cell r="AO186">
            <v>0.25</v>
          </cell>
          <cell r="AP186">
            <v>0.25</v>
          </cell>
          <cell r="AQ186">
            <v>0.25</v>
          </cell>
          <cell r="AR186">
            <v>0.25</v>
          </cell>
          <cell r="AS186">
            <v>0.25</v>
          </cell>
          <cell r="AT186">
            <v>-0.04</v>
          </cell>
          <cell r="AU186">
            <v>0.92</v>
          </cell>
          <cell r="AV186">
            <v>20</v>
          </cell>
          <cell r="AZ186">
            <v>0.25</v>
          </cell>
          <cell r="BA186">
            <v>0.25</v>
          </cell>
        </row>
        <row r="187">
          <cell r="A187" t="str">
            <v>ART METAL DI MIGALE SRL</v>
          </cell>
          <cell r="D187" t="str">
            <v>VIA SANTA LUCIA, 5</v>
          </cell>
          <cell r="E187" t="str">
            <v>88842</v>
          </cell>
          <cell r="F187" t="str">
            <v>CUTRO</v>
          </cell>
          <cell r="G187" t="str">
            <v>KR</v>
          </cell>
          <cell r="H187" t="str">
            <v>ITALIA</v>
          </cell>
          <cell r="J187" t="str">
            <v>01050990793</v>
          </cell>
          <cell r="M187" t="str">
            <v>UFFICIO ACQUISTI</v>
          </cell>
          <cell r="N187" t="str">
            <v>0962 773641</v>
          </cell>
          <cell r="O187" t="str">
            <v>338 5416523 ANTONIO MIGALE</v>
          </cell>
          <cell r="P187" t="str">
            <v>art_metal@libero.it</v>
          </cell>
          <cell r="R187" t="str">
            <v>BONIFICO BANCARIO, ALLA DATA DELLA NOSTRA CONFERMA D'ORDINE</v>
          </cell>
          <cell r="X187">
            <v>0.25</v>
          </cell>
          <cell r="Y187">
            <v>-0.04</v>
          </cell>
          <cell r="AB187">
            <v>0.25</v>
          </cell>
          <cell r="AC187">
            <v>0.25</v>
          </cell>
          <cell r="AD187">
            <v>0.25</v>
          </cell>
          <cell r="AE187">
            <v>0.25</v>
          </cell>
          <cell r="AF187">
            <v>0.25</v>
          </cell>
          <cell r="AG187">
            <v>0.25</v>
          </cell>
          <cell r="AH187">
            <v>0.25</v>
          </cell>
          <cell r="AI187">
            <v>0.25</v>
          </cell>
          <cell r="AJ187">
            <v>0.25</v>
          </cell>
          <cell r="AK187">
            <v>0.25</v>
          </cell>
          <cell r="AL187">
            <v>0.25</v>
          </cell>
          <cell r="AM187">
            <v>0.25</v>
          </cell>
          <cell r="AN187">
            <v>0.25</v>
          </cell>
          <cell r="AO187">
            <v>0.25</v>
          </cell>
          <cell r="AP187">
            <v>0.25</v>
          </cell>
          <cell r="AQ187">
            <v>0.25</v>
          </cell>
          <cell r="AR187">
            <v>0.25</v>
          </cell>
          <cell r="AS187">
            <v>0.25</v>
          </cell>
          <cell r="AT187">
            <v>-0.04</v>
          </cell>
          <cell r="AU187">
            <v>0.92</v>
          </cell>
          <cell r="AV187">
            <v>20</v>
          </cell>
          <cell r="AW187" t="str">
            <v>PIETRO OLIVADOTI</v>
          </cell>
          <cell r="AX187">
            <v>0.95</v>
          </cell>
          <cell r="AZ187">
            <v>0.25</v>
          </cell>
          <cell r="BA187">
            <v>0.25</v>
          </cell>
        </row>
        <row r="188">
          <cell r="A188" t="str">
            <v>ART SERRAMENTI</v>
          </cell>
          <cell r="B188" t="str">
            <v>CAMPIONE 30%  NO CARPENTERIA GRATUITA + VOLANTINI</v>
          </cell>
          <cell r="D188" t="str">
            <v>VIA A.LAMARMORA, 4</v>
          </cell>
          <cell r="E188">
            <v>20013</v>
          </cell>
          <cell r="F188" t="str">
            <v>MAGENTA</v>
          </cell>
          <cell r="G188" t="str">
            <v>MI</v>
          </cell>
          <cell r="H188" t="str">
            <v>ITALIA</v>
          </cell>
          <cell r="I188" t="str">
            <v>RNXDRT67L29Z100V</v>
          </cell>
          <cell r="J188" t="str">
            <v>08467930965</v>
          </cell>
          <cell r="M188" t="str">
            <v>UFFICIO ACQUISTI</v>
          </cell>
          <cell r="O188">
            <v>3280039733</v>
          </cell>
          <cell r="P188" t="str">
            <v>eduartranxha@gmail.com</v>
          </cell>
          <cell r="R188" t="str">
            <v>BONIFICO BANCARIO, ALLA DATA DELLA NOSTRA CONFERMA D'ORDINE</v>
          </cell>
          <cell r="X188">
            <v>0.25</v>
          </cell>
          <cell r="Y188">
            <v>-0.04</v>
          </cell>
          <cell r="AB188">
            <v>0.25</v>
          </cell>
          <cell r="AC188">
            <v>0.25</v>
          </cell>
          <cell r="AD188">
            <v>0.25</v>
          </cell>
          <cell r="AE188">
            <v>0.25</v>
          </cell>
          <cell r="AF188">
            <v>0.25</v>
          </cell>
          <cell r="AG188">
            <v>0.25</v>
          </cell>
          <cell r="AH188">
            <v>0.25</v>
          </cell>
          <cell r="AI188">
            <v>0.25</v>
          </cell>
          <cell r="AJ188">
            <v>0.25</v>
          </cell>
          <cell r="AK188">
            <v>0.25</v>
          </cell>
          <cell r="AL188">
            <v>0.25</v>
          </cell>
          <cell r="AM188">
            <v>0.25</v>
          </cell>
          <cell r="AN188">
            <v>0.25</v>
          </cell>
          <cell r="AO188">
            <v>0.25</v>
          </cell>
          <cell r="AP188">
            <v>0.25</v>
          </cell>
          <cell r="AQ188">
            <v>0.25</v>
          </cell>
          <cell r="AR188">
            <v>0.25</v>
          </cell>
          <cell r="AS188">
            <v>0.25</v>
          </cell>
          <cell r="AT188">
            <v>-0.04</v>
          </cell>
          <cell r="AU188">
            <v>0.92</v>
          </cell>
          <cell r="AV188">
            <v>20</v>
          </cell>
          <cell r="AY188" t="str">
            <v/>
          </cell>
          <cell r="AZ188">
            <v>0.25</v>
          </cell>
          <cell r="BA188">
            <v>0.25</v>
          </cell>
        </row>
        <row r="189">
          <cell r="A189" t="str">
            <v>ARTAL SERRAMENTI DI PERETTO MASSIMO</v>
          </cell>
          <cell r="D189" t="str">
            <v>VIA A.DIAZ 28</v>
          </cell>
          <cell r="F189" t="str">
            <v>CARIGNANO</v>
          </cell>
          <cell r="G189" t="str">
            <v>TO</v>
          </cell>
          <cell r="H189" t="str">
            <v>ITALIA</v>
          </cell>
          <cell r="M189" t="str">
            <v>UFFICIO ACQUISTI</v>
          </cell>
          <cell r="N189" t="str">
            <v>011 9690554</v>
          </cell>
          <cell r="O189" t="str">
            <v>334 7118819</v>
          </cell>
          <cell r="R189" t="str">
            <v>BONIFICO BANCARIO, ALLA DATA DELLA NOSTRA CONFERMA D'ORDINE</v>
          </cell>
          <cell r="X189">
            <v>0.25</v>
          </cell>
          <cell r="Y189">
            <v>-0.04</v>
          </cell>
          <cell r="AB189">
            <v>0.25</v>
          </cell>
          <cell r="AC189">
            <v>0.25</v>
          </cell>
          <cell r="AD189">
            <v>0.25</v>
          </cell>
          <cell r="AE189">
            <v>0.25</v>
          </cell>
          <cell r="AF189">
            <v>0.25</v>
          </cell>
          <cell r="AG189">
            <v>0.25</v>
          </cell>
          <cell r="AH189">
            <v>0.25</v>
          </cell>
          <cell r="AI189">
            <v>0.25</v>
          </cell>
          <cell r="AJ189">
            <v>0.25</v>
          </cell>
          <cell r="AK189">
            <v>0.25</v>
          </cell>
          <cell r="AL189">
            <v>0.25</v>
          </cell>
          <cell r="AM189">
            <v>0.25</v>
          </cell>
          <cell r="AN189">
            <v>0.25</v>
          </cell>
          <cell r="AO189">
            <v>0.25</v>
          </cell>
          <cell r="AP189">
            <v>0.25</v>
          </cell>
          <cell r="AQ189">
            <v>0.25</v>
          </cell>
          <cell r="AR189">
            <v>0.25</v>
          </cell>
          <cell r="AS189">
            <v>0.25</v>
          </cell>
          <cell r="AT189">
            <v>-0.04</v>
          </cell>
          <cell r="AU189">
            <v>0.92</v>
          </cell>
          <cell r="AV189">
            <v>20</v>
          </cell>
          <cell r="AY189" t="str">
            <v/>
          </cell>
          <cell r="AZ189">
            <v>0.25</v>
          </cell>
          <cell r="BA189">
            <v>0.25</v>
          </cell>
        </row>
        <row r="190">
          <cell r="A190" t="str">
            <v>ARTE DEL COSTRUIRE</v>
          </cell>
          <cell r="B190" t="str">
            <v>info@artedelcostruire.it (NON VUOLE RICEVERE MAIL)</v>
          </cell>
          <cell r="D190" t="str">
            <v>LOCALITA' CONDEMINE, 15</v>
          </cell>
          <cell r="E190" t="str">
            <v>11100</v>
          </cell>
          <cell r="F190" t="str">
            <v>AOSTA</v>
          </cell>
          <cell r="G190" t="str">
            <v>AO</v>
          </cell>
          <cell r="H190" t="str">
            <v>ITALIA</v>
          </cell>
          <cell r="I190" t="str">
            <v>01178740070</v>
          </cell>
          <cell r="J190" t="str">
            <v>01178740070</v>
          </cell>
          <cell r="M190" t="str">
            <v>UFFICIO ACQUISTI</v>
          </cell>
          <cell r="N190" t="str">
            <v>0165 551427</v>
          </cell>
          <cell r="O190" t="str">
            <v>Erik 328 0531267</v>
          </cell>
          <cell r="R190" t="str">
            <v>BONIFICO BANCARIO, ALLA DATA DELLA NOSTRA CONFERMA D'ORDINE</v>
          </cell>
          <cell r="X190">
            <v>0.25</v>
          </cell>
          <cell r="Y190">
            <v>-0.04</v>
          </cell>
          <cell r="AB190">
            <v>0.25</v>
          </cell>
          <cell r="AC190">
            <v>0.25</v>
          </cell>
          <cell r="AD190">
            <v>0.25</v>
          </cell>
          <cell r="AE190">
            <v>0.25</v>
          </cell>
          <cell r="AF190">
            <v>0.25</v>
          </cell>
          <cell r="AG190">
            <v>0.25</v>
          </cell>
          <cell r="AH190">
            <v>0.25</v>
          </cell>
          <cell r="AI190">
            <v>0.25</v>
          </cell>
          <cell r="AJ190">
            <v>0.25</v>
          </cell>
          <cell r="AK190">
            <v>0.25</v>
          </cell>
          <cell r="AL190">
            <v>0.25</v>
          </cell>
          <cell r="AM190">
            <v>0.25</v>
          </cell>
          <cell r="AN190">
            <v>0.25</v>
          </cell>
          <cell r="AO190">
            <v>0.25</v>
          </cell>
          <cell r="AP190">
            <v>0.25</v>
          </cell>
          <cell r="AQ190">
            <v>0.25</v>
          </cell>
          <cell r="AR190">
            <v>0.25</v>
          </cell>
          <cell r="AS190">
            <v>0.25</v>
          </cell>
          <cell r="AT190">
            <v>-0.04</v>
          </cell>
          <cell r="AU190">
            <v>0.92</v>
          </cell>
          <cell r="AV190">
            <v>20</v>
          </cell>
          <cell r="AZ190">
            <v>0.25</v>
          </cell>
          <cell r="BA190">
            <v>0.25</v>
          </cell>
        </row>
        <row r="191">
          <cell r="A191" t="str">
            <v>ARTE DOMUS DI BOZZA NICOLA (PARASYSTEM)</v>
          </cell>
          <cell r="D191" t="str">
            <v>VIA TRIPOLI 15</v>
          </cell>
          <cell r="E191" t="str">
            <v xml:space="preserve">10026 </v>
          </cell>
          <cell r="F191" t="str">
            <v>SANTENA</v>
          </cell>
          <cell r="G191" t="str">
            <v>TO</v>
          </cell>
          <cell r="H191" t="str">
            <v>ITALIA</v>
          </cell>
          <cell r="J191" t="str">
            <v>11919880010</v>
          </cell>
          <cell r="M191" t="str">
            <v>UFFICIO ACQUISTI</v>
          </cell>
          <cell r="O191" t="str">
            <v>340 2655771</v>
          </cell>
          <cell r="R191" t="str">
            <v>BONIFICO BANCARIO, ALLA DATA DELLA NOSTRA CONFERMA D'ORDINE</v>
          </cell>
          <cell r="X191">
            <v>0.25</v>
          </cell>
          <cell r="Y191">
            <v>-0.04</v>
          </cell>
          <cell r="AB191">
            <v>0.25</v>
          </cell>
          <cell r="AC191">
            <v>0.25</v>
          </cell>
          <cell r="AD191">
            <v>0.25</v>
          </cell>
          <cell r="AE191">
            <v>0.25</v>
          </cell>
          <cell r="AF191">
            <v>0.25</v>
          </cell>
          <cell r="AG191">
            <v>0.25</v>
          </cell>
          <cell r="AH191">
            <v>0.25</v>
          </cell>
          <cell r="AI191">
            <v>0.25</v>
          </cell>
          <cell r="AJ191">
            <v>0.25</v>
          </cell>
          <cell r="AK191">
            <v>0.25</v>
          </cell>
          <cell r="AL191">
            <v>0.25</v>
          </cell>
          <cell r="AM191">
            <v>0.25</v>
          </cell>
          <cell r="AN191">
            <v>0.25</v>
          </cell>
          <cell r="AO191">
            <v>0.25</v>
          </cell>
          <cell r="AP191">
            <v>0.25</v>
          </cell>
          <cell r="AQ191">
            <v>0.25</v>
          </cell>
          <cell r="AR191">
            <v>0.25</v>
          </cell>
          <cell r="AS191">
            <v>0.25</v>
          </cell>
          <cell r="AT191">
            <v>-0.04</v>
          </cell>
          <cell r="AU191">
            <v>0.92</v>
          </cell>
          <cell r="AV191">
            <v>20</v>
          </cell>
          <cell r="AY191" t="str">
            <v/>
          </cell>
          <cell r="AZ191">
            <v>0.25</v>
          </cell>
          <cell r="BA191">
            <v>0.25</v>
          </cell>
        </row>
        <row r="192">
          <cell r="A192" t="str">
            <v>ARTEDIL DI TOSTI ALESSANDRO</v>
          </cell>
          <cell r="D192" t="str">
            <v>PIAZZA DELLA REPUBBLICA, 18</v>
          </cell>
          <cell r="E192" t="str">
            <v>01030</v>
          </cell>
          <cell r="F192" t="str">
            <v>VALLERANO</v>
          </cell>
          <cell r="G192" t="str">
            <v>VT</v>
          </cell>
          <cell r="H192" t="str">
            <v>ITALIA</v>
          </cell>
          <cell r="I192" t="str">
            <v>TSTLSN76L23M082O</v>
          </cell>
          <cell r="J192" t="str">
            <v>01805840566</v>
          </cell>
          <cell r="K192" t="str">
            <v>M5UXCR1</v>
          </cell>
          <cell r="L192" t="str">
            <v>VIA BRUNESCA, 16 - FOLIGNO (PG) 06034</v>
          </cell>
          <cell r="M192" t="str">
            <v>UFFICIO ACQUISTI</v>
          </cell>
          <cell r="N192" t="str">
            <v>0761 753715</v>
          </cell>
          <cell r="P192" t="str">
            <v>artedilditosti@gmail.com</v>
          </cell>
          <cell r="R192" t="str">
            <v>BONIFICO BANCARIO, ALLA DATA DELLA NOSTRA CONFERMA D'ORDINE</v>
          </cell>
          <cell r="X192">
            <v>0</v>
          </cell>
          <cell r="Y192">
            <v>-0.04</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-0.04</v>
          </cell>
          <cell r="AU192">
            <v>0.92</v>
          </cell>
          <cell r="AV192">
            <v>20</v>
          </cell>
          <cell r="AZ192">
            <v>0</v>
          </cell>
          <cell r="BA192">
            <v>0</v>
          </cell>
        </row>
        <row r="193">
          <cell r="A193" t="str">
            <v>ARTEFERRO SNC</v>
          </cell>
          <cell r="D193" t="str">
            <v>VIA ETRURIA, 13</v>
          </cell>
          <cell r="E193">
            <v>56021</v>
          </cell>
          <cell r="F193" t="str">
            <v>CASCINA</v>
          </cell>
          <cell r="G193" t="str">
            <v>PI</v>
          </cell>
          <cell r="H193" t="str">
            <v>ITALIA</v>
          </cell>
          <cell r="I193" t="str">
            <v>01526840507</v>
          </cell>
          <cell r="J193" t="str">
            <v>01526840507</v>
          </cell>
          <cell r="M193" t="str">
            <v>UFFICIO ACQUISTI</v>
          </cell>
          <cell r="N193" t="str">
            <v>050 702246</v>
          </cell>
          <cell r="P193" t="str">
            <v>arteferro99@icloud.com</v>
          </cell>
          <cell r="R193" t="str">
            <v>BONIFICO BANCARIO, ALLA DATA DELLA NOSTRA CONFERMA D'ORDINE</v>
          </cell>
          <cell r="X193">
            <v>0.25</v>
          </cell>
          <cell r="Y193">
            <v>-0.04</v>
          </cell>
          <cell r="AB193">
            <v>0.25</v>
          </cell>
          <cell r="AC193">
            <v>0.25</v>
          </cell>
          <cell r="AD193">
            <v>0.25</v>
          </cell>
          <cell r="AE193">
            <v>0.25</v>
          </cell>
          <cell r="AF193">
            <v>0.25</v>
          </cell>
          <cell r="AG193">
            <v>0.25</v>
          </cell>
          <cell r="AH193">
            <v>0.25</v>
          </cell>
          <cell r="AI193">
            <v>0.25</v>
          </cell>
          <cell r="AJ193">
            <v>0.25</v>
          </cell>
          <cell r="AK193">
            <v>0.25</v>
          </cell>
          <cell r="AL193">
            <v>0.25</v>
          </cell>
          <cell r="AM193">
            <v>0.25</v>
          </cell>
          <cell r="AN193">
            <v>0.25</v>
          </cell>
          <cell r="AO193">
            <v>0.25</v>
          </cell>
          <cell r="AP193">
            <v>0.25</v>
          </cell>
          <cell r="AQ193">
            <v>0.25</v>
          </cell>
          <cell r="AR193">
            <v>0.25</v>
          </cell>
          <cell r="AS193">
            <v>0.25</v>
          </cell>
          <cell r="AT193">
            <v>-0.04</v>
          </cell>
          <cell r="AU193">
            <v>0.92</v>
          </cell>
          <cell r="AV193">
            <v>20</v>
          </cell>
          <cell r="AZ193">
            <v>0.25</v>
          </cell>
          <cell r="BA193">
            <v>0.25</v>
          </cell>
        </row>
        <row r="194">
          <cell r="A194" t="str">
            <v>ARTEINFISSI SRL</v>
          </cell>
          <cell r="B194" t="str">
            <v>LARISSA  CARLO CHIERAGATTI LASCIATO LISTINO SENZA SCONTO</v>
          </cell>
          <cell r="D194" t="str">
            <v>VIA NAZIONALE 50/D</v>
          </cell>
          <cell r="E194" t="str">
            <v>45030</v>
          </cell>
          <cell r="F194" t="str">
            <v>OCCHIOBELLO</v>
          </cell>
          <cell r="G194" t="str">
            <v>RO</v>
          </cell>
          <cell r="H194" t="str">
            <v>ITALIA</v>
          </cell>
          <cell r="J194" t="str">
            <v>01317430294</v>
          </cell>
          <cell r="M194" t="str">
            <v>UFFICIO ACQUISTI</v>
          </cell>
          <cell r="N194" t="str">
            <v>0425 762447</v>
          </cell>
          <cell r="O194" t="str">
            <v>339 3885786</v>
          </cell>
          <cell r="P194" t="str">
            <v>arteinfissi11@gmail.com</v>
          </cell>
          <cell r="R194" t="str">
            <v>BONIFICO BANCARIO, ALLA DATA DELLA NOSTRA CONFERMA D'ORDINE</v>
          </cell>
          <cell r="X194">
            <v>0.25</v>
          </cell>
          <cell r="Y194">
            <v>-0.04</v>
          </cell>
          <cell r="AB194">
            <v>0.25</v>
          </cell>
          <cell r="AC194">
            <v>0.25</v>
          </cell>
          <cell r="AD194">
            <v>0.25</v>
          </cell>
          <cell r="AE194">
            <v>0.25</v>
          </cell>
          <cell r="AF194">
            <v>0.25</v>
          </cell>
          <cell r="AG194">
            <v>0.25</v>
          </cell>
          <cell r="AH194">
            <v>0.25</v>
          </cell>
          <cell r="AI194">
            <v>0.25</v>
          </cell>
          <cell r="AJ194">
            <v>0.25</v>
          </cell>
          <cell r="AK194">
            <v>0.25</v>
          </cell>
          <cell r="AL194">
            <v>0.25</v>
          </cell>
          <cell r="AM194">
            <v>0.25</v>
          </cell>
          <cell r="AN194">
            <v>0.25</v>
          </cell>
          <cell r="AO194">
            <v>0.25</v>
          </cell>
          <cell r="AP194">
            <v>0.25</v>
          </cell>
          <cell r="AQ194">
            <v>0.25</v>
          </cell>
          <cell r="AR194">
            <v>0.25</v>
          </cell>
          <cell r="AS194">
            <v>0.25</v>
          </cell>
          <cell r="AT194">
            <v>-0.04</v>
          </cell>
          <cell r="AU194">
            <v>0.92</v>
          </cell>
          <cell r="AV194">
            <v>20</v>
          </cell>
          <cell r="AY194" t="str">
            <v/>
          </cell>
          <cell r="AZ194">
            <v>0.25</v>
          </cell>
          <cell r="BA194">
            <v>0.25</v>
          </cell>
        </row>
        <row r="195">
          <cell r="A195" t="str">
            <v>ARTIGIANA AGRIGENTINA</v>
          </cell>
          <cell r="B195" t="str">
            <v>CAMPIONE SCONTO 30%, CARPENTERIA GRATUITA. INTERESSATO</v>
          </cell>
          <cell r="D195" t="str">
            <v>SS 189 CONTRADA SAN BENEDETTO</v>
          </cell>
          <cell r="F195" t="str">
            <v>AGRIGENTO</v>
          </cell>
          <cell r="G195" t="str">
            <v>AG</v>
          </cell>
          <cell r="H195" t="str">
            <v>ITALIA</v>
          </cell>
          <cell r="J195" t="str">
            <v>01576320848</v>
          </cell>
          <cell r="M195" t="str">
            <v>UFFICIO ACQUISTI</v>
          </cell>
          <cell r="N195" t="str">
            <v>0922 591253</v>
          </cell>
          <cell r="P195" t="str">
            <v>artigiana.agrigentina@hotmail.com</v>
          </cell>
          <cell r="R195" t="str">
            <v>BONIFICO BANCARIO, ALLA DATA DELLA NOSTRA CONFERMA D'ORDINE</v>
          </cell>
          <cell r="X195">
            <v>0.25</v>
          </cell>
          <cell r="Y195">
            <v>-0.04</v>
          </cell>
          <cell r="AB195">
            <v>0.25</v>
          </cell>
          <cell r="AC195">
            <v>0.25</v>
          </cell>
          <cell r="AD195">
            <v>0.25</v>
          </cell>
          <cell r="AE195">
            <v>0.25</v>
          </cell>
          <cell r="AF195">
            <v>0.25</v>
          </cell>
          <cell r="AG195">
            <v>0.25</v>
          </cell>
          <cell r="AH195">
            <v>0.25</v>
          </cell>
          <cell r="AI195">
            <v>0.25</v>
          </cell>
          <cell r="AJ195">
            <v>0.25</v>
          </cell>
          <cell r="AK195">
            <v>0.25</v>
          </cell>
          <cell r="AL195">
            <v>0.25</v>
          </cell>
          <cell r="AM195">
            <v>0.25</v>
          </cell>
          <cell r="AN195">
            <v>0.25</v>
          </cell>
          <cell r="AO195">
            <v>0.25</v>
          </cell>
          <cell r="AP195">
            <v>0.25</v>
          </cell>
          <cell r="AQ195">
            <v>0.25</v>
          </cell>
          <cell r="AR195">
            <v>0.25</v>
          </cell>
          <cell r="AS195">
            <v>0.25</v>
          </cell>
          <cell r="AT195">
            <v>-0.04</v>
          </cell>
          <cell r="AU195">
            <v>0.92</v>
          </cell>
          <cell r="AV195">
            <v>20</v>
          </cell>
          <cell r="AY195" t="str">
            <v/>
          </cell>
          <cell r="AZ195">
            <v>0.25</v>
          </cell>
          <cell r="BA195">
            <v>0.25</v>
          </cell>
        </row>
        <row r="196">
          <cell r="A196" t="str">
            <v>ARTIGIANA INFISSI DI AGUS MARIA GRAZIA</v>
          </cell>
          <cell r="B196" t="str">
            <v>SOLO BIGLIETTO DA VISITA</v>
          </cell>
          <cell r="D196" t="str">
            <v>VIA VERDI, 10 Z.I.</v>
          </cell>
          <cell r="E196" t="str">
            <v>09040</v>
          </cell>
          <cell r="F196" t="str">
            <v>MARACALAGONIS</v>
          </cell>
          <cell r="G196" t="str">
            <v>CA</v>
          </cell>
          <cell r="H196" t="str">
            <v>ITALIA</v>
          </cell>
          <cell r="M196" t="str">
            <v>UFFICIO ACQUISTI</v>
          </cell>
          <cell r="O196" t="str">
            <v>368 555151   393 8190752</v>
          </cell>
          <cell r="P196" t="str">
            <v>artigianainfissi.preventivi@gmail.com</v>
          </cell>
          <cell r="R196" t="str">
            <v>BONIFICO BANCARIO, ALLA DATA DELLA NOSTRA CONFERMA D'ORDINE</v>
          </cell>
          <cell r="X196">
            <v>0.25</v>
          </cell>
          <cell r="Y196">
            <v>-0.04</v>
          </cell>
          <cell r="AB196">
            <v>0.25</v>
          </cell>
          <cell r="AC196">
            <v>0.25</v>
          </cell>
          <cell r="AD196">
            <v>0.25</v>
          </cell>
          <cell r="AE196">
            <v>0.25</v>
          </cell>
          <cell r="AF196">
            <v>0.25</v>
          </cell>
          <cell r="AG196">
            <v>0.25</v>
          </cell>
          <cell r="AH196">
            <v>0.25</v>
          </cell>
          <cell r="AI196">
            <v>0.25</v>
          </cell>
          <cell r="AJ196">
            <v>0.25</v>
          </cell>
          <cell r="AK196">
            <v>0.25</v>
          </cell>
          <cell r="AL196">
            <v>0.25</v>
          </cell>
          <cell r="AM196">
            <v>0.25</v>
          </cell>
          <cell r="AN196">
            <v>0.25</v>
          </cell>
          <cell r="AO196">
            <v>0.25</v>
          </cell>
          <cell r="AP196">
            <v>0.25</v>
          </cell>
          <cell r="AQ196">
            <v>0.25</v>
          </cell>
          <cell r="AR196">
            <v>0.25</v>
          </cell>
          <cell r="AS196">
            <v>0.25</v>
          </cell>
          <cell r="AT196">
            <v>-0.04</v>
          </cell>
          <cell r="AU196">
            <v>0.92</v>
          </cell>
          <cell r="AV196">
            <v>20</v>
          </cell>
          <cell r="AZ196">
            <v>0.25</v>
          </cell>
          <cell r="BA196">
            <v>0.25</v>
          </cell>
        </row>
        <row r="197">
          <cell r="A197" t="str">
            <v>ARTIGIANA SERRAMENTI</v>
          </cell>
          <cell r="D197" t="str">
            <v>VIA E.S.RECAGNO, 15</v>
          </cell>
          <cell r="E197">
            <v>16016</v>
          </cell>
          <cell r="F197" t="str">
            <v>COGOLETO</v>
          </cell>
          <cell r="G197" t="str">
            <v>GE</v>
          </cell>
          <cell r="H197" t="str">
            <v>ITALIA</v>
          </cell>
          <cell r="J197" t="str">
            <v>02200400105</v>
          </cell>
          <cell r="K197" t="str">
            <v>W7YVJK9</v>
          </cell>
          <cell r="M197" t="str">
            <v>UFFICIO ACQUISTI</v>
          </cell>
          <cell r="N197" t="str">
            <v>010 9183251</v>
          </cell>
          <cell r="O197" t="str">
            <v>347 7127997</v>
          </cell>
          <cell r="P197" t="str">
            <v>artigianaserramenticogoleto@gmail.com</v>
          </cell>
          <cell r="R197" t="str">
            <v>BONIFICO BANCARIO, ALLA DATA DELLA NOSTRA CONFERMA D'ORDINE</v>
          </cell>
          <cell r="X197">
            <v>0.25</v>
          </cell>
          <cell r="Y197">
            <v>-0.04</v>
          </cell>
          <cell r="AB197">
            <v>0.25</v>
          </cell>
          <cell r="AC197">
            <v>0.25</v>
          </cell>
          <cell r="AD197">
            <v>0.25</v>
          </cell>
          <cell r="AE197">
            <v>0.25</v>
          </cell>
          <cell r="AF197">
            <v>0.25</v>
          </cell>
          <cell r="AG197">
            <v>0.25</v>
          </cell>
          <cell r="AH197">
            <v>0.25</v>
          </cell>
          <cell r="AI197">
            <v>0.25</v>
          </cell>
          <cell r="AJ197">
            <v>0.25</v>
          </cell>
          <cell r="AK197">
            <v>0.25</v>
          </cell>
          <cell r="AL197">
            <v>0.25</v>
          </cell>
          <cell r="AM197">
            <v>0.25</v>
          </cell>
          <cell r="AN197">
            <v>0.25</v>
          </cell>
          <cell r="AO197">
            <v>0.25</v>
          </cell>
          <cell r="AP197">
            <v>0.25</v>
          </cell>
          <cell r="AQ197">
            <v>0.25</v>
          </cell>
          <cell r="AR197">
            <v>0.25</v>
          </cell>
          <cell r="AS197">
            <v>0.25</v>
          </cell>
          <cell r="AT197">
            <v>-0.04</v>
          </cell>
          <cell r="AU197">
            <v>0.92</v>
          </cell>
          <cell r="AV197">
            <v>20</v>
          </cell>
          <cell r="AY197" t="str">
            <v/>
          </cell>
          <cell r="AZ197">
            <v>0.25</v>
          </cell>
          <cell r="BA197">
            <v>0.25</v>
          </cell>
          <cell r="BF197" t="str">
            <v>CLICK RAPID con carpenteria 18/11/2020</v>
          </cell>
        </row>
        <row r="198">
          <cell r="A198" t="str">
            <v>ARTIGIANA SERRAMENTI DI VIANELLO MASSIMILIANO</v>
          </cell>
          <cell r="D198" t="str">
            <v>VIA DELLE INDUSTRIE 130/132</v>
          </cell>
          <cell r="E198" t="str">
            <v>30020</v>
          </cell>
          <cell r="F198" t="str">
            <v>MARCON</v>
          </cell>
          <cell r="G198" t="str">
            <v>VE</v>
          </cell>
          <cell r="H198" t="str">
            <v>ITALIA</v>
          </cell>
          <cell r="J198" t="str">
            <v>04393830270</v>
          </cell>
          <cell r="M198" t="str">
            <v>UFFICIO ACQUISTI</v>
          </cell>
          <cell r="N198" t="str">
            <v>041 5952178</v>
          </cell>
          <cell r="P198" t="str">
            <v>info@artigiana-serramenti.com</v>
          </cell>
          <cell r="R198" t="str">
            <v>BONIFICO BANCARIO, ALLA DATA DELLA NOSTRA CONFERMA D'ORDINE</v>
          </cell>
          <cell r="X198">
            <v>0.25</v>
          </cell>
          <cell r="Y198">
            <v>-0.04</v>
          </cell>
          <cell r="AB198">
            <v>0.25</v>
          </cell>
          <cell r="AC198">
            <v>0.25</v>
          </cell>
          <cell r="AD198">
            <v>0.25</v>
          </cell>
          <cell r="AE198">
            <v>0.25</v>
          </cell>
          <cell r="AF198">
            <v>0.25</v>
          </cell>
          <cell r="AG198">
            <v>0.25</v>
          </cell>
          <cell r="AH198">
            <v>0.25</v>
          </cell>
          <cell r="AI198">
            <v>0.25</v>
          </cell>
          <cell r="AJ198">
            <v>0.25</v>
          </cell>
          <cell r="AK198">
            <v>0.25</v>
          </cell>
          <cell r="AL198">
            <v>0.25</v>
          </cell>
          <cell r="AM198">
            <v>0.25</v>
          </cell>
          <cell r="AN198">
            <v>0.25</v>
          </cell>
          <cell r="AO198">
            <v>0.25</v>
          </cell>
          <cell r="AP198">
            <v>0.25</v>
          </cell>
          <cell r="AQ198">
            <v>0.25</v>
          </cell>
          <cell r="AR198">
            <v>0.25</v>
          </cell>
          <cell r="AS198">
            <v>0.25</v>
          </cell>
          <cell r="AT198">
            <v>-0.04</v>
          </cell>
          <cell r="AU198">
            <v>0.92</v>
          </cell>
          <cell r="AV198">
            <v>20</v>
          </cell>
          <cell r="AY198" t="str">
            <v/>
          </cell>
          <cell r="AZ198">
            <v>0.25</v>
          </cell>
          <cell r="BA198">
            <v>0.25</v>
          </cell>
        </row>
        <row r="199">
          <cell r="A199" t="str">
            <v>ARTIGIANA SERRAMENTI SNC</v>
          </cell>
          <cell r="D199" t="str">
            <v>VIA E.S. RECAGNO, 15</v>
          </cell>
          <cell r="E199" t="str">
            <v>16016</v>
          </cell>
          <cell r="F199" t="str">
            <v>COGOLETO</v>
          </cell>
          <cell r="G199" t="str">
            <v>GE</v>
          </cell>
          <cell r="H199" t="str">
            <v>ITALIA</v>
          </cell>
          <cell r="J199" t="str">
            <v>02200400105</v>
          </cell>
          <cell r="K199" t="str">
            <v>W7YVJK9</v>
          </cell>
          <cell r="M199" t="str">
            <v>UFFICIO ACQUISTI</v>
          </cell>
          <cell r="N199" t="str">
            <v>0109 183251</v>
          </cell>
          <cell r="O199" t="str">
            <v>347 7127997</v>
          </cell>
          <cell r="P199" t="str">
            <v>artigianaserramenticogoleto@gmail.com</v>
          </cell>
          <cell r="R199" t="str">
            <v>BONIFICO BANCARIO, ALLA DATA DELLA NOSTRA CONFERMA D'ORDINE</v>
          </cell>
          <cell r="X199">
            <v>0.25</v>
          </cell>
          <cell r="Y199">
            <v>-0.04</v>
          </cell>
          <cell r="AB199">
            <v>0.25</v>
          </cell>
          <cell r="AC199">
            <v>0.25</v>
          </cell>
          <cell r="AD199">
            <v>0.25</v>
          </cell>
          <cell r="AE199">
            <v>0.25</v>
          </cell>
          <cell r="AF199">
            <v>0.25</v>
          </cell>
          <cell r="AG199">
            <v>0.25</v>
          </cell>
          <cell r="AH199">
            <v>0.25</v>
          </cell>
          <cell r="AI199">
            <v>0.25</v>
          </cell>
          <cell r="AJ199">
            <v>0.25</v>
          </cell>
          <cell r="AK199">
            <v>0.25</v>
          </cell>
          <cell r="AL199">
            <v>0.25</v>
          </cell>
          <cell r="AM199">
            <v>0.25</v>
          </cell>
          <cell r="AN199">
            <v>0.25</v>
          </cell>
          <cell r="AO199">
            <v>0.25</v>
          </cell>
          <cell r="AP199">
            <v>0.25</v>
          </cell>
          <cell r="AQ199">
            <v>0.25</v>
          </cell>
          <cell r="AR199">
            <v>0.25</v>
          </cell>
          <cell r="AS199">
            <v>0.25</v>
          </cell>
          <cell r="AT199">
            <v>-0.04</v>
          </cell>
          <cell r="AU199">
            <v>0.92</v>
          </cell>
          <cell r="AV199">
            <v>20</v>
          </cell>
          <cell r="AZ199">
            <v>0.25</v>
          </cell>
          <cell r="BA199">
            <v>0.25</v>
          </cell>
        </row>
        <row r="200">
          <cell r="A200" t="str">
            <v>ARTIGIANO SERRAMENTI</v>
          </cell>
          <cell r="B200" t="str">
            <v>CAMPIONE  30%</v>
          </cell>
          <cell r="D200" t="str">
            <v>VIA DECORATI AL VALOR CIVILE, 36</v>
          </cell>
          <cell r="E200">
            <v>41040</v>
          </cell>
          <cell r="F200" t="str">
            <v>BAGGIOVARA</v>
          </cell>
          <cell r="G200" t="str">
            <v>MO</v>
          </cell>
          <cell r="H200" t="str">
            <v>ITALIA</v>
          </cell>
          <cell r="I200" t="str">
            <v>02219560360</v>
          </cell>
          <cell r="J200" t="str">
            <v>02219560360</v>
          </cell>
          <cell r="M200" t="str">
            <v>UFFICIO ACQUISTI</v>
          </cell>
          <cell r="N200" t="str">
            <v>059 511578</v>
          </cell>
          <cell r="R200" t="str">
            <v>BONIFICO BANCARIO, ALLA DATA DELLA NOSTRA CONFERMA D'ORDINE</v>
          </cell>
          <cell r="X200">
            <v>0.25</v>
          </cell>
          <cell r="Y200">
            <v>-0.04</v>
          </cell>
          <cell r="AB200">
            <v>0.25</v>
          </cell>
          <cell r="AC200">
            <v>0.25</v>
          </cell>
          <cell r="AD200">
            <v>0.25</v>
          </cell>
          <cell r="AE200">
            <v>0.25</v>
          </cell>
          <cell r="AF200">
            <v>0.25</v>
          </cell>
          <cell r="AG200">
            <v>0.25</v>
          </cell>
          <cell r="AH200">
            <v>0.25</v>
          </cell>
          <cell r="AI200">
            <v>0.25</v>
          </cell>
          <cell r="AJ200">
            <v>0.25</v>
          </cell>
          <cell r="AK200">
            <v>0.25</v>
          </cell>
          <cell r="AL200">
            <v>0.25</v>
          </cell>
          <cell r="AM200">
            <v>0.25</v>
          </cell>
          <cell r="AN200">
            <v>0.25</v>
          </cell>
          <cell r="AO200">
            <v>0.25</v>
          </cell>
          <cell r="AP200">
            <v>0.25</v>
          </cell>
          <cell r="AQ200">
            <v>0.25</v>
          </cell>
          <cell r="AR200">
            <v>0.25</v>
          </cell>
          <cell r="AS200">
            <v>0.25</v>
          </cell>
          <cell r="AT200">
            <v>-0.04</v>
          </cell>
          <cell r="AU200">
            <v>0.92</v>
          </cell>
          <cell r="AV200">
            <v>20</v>
          </cell>
          <cell r="AZ200">
            <v>0.25</v>
          </cell>
          <cell r="BA200">
            <v>0.25</v>
          </cell>
        </row>
        <row r="201">
          <cell r="A201" t="str">
            <v>ARTIMEC GROUP SRL</v>
          </cell>
          <cell r="B201" t="str">
            <v>RIVENDITORE ACQUASTOP. 05/12 Non mi ha fatto parlare con nessuno. Dice che ha chiesto direttamente lei al titolare e gli ha risposto che non sono interessati</v>
          </cell>
          <cell r="D201" t="str">
            <v>VIA A.ROSSI 1</v>
          </cell>
          <cell r="E201" t="str">
            <v>60010</v>
          </cell>
          <cell r="F201" t="str">
            <v>OSTRA VETERE</v>
          </cell>
          <cell r="G201" t="str">
            <v>AN</v>
          </cell>
          <cell r="H201" t="str">
            <v>ITALIA</v>
          </cell>
          <cell r="J201" t="str">
            <v>02135330427</v>
          </cell>
          <cell r="M201" t="str">
            <v>UFFICIO ACQUISTI</v>
          </cell>
          <cell r="N201" t="str">
            <v>071 964298</v>
          </cell>
          <cell r="P201" t="str">
            <v>info@artimecinfissi.it</v>
          </cell>
          <cell r="R201" t="str">
            <v>BONIFICO BANCARIO, ALLA DATA DELLA NOSTRA CONFERMA D'ORDINE</v>
          </cell>
          <cell r="X201">
            <v>0.25</v>
          </cell>
          <cell r="Y201">
            <v>-0.04</v>
          </cell>
          <cell r="AB201">
            <v>0.25</v>
          </cell>
          <cell r="AC201">
            <v>0.25</v>
          </cell>
          <cell r="AD201">
            <v>0.25</v>
          </cell>
          <cell r="AE201">
            <v>0.25</v>
          </cell>
          <cell r="AF201">
            <v>0.25</v>
          </cell>
          <cell r="AG201">
            <v>0.25</v>
          </cell>
          <cell r="AH201">
            <v>0.25</v>
          </cell>
          <cell r="AI201">
            <v>0.25</v>
          </cell>
          <cell r="AJ201">
            <v>0.25</v>
          </cell>
          <cell r="AK201">
            <v>0.25</v>
          </cell>
          <cell r="AL201">
            <v>0.25</v>
          </cell>
          <cell r="AM201">
            <v>0.25</v>
          </cell>
          <cell r="AN201">
            <v>0.25</v>
          </cell>
          <cell r="AO201">
            <v>0.25</v>
          </cell>
          <cell r="AP201">
            <v>0.25</v>
          </cell>
          <cell r="AQ201">
            <v>0.25</v>
          </cell>
          <cell r="AR201">
            <v>0.25</v>
          </cell>
          <cell r="AS201">
            <v>0.25</v>
          </cell>
          <cell r="AT201">
            <v>-0.04</v>
          </cell>
          <cell r="AU201">
            <v>0.92</v>
          </cell>
          <cell r="AV201">
            <v>20</v>
          </cell>
          <cell r="AY201" t="str">
            <v/>
          </cell>
          <cell r="AZ201">
            <v>0.25</v>
          </cell>
          <cell r="BA201">
            <v>0.25</v>
          </cell>
        </row>
        <row r="202">
          <cell r="A202" t="str">
            <v>ARTISTICO TARGET PORTE</v>
          </cell>
          <cell r="D202" t="str">
            <v>VIA NAZ.DELLE PUGLIE, 81  83</v>
          </cell>
          <cell r="E202" t="str">
            <v>80038</v>
          </cell>
          <cell r="F202" t="str">
            <v>PAMIGLIANO D'ARCO</v>
          </cell>
          <cell r="G202" t="str">
            <v>NA</v>
          </cell>
          <cell r="H202" t="str">
            <v>ITALIA</v>
          </cell>
          <cell r="M202" t="str">
            <v>UFFICIO ACQUISTI</v>
          </cell>
          <cell r="N202" t="str">
            <v>081 8841865</v>
          </cell>
          <cell r="O202" t="str">
            <v>338 3090759</v>
          </cell>
          <cell r="P202" t="str">
            <v>artistico@targetporte.it - info@targetporte.it</v>
          </cell>
          <cell r="R202" t="str">
            <v>BONIFICO BANCARIO, ALLA DATA DELLA NOSTRA CONFERMA D'ORDINE</v>
          </cell>
          <cell r="X202">
            <v>0.25</v>
          </cell>
          <cell r="Y202">
            <v>-0.04</v>
          </cell>
          <cell r="AB202">
            <v>0.25</v>
          </cell>
          <cell r="AC202">
            <v>0.25</v>
          </cell>
          <cell r="AD202">
            <v>0.25</v>
          </cell>
          <cell r="AE202">
            <v>0.25</v>
          </cell>
          <cell r="AF202">
            <v>0.25</v>
          </cell>
          <cell r="AG202">
            <v>0.25</v>
          </cell>
          <cell r="AH202">
            <v>0.25</v>
          </cell>
          <cell r="AI202">
            <v>0.25</v>
          </cell>
          <cell r="AJ202">
            <v>0.25</v>
          </cell>
          <cell r="AK202">
            <v>0.25</v>
          </cell>
          <cell r="AL202">
            <v>0.25</v>
          </cell>
          <cell r="AM202">
            <v>0.25</v>
          </cell>
          <cell r="AN202">
            <v>0.25</v>
          </cell>
          <cell r="AO202">
            <v>0.25</v>
          </cell>
          <cell r="AP202">
            <v>0.25</v>
          </cell>
          <cell r="AQ202">
            <v>0.25</v>
          </cell>
          <cell r="AR202">
            <v>0.25</v>
          </cell>
          <cell r="AS202">
            <v>0.25</v>
          </cell>
          <cell r="AT202">
            <v>-0.04</v>
          </cell>
          <cell r="AU202">
            <v>0.92</v>
          </cell>
          <cell r="AV202">
            <v>20</v>
          </cell>
          <cell r="AZ202">
            <v>0.25</v>
          </cell>
          <cell r="BA202">
            <v>0.25</v>
          </cell>
        </row>
        <row r="203">
          <cell r="A203" t="str">
            <v>ARTLEGNO SRL</v>
          </cell>
          <cell r="D203" t="str">
            <v>VIA ADUA, 58 A</v>
          </cell>
          <cell r="E203">
            <v>25034</v>
          </cell>
          <cell r="F203" t="str">
            <v>ORZINUOVI</v>
          </cell>
          <cell r="G203" t="str">
            <v>BS</v>
          </cell>
          <cell r="H203" t="str">
            <v>ITALIA</v>
          </cell>
          <cell r="M203" t="str">
            <v>UFFICIO ACQUISTI</v>
          </cell>
          <cell r="N203" t="str">
            <v>030 941397</v>
          </cell>
          <cell r="O203" t="str">
            <v>A.Savergnini 331 2027940</v>
          </cell>
          <cell r="P203" t="str">
            <v>info@artlegno.it</v>
          </cell>
          <cell r="R203" t="str">
            <v>BONIFICO BANCARIO, ALLA DATA DELLA NOSTRA CONFERMA D'ORDINE</v>
          </cell>
          <cell r="X203">
            <v>0.25</v>
          </cell>
          <cell r="Y203">
            <v>-0.04</v>
          </cell>
          <cell r="AB203">
            <v>0.25</v>
          </cell>
          <cell r="AC203">
            <v>0.25</v>
          </cell>
          <cell r="AD203">
            <v>0.25</v>
          </cell>
          <cell r="AE203">
            <v>0.25</v>
          </cell>
          <cell r="AF203">
            <v>0.25</v>
          </cell>
          <cell r="AG203">
            <v>0.25</v>
          </cell>
          <cell r="AH203">
            <v>0.25</v>
          </cell>
          <cell r="AI203">
            <v>0.25</v>
          </cell>
          <cell r="AJ203">
            <v>0.25</v>
          </cell>
          <cell r="AK203">
            <v>0.25</v>
          </cell>
          <cell r="AL203">
            <v>0.25</v>
          </cell>
          <cell r="AM203">
            <v>0.25</v>
          </cell>
          <cell r="AN203">
            <v>0.25</v>
          </cell>
          <cell r="AO203">
            <v>0.25</v>
          </cell>
          <cell r="AP203">
            <v>0.25</v>
          </cell>
          <cell r="AQ203">
            <v>0.25</v>
          </cell>
          <cell r="AR203">
            <v>0.25</v>
          </cell>
          <cell r="AS203">
            <v>0.25</v>
          </cell>
          <cell r="AT203">
            <v>-0.04</v>
          </cell>
          <cell r="AU203">
            <v>0.92</v>
          </cell>
          <cell r="AV203">
            <v>20</v>
          </cell>
          <cell r="AY203" t="str">
            <v/>
          </cell>
          <cell r="AZ203">
            <v>0.25</v>
          </cell>
          <cell r="BA203">
            <v>0.25</v>
          </cell>
        </row>
        <row r="204">
          <cell r="A204" t="str">
            <v xml:space="preserve">ASER SERRAMENTI </v>
          </cell>
          <cell r="B204" t="str">
            <v xml:space="preserve">LE HANNO GIA' USATE </v>
          </cell>
          <cell r="D204" t="str">
            <v>VIA BORZOLI, 39  124 Z</v>
          </cell>
          <cell r="E204" t="str">
            <v>16153</v>
          </cell>
          <cell r="F204" t="str">
            <v>GENOVA SESTRI PON.</v>
          </cell>
          <cell r="G204" t="str">
            <v>GE</v>
          </cell>
          <cell r="H204" t="str">
            <v>ITALIA</v>
          </cell>
          <cell r="M204" t="str">
            <v>UFFICIO ACQUISTI</v>
          </cell>
          <cell r="N204" t="str">
            <v>010 6049046</v>
          </cell>
          <cell r="R204" t="str">
            <v>BONIFICO BANCARIO, ALLA DATA DELLA NOSTRA CONFERMA D'ORDINE</v>
          </cell>
          <cell r="X204">
            <v>0.25</v>
          </cell>
          <cell r="Y204">
            <v>-0.04</v>
          </cell>
          <cell r="AB204">
            <v>0.25</v>
          </cell>
          <cell r="AC204">
            <v>0.25</v>
          </cell>
          <cell r="AD204">
            <v>0.25</v>
          </cell>
          <cell r="AE204">
            <v>0.25</v>
          </cell>
          <cell r="AF204">
            <v>0.25</v>
          </cell>
          <cell r="AG204">
            <v>0.25</v>
          </cell>
          <cell r="AH204">
            <v>0.25</v>
          </cell>
          <cell r="AI204">
            <v>0.25</v>
          </cell>
          <cell r="AJ204">
            <v>0.25</v>
          </cell>
          <cell r="AK204">
            <v>0.25</v>
          </cell>
          <cell r="AL204">
            <v>0.25</v>
          </cell>
          <cell r="AM204">
            <v>0.25</v>
          </cell>
          <cell r="AN204">
            <v>0.25</v>
          </cell>
          <cell r="AO204">
            <v>0.25</v>
          </cell>
          <cell r="AP204">
            <v>0.25</v>
          </cell>
          <cell r="AQ204">
            <v>0.25</v>
          </cell>
          <cell r="AR204">
            <v>0.25</v>
          </cell>
          <cell r="AS204">
            <v>0.25</v>
          </cell>
          <cell r="AT204">
            <v>-0.04</v>
          </cell>
          <cell r="AU204">
            <v>0.92</v>
          </cell>
          <cell r="AV204">
            <v>20</v>
          </cell>
          <cell r="AZ204">
            <v>0.25</v>
          </cell>
          <cell r="BA204">
            <v>0.25</v>
          </cell>
        </row>
        <row r="205">
          <cell r="A205" t="str">
            <v>ATLL SRL INFISSI E SERRAMENTI ALLUMINIO</v>
          </cell>
          <cell r="B205" t="str">
            <v xml:space="preserve">AMICO  DI COSTANTINO TRILLO </v>
          </cell>
          <cell r="D205" t="str">
            <v>VIA SOTTOMONTE, 30</v>
          </cell>
          <cell r="E205" t="str">
            <v>55060</v>
          </cell>
          <cell r="F205" t="str">
            <v>GUAMO</v>
          </cell>
          <cell r="G205" t="str">
            <v>LU</v>
          </cell>
          <cell r="H205" t="str">
            <v>ITALIA</v>
          </cell>
          <cell r="M205" t="str">
            <v>UFFICIO ACQUISTI</v>
          </cell>
          <cell r="N205" t="str">
            <v>0583 403190</v>
          </cell>
          <cell r="R205" t="str">
            <v>BONIFICO BANCARIO, ALLA DATA DELLA NOSTRA CONFERMA D'ORDINE</v>
          </cell>
          <cell r="X205">
            <v>0.25</v>
          </cell>
          <cell r="Y205">
            <v>-0.04</v>
          </cell>
          <cell r="AB205">
            <v>0.25</v>
          </cell>
          <cell r="AC205">
            <v>0.25</v>
          </cell>
          <cell r="AD205">
            <v>0.25</v>
          </cell>
          <cell r="AE205">
            <v>0.25</v>
          </cell>
          <cell r="AF205">
            <v>0.25</v>
          </cell>
          <cell r="AG205">
            <v>0.25</v>
          </cell>
          <cell r="AH205">
            <v>0.25</v>
          </cell>
          <cell r="AI205">
            <v>0.25</v>
          </cell>
          <cell r="AJ205">
            <v>0.25</v>
          </cell>
          <cell r="AK205">
            <v>0.25</v>
          </cell>
          <cell r="AL205">
            <v>0.25</v>
          </cell>
          <cell r="AM205">
            <v>0.25</v>
          </cell>
          <cell r="AN205">
            <v>0.25</v>
          </cell>
          <cell r="AO205">
            <v>0.25</v>
          </cell>
          <cell r="AP205">
            <v>0.25</v>
          </cell>
          <cell r="AQ205">
            <v>0.25</v>
          </cell>
          <cell r="AR205">
            <v>0.25</v>
          </cell>
          <cell r="AS205">
            <v>0.25</v>
          </cell>
          <cell r="AT205">
            <v>-0.04</v>
          </cell>
          <cell r="AU205">
            <v>0.92</v>
          </cell>
          <cell r="AV205">
            <v>20</v>
          </cell>
          <cell r="AZ205">
            <v>0.25</v>
          </cell>
          <cell r="BA205">
            <v>0.25</v>
          </cell>
        </row>
        <row r="206">
          <cell r="A206" t="str">
            <v>ATRESI SRL</v>
          </cell>
          <cell r="D206" t="str">
            <v>VIA BERGAMO</v>
          </cell>
          <cell r="E206">
            <v>21042</v>
          </cell>
          <cell r="F206" t="str">
            <v>CARONNO P.LLA</v>
          </cell>
          <cell r="G206" t="str">
            <v>VA</v>
          </cell>
          <cell r="H206" t="str">
            <v>ITALIA</v>
          </cell>
          <cell r="M206" t="str">
            <v>UFFICIO ACQUISTI</v>
          </cell>
          <cell r="N206" t="str">
            <v>02 91084388</v>
          </cell>
          <cell r="P206" t="str">
            <v>info@atres.it</v>
          </cell>
          <cell r="R206" t="str">
            <v>BONIFICO BANCARIO, ALLA DATA DELLA NOSTRA CONFERMA D'ORDINE</v>
          </cell>
          <cell r="X206">
            <v>0.25</v>
          </cell>
          <cell r="Y206">
            <v>-0.04</v>
          </cell>
          <cell r="AB206">
            <v>0.25</v>
          </cell>
          <cell r="AC206">
            <v>0.25</v>
          </cell>
          <cell r="AD206">
            <v>0.25</v>
          </cell>
          <cell r="AE206">
            <v>0.25</v>
          </cell>
          <cell r="AF206">
            <v>0.25</v>
          </cell>
          <cell r="AG206">
            <v>0.25</v>
          </cell>
          <cell r="AH206">
            <v>0.25</v>
          </cell>
          <cell r="AI206">
            <v>0.25</v>
          </cell>
          <cell r="AJ206">
            <v>0.25</v>
          </cell>
          <cell r="AK206">
            <v>0.25</v>
          </cell>
          <cell r="AL206">
            <v>0.25</v>
          </cell>
          <cell r="AM206">
            <v>0.25</v>
          </cell>
          <cell r="AN206">
            <v>0.25</v>
          </cell>
          <cell r="AO206">
            <v>0.25</v>
          </cell>
          <cell r="AP206">
            <v>0.25</v>
          </cell>
          <cell r="AQ206">
            <v>0.25</v>
          </cell>
          <cell r="AR206">
            <v>0.25</v>
          </cell>
          <cell r="AS206">
            <v>0.25</v>
          </cell>
          <cell r="AT206">
            <v>-0.04</v>
          </cell>
          <cell r="AU206">
            <v>0.92</v>
          </cell>
          <cell r="AV206">
            <v>20</v>
          </cell>
          <cell r="AZ206">
            <v>0.25</v>
          </cell>
          <cell r="BA206">
            <v>0.25</v>
          </cell>
        </row>
        <row r="207">
          <cell r="A207" t="str">
            <v>ATTOLICO SRL</v>
          </cell>
          <cell r="D207" t="str">
            <v>VIA VINCENZO AULISIO, 5</v>
          </cell>
          <cell r="E207" t="str">
            <v>70124</v>
          </cell>
          <cell r="F207" t="str">
            <v>BARI</v>
          </cell>
          <cell r="G207" t="str">
            <v>BA</v>
          </cell>
          <cell r="H207" t="str">
            <v>ITALIA</v>
          </cell>
          <cell r="M207" t="str">
            <v>UFFICIO ACQUISTI</v>
          </cell>
          <cell r="N207" t="str">
            <v>080 5746858</v>
          </cell>
          <cell r="O207" t="str">
            <v>348 8864024</v>
          </cell>
          <cell r="P207" t="str">
            <v>info@attolicosrl.it</v>
          </cell>
          <cell r="R207" t="str">
            <v>BONIFICO BANCARIO, ALLA DATA DELLA NOSTRA CONFERMA D'ORDINE</v>
          </cell>
          <cell r="X207">
            <v>0.2</v>
          </cell>
          <cell r="Y207">
            <v>-0.04</v>
          </cell>
          <cell r="AB207">
            <v>0.2</v>
          </cell>
          <cell r="AC207">
            <v>0.2</v>
          </cell>
          <cell r="AD207">
            <v>0.2</v>
          </cell>
          <cell r="AE207">
            <v>0.2</v>
          </cell>
          <cell r="AF207">
            <v>0.2</v>
          </cell>
          <cell r="AG207">
            <v>0.2</v>
          </cell>
          <cell r="AH207">
            <v>0.2</v>
          </cell>
          <cell r="AI207">
            <v>0.2</v>
          </cell>
          <cell r="AJ207">
            <v>0.2</v>
          </cell>
          <cell r="AK207">
            <v>0.2</v>
          </cell>
          <cell r="AL207">
            <v>0.2</v>
          </cell>
          <cell r="AM207">
            <v>0.2</v>
          </cell>
          <cell r="AN207">
            <v>0.2</v>
          </cell>
          <cell r="AO207">
            <v>0.2</v>
          </cell>
          <cell r="AP207">
            <v>0.2</v>
          </cell>
          <cell r="AQ207">
            <v>0.2</v>
          </cell>
          <cell r="AR207">
            <v>0.2</v>
          </cell>
          <cell r="AS207">
            <v>0.2</v>
          </cell>
          <cell r="AT207">
            <v>-0.04</v>
          </cell>
          <cell r="AU207">
            <v>0.92</v>
          </cell>
          <cell r="AV207">
            <v>20</v>
          </cell>
          <cell r="AZ207">
            <v>0.2</v>
          </cell>
          <cell r="BA207">
            <v>0.2</v>
          </cell>
        </row>
        <row r="208">
          <cell r="A208" t="str">
            <v>ATZORI SERGIO DI ATZORI EZIO</v>
          </cell>
          <cell r="D208" t="str">
            <v>VIA PIEMONTE, 19 S.S.293 KM 64,200</v>
          </cell>
          <cell r="E208" t="str">
            <v>09010</v>
          </cell>
          <cell r="F208" t="str">
            <v>PISCINAS</v>
          </cell>
          <cell r="G208" t="str">
            <v>SU</v>
          </cell>
          <cell r="H208" t="str">
            <v>ITALIA</v>
          </cell>
          <cell r="I208" t="str">
            <v>TZRZEI68B25B777P</v>
          </cell>
          <cell r="J208" t="str">
            <v>02469440924</v>
          </cell>
          <cell r="M208" t="str">
            <v>UFFICIO ACQUISTI</v>
          </cell>
          <cell r="N208" t="str">
            <v>0781 964295</v>
          </cell>
          <cell r="O208" t="str">
            <v>393 9212693  393 9217051</v>
          </cell>
          <cell r="P208" t="str">
            <v>atzori.infissi@tiscali.it</v>
          </cell>
          <cell r="R208" t="str">
            <v>BONIFICO BANCARIO, ALLA DATA DELLA NOSTRA CONFERMA D'ORDINE</v>
          </cell>
          <cell r="X208">
            <v>0.2</v>
          </cell>
          <cell r="Y208">
            <v>-0.04</v>
          </cell>
          <cell r="AB208">
            <v>0.2</v>
          </cell>
          <cell r="AC208">
            <v>0.2</v>
          </cell>
          <cell r="AD208">
            <v>0.2</v>
          </cell>
          <cell r="AE208">
            <v>0.2</v>
          </cell>
          <cell r="AF208">
            <v>0.2</v>
          </cell>
          <cell r="AG208">
            <v>0.2</v>
          </cell>
          <cell r="AH208">
            <v>0.2</v>
          </cell>
          <cell r="AI208">
            <v>0.2</v>
          </cell>
          <cell r="AJ208">
            <v>0.2</v>
          </cell>
          <cell r="AK208">
            <v>0.2</v>
          </cell>
          <cell r="AL208">
            <v>0.2</v>
          </cell>
          <cell r="AM208">
            <v>0.2</v>
          </cell>
          <cell r="AN208">
            <v>0.2</v>
          </cell>
          <cell r="AO208">
            <v>0.2</v>
          </cell>
          <cell r="AP208">
            <v>0.2</v>
          </cell>
          <cell r="AQ208">
            <v>0.2</v>
          </cell>
          <cell r="AR208">
            <v>0.2</v>
          </cell>
          <cell r="AS208">
            <v>0.2</v>
          </cell>
          <cell r="AT208">
            <v>-0.04</v>
          </cell>
          <cell r="AU208">
            <v>0.92</v>
          </cell>
          <cell r="AV208">
            <v>20</v>
          </cell>
          <cell r="AZ208">
            <v>0.2</v>
          </cell>
          <cell r="BA208">
            <v>0.2</v>
          </cell>
        </row>
        <row r="209">
          <cell r="A209" t="str">
            <v>AURELIO LA PLACA</v>
          </cell>
          <cell r="D209" t="str">
            <v>VIA NISCEMI, 335</v>
          </cell>
          <cell r="E209">
            <v>93100</v>
          </cell>
          <cell r="F209" t="str">
            <v>CALTANISSETTA</v>
          </cell>
          <cell r="G209" t="str">
            <v>CL</v>
          </cell>
          <cell r="H209" t="str">
            <v>ITALIA</v>
          </cell>
          <cell r="M209" t="str">
            <v>UFFICIO ACQUISTI</v>
          </cell>
          <cell r="N209" t="str">
            <v>0934 26969</v>
          </cell>
          <cell r="O209" t="str">
            <v>338 4114985</v>
          </cell>
          <cell r="R209" t="str">
            <v>BONIFICO BANCARIO, ALLA DATA DELLA NOSTRA CONFERMA D'ORDINE</v>
          </cell>
          <cell r="X209">
            <v>0.25</v>
          </cell>
          <cell r="Y209">
            <v>-0.04</v>
          </cell>
          <cell r="AB209">
            <v>0.25</v>
          </cell>
          <cell r="AC209">
            <v>0.25</v>
          </cell>
          <cell r="AD209">
            <v>0.25</v>
          </cell>
          <cell r="AE209">
            <v>0.25</v>
          </cell>
          <cell r="AF209">
            <v>0.25</v>
          </cell>
          <cell r="AG209">
            <v>0.25</v>
          </cell>
          <cell r="AH209">
            <v>0.25</v>
          </cell>
          <cell r="AI209">
            <v>0.25</v>
          </cell>
          <cell r="AJ209">
            <v>0.25</v>
          </cell>
          <cell r="AK209">
            <v>0.25</v>
          </cell>
          <cell r="AL209">
            <v>0.25</v>
          </cell>
          <cell r="AM209">
            <v>0.25</v>
          </cell>
          <cell r="AN209">
            <v>0.25</v>
          </cell>
          <cell r="AO209">
            <v>0.25</v>
          </cell>
          <cell r="AP209">
            <v>0.25</v>
          </cell>
          <cell r="AQ209">
            <v>0.25</v>
          </cell>
          <cell r="AR209">
            <v>0.25</v>
          </cell>
          <cell r="AS209">
            <v>0.25</v>
          </cell>
          <cell r="AT209">
            <v>-0.04</v>
          </cell>
          <cell r="AU209">
            <v>0.92</v>
          </cell>
          <cell r="AV209">
            <v>20</v>
          </cell>
          <cell r="AY209" t="str">
            <v/>
          </cell>
          <cell r="AZ209">
            <v>0.25</v>
          </cell>
          <cell r="BA209">
            <v>0.25</v>
          </cell>
        </row>
        <row r="210">
          <cell r="A210" t="str">
            <v>AUT AUT ARCHITETTURA S.T.P.</v>
          </cell>
          <cell r="D210" t="str">
            <v>VIA LORENZO VALLA, 25</v>
          </cell>
          <cell r="E210" t="str">
            <v>00152</v>
          </cell>
          <cell r="F210" t="str">
            <v>ROMA</v>
          </cell>
          <cell r="G210" t="str">
            <v>RM</v>
          </cell>
          <cell r="H210" t="str">
            <v>ITALIA</v>
          </cell>
          <cell r="M210" t="str">
            <v>UFFICIO ACQUISTI</v>
          </cell>
          <cell r="N210" t="str">
            <v>06 5806320</v>
          </cell>
          <cell r="O210" t="str">
            <v>347 7632101 ARCH. JONATHAN LAZAR</v>
          </cell>
          <cell r="P210" t="str">
            <v>work@autautarchitettura.it</v>
          </cell>
          <cell r="R210" t="str">
            <v>BONIFICO BANCARIO, ALLA DATA DELLA NOSTRA CONFERMA D'ORDINE</v>
          </cell>
          <cell r="X210">
            <v>0.1</v>
          </cell>
          <cell r="Y210">
            <v>-0.04</v>
          </cell>
          <cell r="AB210">
            <v>0.1</v>
          </cell>
          <cell r="AC210">
            <v>0.1</v>
          </cell>
          <cell r="AD210">
            <v>0.1</v>
          </cell>
          <cell r="AE210">
            <v>0.1</v>
          </cell>
          <cell r="AF210">
            <v>0.1</v>
          </cell>
          <cell r="AG210">
            <v>0.1</v>
          </cell>
          <cell r="AH210">
            <v>0.1</v>
          </cell>
          <cell r="AI210">
            <v>0.1</v>
          </cell>
          <cell r="AJ210">
            <v>0.1</v>
          </cell>
          <cell r="AK210">
            <v>0.1</v>
          </cell>
          <cell r="AL210">
            <v>0.1</v>
          </cell>
          <cell r="AM210">
            <v>0.1</v>
          </cell>
          <cell r="AN210">
            <v>0.1</v>
          </cell>
          <cell r="AO210">
            <v>0.1</v>
          </cell>
          <cell r="AP210">
            <v>0.1</v>
          </cell>
          <cell r="AQ210">
            <v>0.1</v>
          </cell>
          <cell r="AR210">
            <v>0.1</v>
          </cell>
          <cell r="AS210">
            <v>0.1</v>
          </cell>
          <cell r="AT210">
            <v>-0.04</v>
          </cell>
          <cell r="AU210">
            <v>0.92</v>
          </cell>
          <cell r="AV210">
            <v>20</v>
          </cell>
          <cell r="AZ210">
            <v>0.1</v>
          </cell>
          <cell r="BA210">
            <v>0.1</v>
          </cell>
        </row>
        <row r="211">
          <cell r="A211" t="str">
            <v>AUTOMAZIONE VENETA</v>
          </cell>
          <cell r="B211" t="str">
            <v>LUCIANO</v>
          </cell>
          <cell r="D211" t="str">
            <v>VIA C.M. CIPOLLA, 8</v>
          </cell>
          <cell r="E211">
            <v>37045</v>
          </cell>
          <cell r="F211" t="str">
            <v>S.PIETRO DI LEGNANO</v>
          </cell>
          <cell r="G211" t="str">
            <v>VR</v>
          </cell>
          <cell r="H211" t="str">
            <v>ITALIA</v>
          </cell>
          <cell r="M211" t="str">
            <v>UFFICIO ACQUISTI</v>
          </cell>
          <cell r="N211" t="str">
            <v>0442 23499</v>
          </cell>
          <cell r="P211" t="str">
            <v>info@automazioneveneta.it</v>
          </cell>
          <cell r="R211" t="str">
            <v>BONIFICO BANCARIO, ALLA DATA DELLA NOSTRA CONFERMA D'ORDINE</v>
          </cell>
          <cell r="X211">
            <v>0.25</v>
          </cell>
          <cell r="Y211">
            <v>-0.04</v>
          </cell>
          <cell r="AB211">
            <v>0.25</v>
          </cell>
          <cell r="AC211">
            <v>0.25</v>
          </cell>
          <cell r="AD211">
            <v>0.25</v>
          </cell>
          <cell r="AE211">
            <v>0.25</v>
          </cell>
          <cell r="AF211">
            <v>0.25</v>
          </cell>
          <cell r="AG211">
            <v>0.25</v>
          </cell>
          <cell r="AH211">
            <v>0.25</v>
          </cell>
          <cell r="AI211">
            <v>0.25</v>
          </cell>
          <cell r="AJ211">
            <v>0.25</v>
          </cell>
          <cell r="AK211">
            <v>0.25</v>
          </cell>
          <cell r="AL211">
            <v>0.25</v>
          </cell>
          <cell r="AM211">
            <v>0.25</v>
          </cell>
          <cell r="AN211">
            <v>0.25</v>
          </cell>
          <cell r="AO211">
            <v>0.25</v>
          </cell>
          <cell r="AP211">
            <v>0.25</v>
          </cell>
          <cell r="AQ211">
            <v>0.25</v>
          </cell>
          <cell r="AR211">
            <v>0.25</v>
          </cell>
          <cell r="AS211">
            <v>0.25</v>
          </cell>
          <cell r="AT211">
            <v>-0.04</v>
          </cell>
          <cell r="AU211">
            <v>0.92</v>
          </cell>
          <cell r="AV211">
            <v>20</v>
          </cell>
          <cell r="AZ211">
            <v>0.25</v>
          </cell>
          <cell r="BA211">
            <v>0.25</v>
          </cell>
        </row>
        <row r="212">
          <cell r="A212" t="str">
            <v xml:space="preserve">AVERSA SERRAMENTI E PORTE </v>
          </cell>
          <cell r="B212" t="str">
            <v>PROCOPIO CZ</v>
          </cell>
          <cell r="D212" t="str">
            <v>VIA NAZIONALE</v>
          </cell>
          <cell r="E212">
            <v>88069</v>
          </cell>
          <cell r="F212" t="str">
            <v>SQUILLACE LIDO</v>
          </cell>
          <cell r="G212" t="str">
            <v>CZ</v>
          </cell>
          <cell r="H212" t="str">
            <v>ITALIA</v>
          </cell>
          <cell r="M212" t="str">
            <v>UFFICIO ACQUISTI</v>
          </cell>
          <cell r="O212" t="str">
            <v>338 9596589</v>
          </cell>
          <cell r="R212" t="str">
            <v>BONIFICO BANCARIO, ALLA DATA DELLA NOSTRA CONFERMA D'ORDINE</v>
          </cell>
          <cell r="X212">
            <v>0.25</v>
          </cell>
          <cell r="Y212">
            <v>-0.04</v>
          </cell>
          <cell r="AB212">
            <v>0.25</v>
          </cell>
          <cell r="AC212">
            <v>0.25</v>
          </cell>
          <cell r="AD212">
            <v>0.25</v>
          </cell>
          <cell r="AE212">
            <v>0.25</v>
          </cell>
          <cell r="AF212">
            <v>0.25</v>
          </cell>
          <cell r="AG212">
            <v>0.25</v>
          </cell>
          <cell r="AH212">
            <v>0.25</v>
          </cell>
          <cell r="AI212">
            <v>0.25</v>
          </cell>
          <cell r="AJ212">
            <v>0.25</v>
          </cell>
          <cell r="AK212">
            <v>0.25</v>
          </cell>
          <cell r="AL212">
            <v>0.25</v>
          </cell>
          <cell r="AM212">
            <v>0.25</v>
          </cell>
          <cell r="AN212">
            <v>0.25</v>
          </cell>
          <cell r="AO212">
            <v>0.25</v>
          </cell>
          <cell r="AP212">
            <v>0.25</v>
          </cell>
          <cell r="AQ212">
            <v>0.25</v>
          </cell>
          <cell r="AR212">
            <v>0.25</v>
          </cell>
          <cell r="AS212">
            <v>0.25</v>
          </cell>
          <cell r="AT212">
            <v>-0.04</v>
          </cell>
          <cell r="AU212">
            <v>0.92</v>
          </cell>
          <cell r="AV212">
            <v>20</v>
          </cell>
          <cell r="AW212" t="str">
            <v>PIETRO OLIVADOTI</v>
          </cell>
          <cell r="AX212">
            <v>0.95</v>
          </cell>
          <cell r="AZ212">
            <v>0.25</v>
          </cell>
          <cell r="BA212">
            <v>0.25</v>
          </cell>
        </row>
        <row r="213">
          <cell r="A213" t="str">
            <v xml:space="preserve">BEB FALEGNAMERIA SNC DI BIGGI ARMANDO E BIGGERI FRANCESCO </v>
          </cell>
          <cell r="D213" t="str">
            <v>VIA AURELIA, 66</v>
          </cell>
          <cell r="E213" t="str">
            <v>19020</v>
          </cell>
          <cell r="F213" t="str">
            <v>BORGHETTO VARA</v>
          </cell>
          <cell r="G213" t="str">
            <v>SP</v>
          </cell>
          <cell r="H213" t="str">
            <v>ITALIA</v>
          </cell>
          <cell r="J213" t="str">
            <v>00943950113</v>
          </cell>
          <cell r="M213" t="str">
            <v>UFFICIO ACQUISTI</v>
          </cell>
          <cell r="N213" t="str">
            <v>0187 897196</v>
          </cell>
          <cell r="O213" t="str">
            <v>393 9685231</v>
          </cell>
          <cell r="P213" t="str">
            <v>info@bebfalegnameria.it</v>
          </cell>
          <cell r="R213" t="str">
            <v>BONIFICO BANCARIO, ALLA DATA DELLA NOSTRA CONFERMA D'ORDINE</v>
          </cell>
          <cell r="X213">
            <v>0.25</v>
          </cell>
          <cell r="Y213">
            <v>-0.04</v>
          </cell>
          <cell r="AB213">
            <v>0.25</v>
          </cell>
          <cell r="AC213">
            <v>0.25</v>
          </cell>
          <cell r="AD213">
            <v>0.25</v>
          </cell>
          <cell r="AE213">
            <v>0.25</v>
          </cell>
          <cell r="AF213">
            <v>0.25</v>
          </cell>
          <cell r="AG213">
            <v>0.25</v>
          </cell>
          <cell r="AH213">
            <v>0.25</v>
          </cell>
          <cell r="AI213">
            <v>0.25</v>
          </cell>
          <cell r="AJ213">
            <v>0.25</v>
          </cell>
          <cell r="AK213">
            <v>0.25</v>
          </cell>
          <cell r="AL213">
            <v>0.25</v>
          </cell>
          <cell r="AM213">
            <v>0.25</v>
          </cell>
          <cell r="AN213">
            <v>0.25</v>
          </cell>
          <cell r="AO213">
            <v>0.25</v>
          </cell>
          <cell r="AP213">
            <v>0.25</v>
          </cell>
          <cell r="AQ213">
            <v>0.25</v>
          </cell>
          <cell r="AR213">
            <v>0.25</v>
          </cell>
          <cell r="AS213">
            <v>0.25</v>
          </cell>
          <cell r="AT213">
            <v>-0.04</v>
          </cell>
          <cell r="AU213">
            <v>0.9</v>
          </cell>
          <cell r="AV213">
            <v>20</v>
          </cell>
        </row>
        <row r="214">
          <cell r="A214" t="str">
            <v>AVVOLGIBILI ES SRL</v>
          </cell>
          <cell r="B214" t="str">
            <v>DISTRIBUTORE</v>
          </cell>
          <cell r="D214" t="str">
            <v>VIA TORINO, 45</v>
          </cell>
          <cell r="E214">
            <v>80040</v>
          </cell>
          <cell r="F214" t="str">
            <v>VOLLA</v>
          </cell>
          <cell r="G214" t="str">
            <v>NA</v>
          </cell>
          <cell r="H214" t="str">
            <v>ITALIA</v>
          </cell>
          <cell r="I214" t="str">
            <v>06555781217</v>
          </cell>
          <cell r="J214" t="str">
            <v>06555781217</v>
          </cell>
          <cell r="M214" t="str">
            <v>UFFICIO ACQUISTI</v>
          </cell>
          <cell r="N214" t="str">
            <v>081 7741599</v>
          </cell>
          <cell r="P214" t="str">
            <v>info@avvolgibilies.it</v>
          </cell>
          <cell r="R214" t="str">
            <v>BONIFICO BANCARIO, ALLA DATA DELLA NOSTRA CONFERMA D'ORDINE</v>
          </cell>
          <cell r="X214">
            <v>0.25</v>
          </cell>
          <cell r="Y214">
            <v>-0.04</v>
          </cell>
          <cell r="AB214">
            <v>0.25</v>
          </cell>
          <cell r="AC214">
            <v>0.25</v>
          </cell>
          <cell r="AD214">
            <v>0.25</v>
          </cell>
          <cell r="AE214">
            <v>0.25</v>
          </cell>
          <cell r="AF214">
            <v>0.25</v>
          </cell>
          <cell r="AG214">
            <v>0.25</v>
          </cell>
          <cell r="AH214">
            <v>0.25</v>
          </cell>
          <cell r="AI214">
            <v>0.25</v>
          </cell>
          <cell r="AJ214">
            <v>0.25</v>
          </cell>
          <cell r="AK214">
            <v>0.25</v>
          </cell>
          <cell r="AL214">
            <v>0.25</v>
          </cell>
          <cell r="AM214">
            <v>0.25</v>
          </cell>
          <cell r="AN214">
            <v>0.25</v>
          </cell>
          <cell r="AO214">
            <v>0.25</v>
          </cell>
          <cell r="AP214">
            <v>0.25</v>
          </cell>
          <cell r="AQ214">
            <v>0.25</v>
          </cell>
          <cell r="AR214">
            <v>0.25</v>
          </cell>
          <cell r="AS214">
            <v>0.25</v>
          </cell>
          <cell r="AT214">
            <v>-0.04</v>
          </cell>
          <cell r="AU214">
            <v>0.92</v>
          </cell>
          <cell r="AV214">
            <v>20</v>
          </cell>
          <cell r="AZ214">
            <v>0.25</v>
          </cell>
          <cell r="BA214">
            <v>0.25</v>
          </cell>
        </row>
        <row r="215">
          <cell r="A215" t="str">
            <v xml:space="preserve">AVVOSER </v>
          </cell>
          <cell r="B215" t="str">
            <v xml:space="preserve">PARTNER  OKNOPLAST   CAMPIONE SC.30% CARPENTERIA GRATUITA </v>
          </cell>
          <cell r="D215" t="str">
            <v>VIA CAGLIERO, 3</v>
          </cell>
          <cell r="E215">
            <v>20125</v>
          </cell>
          <cell r="F215" t="str">
            <v>MILANO</v>
          </cell>
          <cell r="G215" t="str">
            <v>MI</v>
          </cell>
          <cell r="H215" t="str">
            <v>ITALIA</v>
          </cell>
          <cell r="J215" t="str">
            <v>10469030158</v>
          </cell>
          <cell r="M215" t="str">
            <v>UFFICIO ACQUISTI</v>
          </cell>
          <cell r="N215" t="str">
            <v>Oscar 02 6700792</v>
          </cell>
          <cell r="P215" t="str">
            <v>info@avvoser.it</v>
          </cell>
          <cell r="R215" t="str">
            <v>BONIFICO BANCARIO, ALLA DATA DELLA NOSTRA CONFERMA D'ORDINE</v>
          </cell>
          <cell r="X215">
            <v>0.25</v>
          </cell>
          <cell r="Y215">
            <v>-0.04</v>
          </cell>
          <cell r="AB215">
            <v>0.25</v>
          </cell>
          <cell r="AC215">
            <v>0.25</v>
          </cell>
          <cell r="AD215">
            <v>0.25</v>
          </cell>
          <cell r="AE215">
            <v>0.25</v>
          </cell>
          <cell r="AF215">
            <v>0.25</v>
          </cell>
          <cell r="AG215">
            <v>0.25</v>
          </cell>
          <cell r="AH215">
            <v>0.25</v>
          </cell>
          <cell r="AI215">
            <v>0.25</v>
          </cell>
          <cell r="AJ215">
            <v>0.25</v>
          </cell>
          <cell r="AK215">
            <v>0.25</v>
          </cell>
          <cell r="AL215">
            <v>0.25</v>
          </cell>
          <cell r="AM215">
            <v>0.25</v>
          </cell>
          <cell r="AN215">
            <v>0.25</v>
          </cell>
          <cell r="AO215">
            <v>0.25</v>
          </cell>
          <cell r="AP215">
            <v>0.25</v>
          </cell>
          <cell r="AQ215">
            <v>0.25</v>
          </cell>
          <cell r="AR215">
            <v>0.25</v>
          </cell>
          <cell r="AS215">
            <v>0.25</v>
          </cell>
          <cell r="AT215">
            <v>-0.04</v>
          </cell>
          <cell r="AU215">
            <v>0.92</v>
          </cell>
          <cell r="AV215">
            <v>20</v>
          </cell>
          <cell r="AY215" t="str">
            <v/>
          </cell>
          <cell r="AZ215">
            <v>0.25</v>
          </cell>
          <cell r="BA215">
            <v>0.25</v>
          </cell>
        </row>
        <row r="216">
          <cell r="A216" t="str">
            <v>AZ ARREDI SRL</v>
          </cell>
          <cell r="B216" t="str">
            <v>ALDO</v>
          </cell>
          <cell r="D216" t="str">
            <v>VIA GIOVANNI PAOLO II, 15</v>
          </cell>
          <cell r="E216" t="str">
            <v>33100</v>
          </cell>
          <cell r="F216" t="str">
            <v>UDINE</v>
          </cell>
          <cell r="G216" t="str">
            <v>UD</v>
          </cell>
          <cell r="H216" t="str">
            <v>ITALIA</v>
          </cell>
          <cell r="I216" t="str">
            <v>02877930301</v>
          </cell>
          <cell r="J216" t="str">
            <v>02877930301</v>
          </cell>
          <cell r="M216" t="str">
            <v>UFFICIO ACQUISTI</v>
          </cell>
          <cell r="N216" t="str">
            <v>0434 1606135</v>
          </cell>
          <cell r="R216" t="str">
            <v>BONIFICO BANCARIO, ALLA DATA DELLA NOSTRA CONFERMA D'ORDINE</v>
          </cell>
          <cell r="X216">
            <v>0.25</v>
          </cell>
          <cell r="Y216">
            <v>-0.04</v>
          </cell>
          <cell r="AB216">
            <v>0.25</v>
          </cell>
          <cell r="AC216">
            <v>0.25</v>
          </cell>
          <cell r="AD216">
            <v>0.25</v>
          </cell>
          <cell r="AE216">
            <v>0.25</v>
          </cell>
          <cell r="AF216">
            <v>0.25</v>
          </cell>
          <cell r="AG216">
            <v>0.25</v>
          </cell>
          <cell r="AH216">
            <v>0.25</v>
          </cell>
          <cell r="AI216">
            <v>0.25</v>
          </cell>
          <cell r="AJ216">
            <v>0.25</v>
          </cell>
          <cell r="AK216">
            <v>0.25</v>
          </cell>
          <cell r="AL216">
            <v>0.25</v>
          </cell>
          <cell r="AM216">
            <v>0.25</v>
          </cell>
          <cell r="AN216">
            <v>0.25</v>
          </cell>
          <cell r="AO216">
            <v>0.25</v>
          </cell>
          <cell r="AP216">
            <v>0.25</v>
          </cell>
          <cell r="AQ216">
            <v>0.25</v>
          </cell>
          <cell r="AR216">
            <v>0.25</v>
          </cell>
          <cell r="AS216">
            <v>0.25</v>
          </cell>
          <cell r="AT216">
            <v>-0.04</v>
          </cell>
          <cell r="AU216">
            <v>0.92</v>
          </cell>
          <cell r="AV216">
            <v>20</v>
          </cell>
          <cell r="AZ216">
            <v>0.25</v>
          </cell>
          <cell r="BA216">
            <v>0.25</v>
          </cell>
        </row>
        <row r="217">
          <cell r="A217" t="str">
            <v>AZ SAS DI ALBERTI MASSIMO E C.</v>
          </cell>
          <cell r="D217" t="str">
            <v>VIA G. DI VITTORIO,17 19</v>
          </cell>
          <cell r="F217" t="str">
            <v xml:space="preserve">GHEDI </v>
          </cell>
          <cell r="G217" t="str">
            <v>BS</v>
          </cell>
          <cell r="H217" t="str">
            <v>ITALIA</v>
          </cell>
          <cell r="M217" t="str">
            <v>UFFICIO ACQUISTI</v>
          </cell>
          <cell r="N217" t="str">
            <v>030 9031366</v>
          </cell>
          <cell r="P217" t="str">
            <v>info@azetasas.com</v>
          </cell>
          <cell r="R217" t="str">
            <v>BONIFICO BANCARIO, ALLA DATA DELLA NOSTRA CONFERMA D'ORDINE</v>
          </cell>
          <cell r="Y217">
            <v>-0.04</v>
          </cell>
          <cell r="AT217">
            <v>-0.04</v>
          </cell>
          <cell r="AV217">
            <v>20</v>
          </cell>
          <cell r="AZ217">
            <v>0</v>
          </cell>
          <cell r="BA217">
            <v>0</v>
          </cell>
        </row>
        <row r="218">
          <cell r="A218" t="str">
            <v>AZ SERRAMENTI</v>
          </cell>
          <cell r="E218" t="str">
            <v>35020</v>
          </cell>
          <cell r="F218" t="str">
            <v>MASERA' DI PADOVA</v>
          </cell>
          <cell r="G218" t="str">
            <v>PD</v>
          </cell>
          <cell r="H218" t="str">
            <v>ITALIA</v>
          </cell>
          <cell r="M218" t="str">
            <v>UFFICIO ACQUISTI</v>
          </cell>
          <cell r="O218" t="str">
            <v>388 8889729</v>
          </cell>
          <cell r="P218" t="str">
            <v>info@azserramenti.casa</v>
          </cell>
          <cell r="R218" t="str">
            <v>BONIFICO BANCARIO, ALLA DATA DELLA NOSTRA CONFERMA D'ORDINE</v>
          </cell>
          <cell r="X218">
            <v>0.2</v>
          </cell>
          <cell r="Y218">
            <v>-0.04</v>
          </cell>
          <cell r="AB218">
            <v>0.2</v>
          </cell>
          <cell r="AC218">
            <v>0.2</v>
          </cell>
          <cell r="AD218">
            <v>0.2</v>
          </cell>
          <cell r="AE218">
            <v>0.2</v>
          </cell>
          <cell r="AF218">
            <v>0.2</v>
          </cell>
          <cell r="AG218">
            <v>0.2</v>
          </cell>
          <cell r="AH218">
            <v>0.2</v>
          </cell>
          <cell r="AI218">
            <v>0.2</v>
          </cell>
          <cell r="AJ218">
            <v>0.2</v>
          </cell>
          <cell r="AK218">
            <v>0.2</v>
          </cell>
          <cell r="AL218">
            <v>0.2</v>
          </cell>
          <cell r="AM218">
            <v>0.2</v>
          </cell>
          <cell r="AN218">
            <v>0.2</v>
          </cell>
          <cell r="AO218">
            <v>0.2</v>
          </cell>
          <cell r="AP218">
            <v>0.2</v>
          </cell>
          <cell r="AQ218">
            <v>0.2</v>
          </cell>
          <cell r="AR218">
            <v>0.2</v>
          </cell>
          <cell r="AS218">
            <v>0.2</v>
          </cell>
          <cell r="AT218">
            <v>-0.04</v>
          </cell>
          <cell r="AU218">
            <v>0.92</v>
          </cell>
          <cell r="AV218">
            <v>20</v>
          </cell>
          <cell r="AZ218">
            <v>0.2</v>
          </cell>
          <cell r="BA218">
            <v>0.2</v>
          </cell>
        </row>
        <row r="219">
          <cell r="A219" t="str">
            <v xml:space="preserve">AZ SYSTEM </v>
          </cell>
          <cell r="D219" t="str">
            <v>VIA REGINA MARGHERITA 20</v>
          </cell>
          <cell r="E219" t="str">
            <v>00055</v>
          </cell>
          <cell r="F219" t="str">
            <v>LADISPOLI</v>
          </cell>
          <cell r="G219" t="str">
            <v>RM</v>
          </cell>
          <cell r="H219" t="str">
            <v>ITALIA</v>
          </cell>
          <cell r="M219" t="str">
            <v>UFFICIO ACQUISTI</v>
          </cell>
          <cell r="N219" t="str">
            <v>06 99221388</v>
          </cell>
          <cell r="O219" t="str">
            <v>338 6824650</v>
          </cell>
          <cell r="P219" t="str">
            <v>info@az-system.it - info@porteefinestre.it</v>
          </cell>
          <cell r="R219" t="str">
            <v>BONIFICO BANCARIO, ALLA DATA DELLA NOSTRA CONFERMA D'ORDINE</v>
          </cell>
          <cell r="X219">
            <v>0.25</v>
          </cell>
          <cell r="Y219">
            <v>-0.04</v>
          </cell>
          <cell r="AB219">
            <v>0.25</v>
          </cell>
          <cell r="AC219">
            <v>0.25</v>
          </cell>
          <cell r="AD219">
            <v>0.25</v>
          </cell>
          <cell r="AE219">
            <v>0.25</v>
          </cell>
          <cell r="AF219">
            <v>0.25</v>
          </cell>
          <cell r="AG219">
            <v>0.25</v>
          </cell>
          <cell r="AH219">
            <v>0.25</v>
          </cell>
          <cell r="AI219">
            <v>0.25</v>
          </cell>
          <cell r="AJ219">
            <v>0.25</v>
          </cell>
          <cell r="AK219">
            <v>0.25</v>
          </cell>
          <cell r="AL219">
            <v>0.25</v>
          </cell>
          <cell r="AM219">
            <v>0.25</v>
          </cell>
          <cell r="AN219">
            <v>0.25</v>
          </cell>
          <cell r="AO219">
            <v>0.25</v>
          </cell>
          <cell r="AP219">
            <v>0.25</v>
          </cell>
          <cell r="AQ219">
            <v>0.25</v>
          </cell>
          <cell r="AR219">
            <v>0.25</v>
          </cell>
          <cell r="AS219">
            <v>0.25</v>
          </cell>
          <cell r="AT219">
            <v>-0.04</v>
          </cell>
          <cell r="AU219">
            <v>0.92</v>
          </cell>
          <cell r="AV219">
            <v>20</v>
          </cell>
          <cell r="AY219" t="str">
            <v/>
          </cell>
          <cell r="AZ219">
            <v>0.25</v>
          </cell>
          <cell r="BA219">
            <v>0.25</v>
          </cell>
        </row>
        <row r="220">
          <cell r="A220" t="str">
            <v>AZIENDA METALMECCANICA  DI PAOLO GIUSEPPE</v>
          </cell>
          <cell r="D220" t="str">
            <v>VIA VALLOMENA, 55</v>
          </cell>
          <cell r="E220">
            <v>89013</v>
          </cell>
          <cell r="F220" t="str">
            <v>GIOIA TAURO</v>
          </cell>
          <cell r="G220" t="str">
            <v>RC</v>
          </cell>
          <cell r="H220" t="str">
            <v>ITALIA</v>
          </cell>
          <cell r="M220" t="str">
            <v>UFFICIO ACQUISTI</v>
          </cell>
          <cell r="N220" t="str">
            <v>0966 505379</v>
          </cell>
          <cell r="O220" t="str">
            <v>347 6246701</v>
          </cell>
          <cell r="R220" t="str">
            <v>BONIFICO BANCARIO, ALLA DATA DELLA NOSTRA CONFERMA D'ORDINE</v>
          </cell>
          <cell r="X220">
            <v>0.25</v>
          </cell>
          <cell r="Y220">
            <v>-0.04</v>
          </cell>
          <cell r="AB220">
            <v>0.25</v>
          </cell>
          <cell r="AC220">
            <v>0.25</v>
          </cell>
          <cell r="AD220">
            <v>0.25</v>
          </cell>
          <cell r="AE220">
            <v>0.25</v>
          </cell>
          <cell r="AF220">
            <v>0.25</v>
          </cell>
          <cell r="AG220">
            <v>0.25</v>
          </cell>
          <cell r="AH220">
            <v>0.25</v>
          </cell>
          <cell r="AI220">
            <v>0.25</v>
          </cell>
          <cell r="AJ220">
            <v>0.25</v>
          </cell>
          <cell r="AK220">
            <v>0.25</v>
          </cell>
          <cell r="AL220">
            <v>0.25</v>
          </cell>
          <cell r="AM220">
            <v>0.25</v>
          </cell>
          <cell r="AN220">
            <v>0.25</v>
          </cell>
          <cell r="AO220">
            <v>0.25</v>
          </cell>
          <cell r="AP220">
            <v>0.25</v>
          </cell>
          <cell r="AQ220">
            <v>0.25</v>
          </cell>
          <cell r="AR220">
            <v>0.25</v>
          </cell>
          <cell r="AS220">
            <v>0.25</v>
          </cell>
          <cell r="AT220">
            <v>-0.04</v>
          </cell>
          <cell r="AU220">
            <v>0.92</v>
          </cell>
          <cell r="AV220">
            <v>20</v>
          </cell>
          <cell r="AW220" t="str">
            <v>PIETRO OLIVADOTI</v>
          </cell>
          <cell r="AX220">
            <v>0.95</v>
          </cell>
          <cell r="AY220" t="str">
            <v/>
          </cell>
          <cell r="AZ220">
            <v>0.25</v>
          </cell>
          <cell r="BA220">
            <v>0.25</v>
          </cell>
        </row>
        <row r="221">
          <cell r="A221" t="str">
            <v>AZUR INNOVATIONS MAINTENANCE ENVIRONNEMENT</v>
          </cell>
          <cell r="B221" t="str">
            <v>MARCHIO PARAFLO, DISTRIBUTORE FRANCESE DI JK FLOODING - PREZZO LANCIO sconto 25% moderna, 20% sugli altri modelli, 35% modi-modu, fino a genn 2022</v>
          </cell>
          <cell r="D221" t="str">
            <v>1048 ANCIENNE ROUTE DES ALPES</v>
          </cell>
          <cell r="E221" t="str">
            <v>13100</v>
          </cell>
          <cell r="F221" t="str">
            <v>AIX EN PROVENCE</v>
          </cell>
          <cell r="H221" t="str">
            <v>FRANCIA</v>
          </cell>
          <cell r="J221" t="str">
            <v>FR59880025564</v>
          </cell>
          <cell r="K221" t="str">
            <v>XXXXXXX</v>
          </cell>
          <cell r="M221" t="str">
            <v>UFFICIO ACQUISTI</v>
          </cell>
          <cell r="O221" t="str">
            <v>+33 608 814 235</v>
          </cell>
          <cell r="P221" t="str">
            <v>s.gasperini@paraflo.fr</v>
          </cell>
          <cell r="R221" t="str">
            <v>VIREMENT BANCAIRE, À LA DATE DE NOTRE CONFIRMATION DE COMMANDE</v>
          </cell>
          <cell r="X221">
            <v>0.25</v>
          </cell>
          <cell r="AB221">
            <v>0.25</v>
          </cell>
          <cell r="AC221">
            <v>0.25</v>
          </cell>
          <cell r="AD221">
            <v>0.25</v>
          </cell>
          <cell r="AE221">
            <v>0.25</v>
          </cell>
          <cell r="AF221">
            <v>0.25</v>
          </cell>
          <cell r="AG221">
            <v>0.25</v>
          </cell>
          <cell r="AH221">
            <v>0.25</v>
          </cell>
          <cell r="AI221">
            <v>0.25</v>
          </cell>
          <cell r="AJ221">
            <v>0.25</v>
          </cell>
          <cell r="AK221">
            <v>0.25</v>
          </cell>
          <cell r="AL221">
            <v>0.25</v>
          </cell>
          <cell r="AM221">
            <v>0.25</v>
          </cell>
          <cell r="AN221">
            <v>0.25</v>
          </cell>
          <cell r="AO221">
            <v>0.25</v>
          </cell>
          <cell r="AP221">
            <v>0.25</v>
          </cell>
          <cell r="AQ221">
            <v>0.25</v>
          </cell>
          <cell r="AR221">
            <v>0.25</v>
          </cell>
          <cell r="AS221">
            <v>0.25</v>
          </cell>
          <cell r="AU221">
            <v>0.86</v>
          </cell>
          <cell r="AV221">
            <v>20</v>
          </cell>
          <cell r="AZ221">
            <v>0.25</v>
          </cell>
          <cell r="BA221">
            <v>0.25</v>
          </cell>
          <cell r="BF221" t="str">
            <v>CLICK RAPID con espositore 07/09/2022 - MODERNA con espositore 07/09/2022</v>
          </cell>
        </row>
        <row r="222">
          <cell r="A222" t="str">
            <v>AZZURRA SRL</v>
          </cell>
          <cell r="D222" t="str">
            <v>ZONA INDUSTRIALE</v>
          </cell>
          <cell r="E222" t="str">
            <v>85050</v>
          </cell>
          <cell r="F222" t="str">
            <v>TITO SCALO</v>
          </cell>
          <cell r="G222" t="str">
            <v>PZ</v>
          </cell>
          <cell r="H222" t="str">
            <v>ITALIA</v>
          </cell>
          <cell r="J222" t="str">
            <v>01518630767</v>
          </cell>
          <cell r="M222" t="str">
            <v>UFFICIO ACQUISTI</v>
          </cell>
          <cell r="N222" t="str">
            <v>0971 485603</v>
          </cell>
          <cell r="P222" t="str">
            <v>info@azzurrafinestre.com</v>
          </cell>
          <cell r="R222" t="str">
            <v>BONIFICO BANCARIO, ALLA DATA DELLA NOSTRA CONFERMA D'ORDINE</v>
          </cell>
          <cell r="X222">
            <v>0.25</v>
          </cell>
          <cell r="Y222">
            <v>-0.04</v>
          </cell>
          <cell r="AB222">
            <v>0.25</v>
          </cell>
          <cell r="AC222">
            <v>0.25</v>
          </cell>
          <cell r="AD222">
            <v>0.25</v>
          </cell>
          <cell r="AE222">
            <v>0.25</v>
          </cell>
          <cell r="AF222">
            <v>0.25</v>
          </cell>
          <cell r="AG222">
            <v>0.25</v>
          </cell>
          <cell r="AH222">
            <v>0.25</v>
          </cell>
          <cell r="AI222">
            <v>0.25</v>
          </cell>
          <cell r="AJ222">
            <v>0.25</v>
          </cell>
          <cell r="AK222">
            <v>0.25</v>
          </cell>
          <cell r="AL222">
            <v>0.25</v>
          </cell>
          <cell r="AM222">
            <v>0.25</v>
          </cell>
          <cell r="AN222">
            <v>0.25</v>
          </cell>
          <cell r="AO222">
            <v>0.25</v>
          </cell>
          <cell r="AP222">
            <v>0.25</v>
          </cell>
          <cell r="AQ222">
            <v>0.25</v>
          </cell>
          <cell r="AR222">
            <v>0.25</v>
          </cell>
          <cell r="AS222">
            <v>0.25</v>
          </cell>
          <cell r="AT222">
            <v>-0.04</v>
          </cell>
          <cell r="AU222">
            <v>0.92</v>
          </cell>
          <cell r="AV222">
            <v>20</v>
          </cell>
          <cell r="AY222" t="str">
            <v/>
          </cell>
          <cell r="AZ222">
            <v>0.25</v>
          </cell>
          <cell r="BA222">
            <v>0.25</v>
          </cell>
        </row>
        <row r="223">
          <cell r="A223" t="str">
            <v>B &amp; B INFISSI</v>
          </cell>
          <cell r="D223" t="str">
            <v xml:space="preserve">VIA PIGNOTTI,3 </v>
          </cell>
          <cell r="E223">
            <v>50063</v>
          </cell>
          <cell r="F223" t="str">
            <v>FIGLINE E INCISA V.NO</v>
          </cell>
          <cell r="G223" t="str">
            <v>FI</v>
          </cell>
          <cell r="H223" t="str">
            <v>ITALIA</v>
          </cell>
          <cell r="M223" t="str">
            <v>UFFICIO ACQUISTI</v>
          </cell>
          <cell r="N223" t="str">
            <v>055 2698395</v>
          </cell>
          <cell r="P223" t="str">
            <v>info@bbinfissi.it</v>
          </cell>
          <cell r="R223" t="str">
            <v>BONIFICO BANCARIO, ALLA DATA DELLA NOSTRA CONFERMA D'ORDINE</v>
          </cell>
          <cell r="X223">
            <v>0.25</v>
          </cell>
          <cell r="Y223">
            <v>-0.04</v>
          </cell>
          <cell r="AB223">
            <v>0.25</v>
          </cell>
          <cell r="AC223">
            <v>0.25</v>
          </cell>
          <cell r="AD223">
            <v>0.25</v>
          </cell>
          <cell r="AE223">
            <v>0.25</v>
          </cell>
          <cell r="AF223">
            <v>0.25</v>
          </cell>
          <cell r="AG223">
            <v>0.25</v>
          </cell>
          <cell r="AH223">
            <v>0.25</v>
          </cell>
          <cell r="AI223">
            <v>0.25</v>
          </cell>
          <cell r="AJ223">
            <v>0.25</v>
          </cell>
          <cell r="AK223">
            <v>0.25</v>
          </cell>
          <cell r="AL223">
            <v>0.25</v>
          </cell>
          <cell r="AM223">
            <v>0.25</v>
          </cell>
          <cell r="AN223">
            <v>0.25</v>
          </cell>
          <cell r="AO223">
            <v>0.25</v>
          </cell>
          <cell r="AP223">
            <v>0.25</v>
          </cell>
          <cell r="AQ223">
            <v>0.25</v>
          </cell>
          <cell r="AR223">
            <v>0.25</v>
          </cell>
          <cell r="AS223">
            <v>0.25</v>
          </cell>
          <cell r="AT223">
            <v>-0.04</v>
          </cell>
          <cell r="AU223">
            <v>0.92</v>
          </cell>
          <cell r="AV223">
            <v>20</v>
          </cell>
          <cell r="AY223" t="str">
            <v/>
          </cell>
          <cell r="AZ223">
            <v>0.25</v>
          </cell>
          <cell r="BA223">
            <v>0.25</v>
          </cell>
        </row>
        <row r="224">
          <cell r="A224" t="str">
            <v>B &amp; B PORTE E SERRAMENTI  SNC</v>
          </cell>
          <cell r="D224" t="str">
            <v>VIALE MARCHE, 41</v>
          </cell>
          <cell r="E224">
            <v>20093</v>
          </cell>
          <cell r="F224" t="str">
            <v>COLOGNO M.</v>
          </cell>
          <cell r="G224" t="str">
            <v>MI</v>
          </cell>
          <cell r="H224" t="str">
            <v>ITALIA</v>
          </cell>
          <cell r="J224" t="str">
            <v>08138100964</v>
          </cell>
          <cell r="M224" t="str">
            <v>UFFICIO ACQUISTI</v>
          </cell>
          <cell r="N224" t="str">
            <v>02 27303250</v>
          </cell>
          <cell r="P224" t="str">
            <v>art.brunorenato@libero.it</v>
          </cell>
          <cell r="R224" t="str">
            <v>BONIFICO BANCARIO, ALLA DATA DELLA NOSTRA CONFERMA D'ORDINE</v>
          </cell>
          <cell r="X224">
            <v>0.25</v>
          </cell>
          <cell r="Y224">
            <v>-0.04</v>
          </cell>
          <cell r="AB224">
            <v>0.25</v>
          </cell>
          <cell r="AC224">
            <v>0.25</v>
          </cell>
          <cell r="AD224">
            <v>0.25</v>
          </cell>
          <cell r="AE224">
            <v>0.25</v>
          </cell>
          <cell r="AF224">
            <v>0.25</v>
          </cell>
          <cell r="AG224">
            <v>0.25</v>
          </cell>
          <cell r="AH224">
            <v>0.25</v>
          </cell>
          <cell r="AI224">
            <v>0.25</v>
          </cell>
          <cell r="AJ224">
            <v>0.25</v>
          </cell>
          <cell r="AK224">
            <v>0.25</v>
          </cell>
          <cell r="AL224">
            <v>0.25</v>
          </cell>
          <cell r="AM224">
            <v>0.25</v>
          </cell>
          <cell r="AN224">
            <v>0.25</v>
          </cell>
          <cell r="AO224">
            <v>0.25</v>
          </cell>
          <cell r="AP224">
            <v>0.25</v>
          </cell>
          <cell r="AQ224">
            <v>0.25</v>
          </cell>
          <cell r="AR224">
            <v>0.25</v>
          </cell>
          <cell r="AS224">
            <v>0.25</v>
          </cell>
          <cell r="AT224">
            <v>-0.04</v>
          </cell>
          <cell r="AU224">
            <v>0.92</v>
          </cell>
          <cell r="AV224">
            <v>20</v>
          </cell>
          <cell r="AY224" t="str">
            <v/>
          </cell>
          <cell r="AZ224">
            <v>0.25</v>
          </cell>
          <cell r="BA224">
            <v>0.25</v>
          </cell>
        </row>
        <row r="225">
          <cell r="A225" t="str">
            <v>B &amp; C CANCELLI E INFERRIATE</v>
          </cell>
          <cell r="D225" t="str">
            <v>VIA DELLA COSTITUZIONE 16</v>
          </cell>
          <cell r="E225" t="str">
            <v>41015</v>
          </cell>
          <cell r="F225" t="str">
            <v>NONANTOLA</v>
          </cell>
          <cell r="G225" t="str">
            <v>MO</v>
          </cell>
          <cell r="H225" t="str">
            <v>ITALIA</v>
          </cell>
          <cell r="J225" t="str">
            <v>02328740366</v>
          </cell>
          <cell r="M225" t="str">
            <v>UFFICIO ACQUISTI</v>
          </cell>
          <cell r="N225" t="str">
            <v>059 546550</v>
          </cell>
          <cell r="P225" t="str">
            <v>b.c2008@libero.it</v>
          </cell>
          <cell r="R225" t="str">
            <v>BONIFICO BANCARIO, ALLA DATA DELLA NOSTRA CONFERMA D'ORDINE</v>
          </cell>
          <cell r="X225">
            <v>0.25</v>
          </cell>
          <cell r="Y225">
            <v>-0.04</v>
          </cell>
          <cell r="AB225">
            <v>0.25</v>
          </cell>
          <cell r="AC225">
            <v>0.25</v>
          </cell>
          <cell r="AD225">
            <v>0.25</v>
          </cell>
          <cell r="AE225">
            <v>0.25</v>
          </cell>
          <cell r="AF225">
            <v>0.25</v>
          </cell>
          <cell r="AG225">
            <v>0.25</v>
          </cell>
          <cell r="AH225">
            <v>0.25</v>
          </cell>
          <cell r="AI225">
            <v>0.25</v>
          </cell>
          <cell r="AJ225">
            <v>0.25</v>
          </cell>
          <cell r="AK225">
            <v>0.25</v>
          </cell>
          <cell r="AL225">
            <v>0.25</v>
          </cell>
          <cell r="AM225">
            <v>0.25</v>
          </cell>
          <cell r="AN225">
            <v>0.25</v>
          </cell>
          <cell r="AO225">
            <v>0.25</v>
          </cell>
          <cell r="AP225">
            <v>0.25</v>
          </cell>
          <cell r="AQ225">
            <v>0.25</v>
          </cell>
          <cell r="AR225">
            <v>0.25</v>
          </cell>
          <cell r="AS225">
            <v>0.25</v>
          </cell>
          <cell r="AT225">
            <v>-0.04</v>
          </cell>
          <cell r="AU225">
            <v>0.92</v>
          </cell>
          <cell r="AV225">
            <v>20</v>
          </cell>
          <cell r="AY225" t="str">
            <v/>
          </cell>
          <cell r="AZ225">
            <v>0.25</v>
          </cell>
          <cell r="BA225">
            <v>0.25</v>
          </cell>
        </row>
        <row r="226">
          <cell r="A226" t="str">
            <v>B &amp; C CENTRO SERRAMENTI DI GENOVA</v>
          </cell>
          <cell r="B226" t="str">
            <v>NE FA POCHE E CON ACQUASTOP 05/12 NON RISPONDE NESSUNO 14/12 NO RISP</v>
          </cell>
          <cell r="D226" t="str">
            <v>VIA CANEVARI, 87 R</v>
          </cell>
          <cell r="E226">
            <v>16137</v>
          </cell>
          <cell r="F226" t="str">
            <v xml:space="preserve">GENOVA </v>
          </cell>
          <cell r="G226" t="str">
            <v>GE</v>
          </cell>
          <cell r="H226" t="str">
            <v>ITALIA</v>
          </cell>
          <cell r="M226" t="str">
            <v>UFFICIO ACQUISTI</v>
          </cell>
          <cell r="N226" t="str">
            <v>010 826493</v>
          </cell>
          <cell r="P226" t="str">
            <v>info@bcserramenti.com</v>
          </cell>
          <cell r="R226" t="str">
            <v>BONIFICO BANCARIO, ALLA DATA DELLA NOSTRA CONFERMA D'ORDINE</v>
          </cell>
          <cell r="X226">
            <v>0.25</v>
          </cell>
          <cell r="Y226">
            <v>-0.04</v>
          </cell>
          <cell r="AB226">
            <v>0.25</v>
          </cell>
          <cell r="AC226">
            <v>0.25</v>
          </cell>
          <cell r="AD226">
            <v>0.25</v>
          </cell>
          <cell r="AE226">
            <v>0.25</v>
          </cell>
          <cell r="AF226">
            <v>0.25</v>
          </cell>
          <cell r="AG226">
            <v>0.25</v>
          </cell>
          <cell r="AH226">
            <v>0.25</v>
          </cell>
          <cell r="AI226">
            <v>0.25</v>
          </cell>
          <cell r="AJ226">
            <v>0.25</v>
          </cell>
          <cell r="AK226">
            <v>0.25</v>
          </cell>
          <cell r="AL226">
            <v>0.25</v>
          </cell>
          <cell r="AM226">
            <v>0.25</v>
          </cell>
          <cell r="AN226">
            <v>0.25</v>
          </cell>
          <cell r="AO226">
            <v>0.25</v>
          </cell>
          <cell r="AP226">
            <v>0.25</v>
          </cell>
          <cell r="AQ226">
            <v>0.25</v>
          </cell>
          <cell r="AR226">
            <v>0.25</v>
          </cell>
          <cell r="AS226">
            <v>0.25</v>
          </cell>
          <cell r="AT226">
            <v>-0.04</v>
          </cell>
          <cell r="AU226">
            <v>0.92</v>
          </cell>
          <cell r="AV226">
            <v>20</v>
          </cell>
          <cell r="AY226" t="str">
            <v/>
          </cell>
          <cell r="AZ226">
            <v>0.25</v>
          </cell>
          <cell r="BA226">
            <v>0.25</v>
          </cell>
        </row>
        <row r="227">
          <cell r="A227" t="str">
            <v>B &amp; C INFISSI DI CAPONE SANDRO</v>
          </cell>
          <cell r="D227" t="str">
            <v>VIA COSENZA, 2</v>
          </cell>
          <cell r="E227">
            <v>73100</v>
          </cell>
          <cell r="F227" t="str">
            <v>LECCE</v>
          </cell>
          <cell r="G227" t="str">
            <v>LE</v>
          </cell>
          <cell r="H227" t="str">
            <v>ITALIA</v>
          </cell>
          <cell r="I227" t="str">
            <v>CPNSDR76H11E629J</v>
          </cell>
          <cell r="J227" t="str">
            <v>03482940750</v>
          </cell>
          <cell r="M227" t="str">
            <v>UFFICIO ACQUISTI</v>
          </cell>
          <cell r="O227" t="str">
            <v>360 406068</v>
          </cell>
          <cell r="R227" t="str">
            <v>BONIFICO BANCARIO, ALLA DATA DELLA NOSTRA CONFERMA D'ORDINE</v>
          </cell>
          <cell r="X227">
            <v>0.25</v>
          </cell>
          <cell r="Y227">
            <v>-0.04</v>
          </cell>
          <cell r="AB227">
            <v>0.25</v>
          </cell>
          <cell r="AC227">
            <v>0.25</v>
          </cell>
          <cell r="AD227">
            <v>0.25</v>
          </cell>
          <cell r="AE227">
            <v>0.25</v>
          </cell>
          <cell r="AF227">
            <v>0.25</v>
          </cell>
          <cell r="AG227">
            <v>0.25</v>
          </cell>
          <cell r="AH227">
            <v>0.25</v>
          </cell>
          <cell r="AI227">
            <v>0.25</v>
          </cell>
          <cell r="AJ227">
            <v>0.25</v>
          </cell>
          <cell r="AK227">
            <v>0.25</v>
          </cell>
          <cell r="AL227">
            <v>0.25</v>
          </cell>
          <cell r="AM227">
            <v>0.25</v>
          </cell>
          <cell r="AN227">
            <v>0.25</v>
          </cell>
          <cell r="AO227">
            <v>0.25</v>
          </cell>
          <cell r="AP227">
            <v>0.25</v>
          </cell>
          <cell r="AQ227">
            <v>0.25</v>
          </cell>
          <cell r="AR227">
            <v>0.25</v>
          </cell>
          <cell r="AS227">
            <v>0.25</v>
          </cell>
          <cell r="AT227">
            <v>-0.04</v>
          </cell>
          <cell r="AV227">
            <v>20</v>
          </cell>
          <cell r="AZ227">
            <v>0.25</v>
          </cell>
          <cell r="BA227">
            <v>0.25</v>
          </cell>
        </row>
        <row r="228">
          <cell r="A228" t="str">
            <v>B&amp;G SERRAMENTI IN ALLUMINIO</v>
          </cell>
          <cell r="D228" t="str">
            <v>VIA LODI, 2A</v>
          </cell>
          <cell r="E228">
            <v>16138</v>
          </cell>
          <cell r="F228" t="str">
            <v>GENOVA</v>
          </cell>
          <cell r="G228" t="str">
            <v>GE</v>
          </cell>
          <cell r="H228" t="str">
            <v>ITALIA</v>
          </cell>
          <cell r="M228" t="str">
            <v>UFFICIO ACQUISTI</v>
          </cell>
          <cell r="N228" t="str">
            <v>010 0897383</v>
          </cell>
          <cell r="O228" t="str">
            <v>335 6886984</v>
          </cell>
          <cell r="P228" t="str">
            <v>beig1992@hotmail.com</v>
          </cell>
          <cell r="R228" t="str">
            <v>BONIFICO BANCARIO, ALLA DATA DELLA NOSTRA CONFERMA D'ORDINE</v>
          </cell>
          <cell r="X228">
            <v>0.25</v>
          </cell>
          <cell r="Y228">
            <v>-0.04</v>
          </cell>
          <cell r="AB228">
            <v>0.25</v>
          </cell>
          <cell r="AC228">
            <v>0.25</v>
          </cell>
          <cell r="AD228">
            <v>0.25</v>
          </cell>
          <cell r="AE228">
            <v>0.25</v>
          </cell>
          <cell r="AF228">
            <v>0.25</v>
          </cell>
          <cell r="AG228">
            <v>0.25</v>
          </cell>
          <cell r="AH228">
            <v>0.25</v>
          </cell>
          <cell r="AI228">
            <v>0.25</v>
          </cell>
          <cell r="AJ228">
            <v>0.25</v>
          </cell>
          <cell r="AK228">
            <v>0.25</v>
          </cell>
          <cell r="AL228">
            <v>0.25</v>
          </cell>
          <cell r="AM228">
            <v>0.25</v>
          </cell>
          <cell r="AN228">
            <v>0.25</v>
          </cell>
          <cell r="AO228">
            <v>0.25</v>
          </cell>
          <cell r="AP228">
            <v>0.25</v>
          </cell>
          <cell r="AQ228">
            <v>0.25</v>
          </cell>
          <cell r="AR228">
            <v>0.25</v>
          </cell>
          <cell r="AS228">
            <v>0.25</v>
          </cell>
          <cell r="AT228">
            <v>-0.04</v>
          </cell>
          <cell r="AU228">
            <v>0.92</v>
          </cell>
          <cell r="AV228">
            <v>20</v>
          </cell>
          <cell r="AY228" t="str">
            <v/>
          </cell>
          <cell r="AZ228">
            <v>0.25</v>
          </cell>
          <cell r="BA228">
            <v>0.25</v>
          </cell>
        </row>
        <row r="229">
          <cell r="A229" t="str">
            <v xml:space="preserve">B.C. SERRAMENTI S.R.L. </v>
          </cell>
          <cell r="D229" t="str">
            <v>VIA DANTE RUFFINI, 32</v>
          </cell>
          <cell r="E229">
            <v>26100</v>
          </cell>
          <cell r="F229" t="str">
            <v>CREMONA</v>
          </cell>
          <cell r="G229" t="str">
            <v>CR</v>
          </cell>
          <cell r="H229" t="str">
            <v>ITALIA</v>
          </cell>
          <cell r="J229" t="str">
            <v>01686710193</v>
          </cell>
          <cell r="M229" t="str">
            <v>UFFICIO ACQUISTI</v>
          </cell>
          <cell r="O229" t="str">
            <v>327 8237373</v>
          </cell>
          <cell r="P229" t="str">
            <v>info@bc-serramenti.com</v>
          </cell>
          <cell r="R229" t="str">
            <v>BONIFICO BANCARIO, ALLA DATA DELLA NOSTRA CONFERMA D'ORDINE</v>
          </cell>
          <cell r="X229">
            <v>0.25</v>
          </cell>
          <cell r="Y229">
            <v>-0.04</v>
          </cell>
          <cell r="AB229">
            <v>0.25</v>
          </cell>
          <cell r="AC229">
            <v>0.25</v>
          </cell>
          <cell r="AD229">
            <v>0.25</v>
          </cell>
          <cell r="AE229">
            <v>0.25</v>
          </cell>
          <cell r="AF229">
            <v>0.25</v>
          </cell>
          <cell r="AG229">
            <v>0.25</v>
          </cell>
          <cell r="AH229">
            <v>0.25</v>
          </cell>
          <cell r="AI229">
            <v>0.25</v>
          </cell>
          <cell r="AJ229">
            <v>0.25</v>
          </cell>
          <cell r="AK229">
            <v>0.25</v>
          </cell>
          <cell r="AL229">
            <v>0.25</v>
          </cell>
          <cell r="AM229">
            <v>0.25</v>
          </cell>
          <cell r="AN229">
            <v>0.25</v>
          </cell>
          <cell r="AO229">
            <v>0.25</v>
          </cell>
          <cell r="AP229">
            <v>0.25</v>
          </cell>
          <cell r="AQ229">
            <v>0.25</v>
          </cell>
          <cell r="AR229">
            <v>0.25</v>
          </cell>
          <cell r="AS229">
            <v>0.25</v>
          </cell>
          <cell r="AT229">
            <v>-0.04</v>
          </cell>
          <cell r="AU229">
            <v>0.92</v>
          </cell>
          <cell r="AV229">
            <v>20</v>
          </cell>
          <cell r="AY229" t="str">
            <v/>
          </cell>
          <cell r="AZ229">
            <v>0.25</v>
          </cell>
          <cell r="BA229">
            <v>0.25</v>
          </cell>
        </row>
        <row r="230">
          <cell r="A230" t="str">
            <v>B.M. PORTE PER GARAGE DI BOROTTO GIUSEPPE</v>
          </cell>
          <cell r="D230" t="str">
            <v>VIA MANTOVA, 35</v>
          </cell>
          <cell r="E230">
            <v>37053</v>
          </cell>
          <cell r="F230" t="str">
            <v>CEREA</v>
          </cell>
          <cell r="G230" t="str">
            <v>VR</v>
          </cell>
          <cell r="H230" t="str">
            <v>ITALIA</v>
          </cell>
          <cell r="M230" t="str">
            <v>UFFICIO ACQUISTI</v>
          </cell>
          <cell r="N230" t="str">
            <v>0442 82303</v>
          </cell>
          <cell r="O230" t="str">
            <v>334 1492387</v>
          </cell>
          <cell r="P230" t="str">
            <v>giuseppe@bmportepergarage.it</v>
          </cell>
          <cell r="R230" t="str">
            <v>BONIFICO BANCARIO, ALLA DATA DELLA NOSTRA CONFERMA D'ORDINE</v>
          </cell>
          <cell r="X230">
            <v>0.25</v>
          </cell>
          <cell r="Y230">
            <v>-0.04</v>
          </cell>
          <cell r="AB230">
            <v>0.25</v>
          </cell>
          <cell r="AC230">
            <v>0.25</v>
          </cell>
          <cell r="AD230">
            <v>0.25</v>
          </cell>
          <cell r="AE230">
            <v>0.25</v>
          </cell>
          <cell r="AF230">
            <v>0.25</v>
          </cell>
          <cell r="AG230">
            <v>0.25</v>
          </cell>
          <cell r="AH230">
            <v>0.25</v>
          </cell>
          <cell r="AI230">
            <v>0.25</v>
          </cell>
          <cell r="AJ230">
            <v>0.25</v>
          </cell>
          <cell r="AK230">
            <v>0.25</v>
          </cell>
          <cell r="AL230">
            <v>0.25</v>
          </cell>
          <cell r="AM230">
            <v>0.25</v>
          </cell>
          <cell r="AN230">
            <v>0.25</v>
          </cell>
          <cell r="AO230">
            <v>0.25</v>
          </cell>
          <cell r="AP230">
            <v>0.25</v>
          </cell>
          <cell r="AQ230">
            <v>0.25</v>
          </cell>
          <cell r="AR230">
            <v>0.25</v>
          </cell>
          <cell r="AS230">
            <v>0.25</v>
          </cell>
          <cell r="AT230">
            <v>-0.04</v>
          </cell>
          <cell r="AU230">
            <v>0.92</v>
          </cell>
          <cell r="AV230">
            <v>20</v>
          </cell>
          <cell r="AY230" t="str">
            <v/>
          </cell>
          <cell r="AZ230">
            <v>0.25</v>
          </cell>
          <cell r="BA230">
            <v>0.25</v>
          </cell>
        </row>
        <row r="231">
          <cell r="A231" t="str">
            <v>B.N.V. SRL</v>
          </cell>
          <cell r="D231" t="str">
            <v>VIA T.ROMAGNOLA, 45</v>
          </cell>
          <cell r="E231">
            <v>56012</v>
          </cell>
          <cell r="F231" t="str">
            <v>FORNACETTE</v>
          </cell>
          <cell r="G231" t="str">
            <v>PI</v>
          </cell>
          <cell r="H231" t="str">
            <v>ITALIA</v>
          </cell>
          <cell r="I231" t="str">
            <v>01666500507</v>
          </cell>
          <cell r="J231" t="str">
            <v>01666500507</v>
          </cell>
          <cell r="M231" t="str">
            <v>UFFICIO ACQUISTI</v>
          </cell>
          <cell r="N231" t="str">
            <v>0587 420215</v>
          </cell>
          <cell r="R231" t="str">
            <v>BONIFICO BANCARIO, ALLA DATA DELLA NOSTRA CONFERMA D'ORDINE</v>
          </cell>
          <cell r="X231">
            <v>0.25</v>
          </cell>
          <cell r="Y231">
            <v>-0.04</v>
          </cell>
          <cell r="AB231">
            <v>0.25</v>
          </cell>
          <cell r="AC231">
            <v>0.25</v>
          </cell>
          <cell r="AD231">
            <v>0.25</v>
          </cell>
          <cell r="AE231">
            <v>0.25</v>
          </cell>
          <cell r="AF231">
            <v>0.25</v>
          </cell>
          <cell r="AG231">
            <v>0.25</v>
          </cell>
          <cell r="AH231">
            <v>0.25</v>
          </cell>
          <cell r="AI231">
            <v>0.25</v>
          </cell>
          <cell r="AJ231">
            <v>0.25</v>
          </cell>
          <cell r="AK231">
            <v>0.25</v>
          </cell>
          <cell r="AL231">
            <v>0.25</v>
          </cell>
          <cell r="AM231">
            <v>0.25</v>
          </cell>
          <cell r="AN231">
            <v>0.25</v>
          </cell>
          <cell r="AO231">
            <v>0.25</v>
          </cell>
          <cell r="AP231">
            <v>0.25</v>
          </cell>
          <cell r="AQ231">
            <v>0.25</v>
          </cell>
          <cell r="AR231">
            <v>0.25</v>
          </cell>
          <cell r="AS231">
            <v>0.25</v>
          </cell>
          <cell r="AT231">
            <v>-0.04</v>
          </cell>
          <cell r="AU231">
            <v>0.92</v>
          </cell>
          <cell r="AV231">
            <v>20</v>
          </cell>
          <cell r="AY231" t="str">
            <v/>
          </cell>
          <cell r="AZ231">
            <v>0.25</v>
          </cell>
          <cell r="BA231">
            <v>0.25</v>
          </cell>
        </row>
        <row r="232">
          <cell r="A232" t="str">
            <v>B.V.L. serramenti srl</v>
          </cell>
          <cell r="D232" t="str">
            <v>STR. ROMANO-MONTALEGNE, 18</v>
          </cell>
          <cell r="E232">
            <v>10010</v>
          </cell>
          <cell r="F232" t="str">
            <v>SCARMAGNO</v>
          </cell>
          <cell r="G232" t="str">
            <v>TO</v>
          </cell>
          <cell r="H232" t="str">
            <v>ITALIA</v>
          </cell>
          <cell r="J232" t="str">
            <v>11038080013</v>
          </cell>
          <cell r="M232" t="str">
            <v>UFFICIO ACQUISTI</v>
          </cell>
          <cell r="N232" t="str">
            <v>0125 711953</v>
          </cell>
          <cell r="P232" t="str">
            <v>bvlserramenti@gmail.com</v>
          </cell>
          <cell r="R232" t="str">
            <v>BONIFICO BANCARIO, ALLA DATA DELLA NOSTRA CONFERMA D'ORDINE</v>
          </cell>
          <cell r="X232">
            <v>0.25</v>
          </cell>
          <cell r="Y232">
            <v>-0.04</v>
          </cell>
          <cell r="AB232">
            <v>0.25</v>
          </cell>
          <cell r="AC232">
            <v>0.25</v>
          </cell>
          <cell r="AD232">
            <v>0.25</v>
          </cell>
          <cell r="AE232">
            <v>0.25</v>
          </cell>
          <cell r="AF232">
            <v>0.25</v>
          </cell>
          <cell r="AG232">
            <v>0.25</v>
          </cell>
          <cell r="AH232">
            <v>0.25</v>
          </cell>
          <cell r="AI232">
            <v>0.25</v>
          </cell>
          <cell r="AJ232">
            <v>0.25</v>
          </cell>
          <cell r="AK232">
            <v>0.25</v>
          </cell>
          <cell r="AL232">
            <v>0.25</v>
          </cell>
          <cell r="AM232">
            <v>0.25</v>
          </cell>
          <cell r="AN232">
            <v>0.25</v>
          </cell>
          <cell r="AO232">
            <v>0.25</v>
          </cell>
          <cell r="AP232">
            <v>0.25</v>
          </cell>
          <cell r="AQ232">
            <v>0.25</v>
          </cell>
          <cell r="AR232">
            <v>0.25</v>
          </cell>
          <cell r="AS232">
            <v>0.25</v>
          </cell>
          <cell r="AT232">
            <v>-0.04</v>
          </cell>
          <cell r="AU232">
            <v>0.92</v>
          </cell>
          <cell r="AV232">
            <v>20</v>
          </cell>
          <cell r="AZ232">
            <v>0.25</v>
          </cell>
          <cell r="BA232">
            <v>0.25</v>
          </cell>
        </row>
        <row r="233">
          <cell r="A233" t="str">
            <v>BACCILI LUCA</v>
          </cell>
          <cell r="D233" t="str">
            <v>VIA MONTRAMITO</v>
          </cell>
          <cell r="E233" t="str">
            <v>55049</v>
          </cell>
          <cell r="F233" t="str">
            <v>VIAREGGIO</v>
          </cell>
          <cell r="G233" t="str">
            <v>LU</v>
          </cell>
          <cell r="H233" t="str">
            <v>ITALIA</v>
          </cell>
          <cell r="M233" t="str">
            <v>UFFICIO ACQUISTI</v>
          </cell>
          <cell r="N233" t="str">
            <v>347 5886014</v>
          </cell>
          <cell r="P233" t="str">
            <v>lucabaccili@gmail.com</v>
          </cell>
          <cell r="R233" t="str">
            <v>BONIFICO BANCARIO, ALLA DATA DELLA NOSTRA CONFERMA D'ORDINE</v>
          </cell>
          <cell r="X233">
            <v>0.25</v>
          </cell>
          <cell r="Y233">
            <v>-0.04</v>
          </cell>
          <cell r="AB233">
            <v>0.25</v>
          </cell>
          <cell r="AC233">
            <v>0.25</v>
          </cell>
          <cell r="AD233">
            <v>0.25</v>
          </cell>
          <cell r="AE233">
            <v>0.25</v>
          </cell>
          <cell r="AF233">
            <v>0.25</v>
          </cell>
          <cell r="AG233">
            <v>0.25</v>
          </cell>
          <cell r="AH233">
            <v>0.25</v>
          </cell>
          <cell r="AI233">
            <v>0.25</v>
          </cell>
          <cell r="AJ233">
            <v>0.25</v>
          </cell>
          <cell r="AK233">
            <v>0.25</v>
          </cell>
          <cell r="AL233">
            <v>0.25</v>
          </cell>
          <cell r="AM233">
            <v>0.25</v>
          </cell>
          <cell r="AN233">
            <v>0.25</v>
          </cell>
          <cell r="AO233">
            <v>0.25</v>
          </cell>
          <cell r="AP233">
            <v>0.25</v>
          </cell>
          <cell r="AQ233">
            <v>0.25</v>
          </cell>
          <cell r="AR233">
            <v>0.25</v>
          </cell>
          <cell r="AS233">
            <v>0.25</v>
          </cell>
          <cell r="AT233">
            <v>-0.04</v>
          </cell>
          <cell r="AU233">
            <v>0.92</v>
          </cell>
          <cell r="AV233">
            <v>20</v>
          </cell>
          <cell r="AY233" t="str">
            <v/>
          </cell>
          <cell r="AZ233">
            <v>0.25</v>
          </cell>
          <cell r="BA233">
            <v>0.25</v>
          </cell>
        </row>
        <row r="234">
          <cell r="A234" t="str">
            <v>BACCIOLO GELSOMINO E FIGLI SRL</v>
          </cell>
          <cell r="D234" t="str">
            <v>VIA DEL TIPOGRAFO 4</v>
          </cell>
          <cell r="E234" t="str">
            <v>30013</v>
          </cell>
          <cell r="F234" t="str">
            <v>CAVALLINO-TREPORTI</v>
          </cell>
          <cell r="G234" t="str">
            <v>VE</v>
          </cell>
          <cell r="H234" t="str">
            <v>ITALIA</v>
          </cell>
          <cell r="J234" t="str">
            <v>02042630273</v>
          </cell>
          <cell r="K234" t="str">
            <v>A4707H7</v>
          </cell>
          <cell r="M234" t="str">
            <v>UFFICIO ACQUISTI</v>
          </cell>
          <cell r="N234" t="str">
            <v>041 966034</v>
          </cell>
          <cell r="P234" t="str">
            <v>info@bacciolo.com</v>
          </cell>
          <cell r="R234" t="str">
            <v>BONIFICO BANCARIO, ALLA DATA DELLA NOSTRA CONFERMA D'ORDINE</v>
          </cell>
          <cell r="X234">
            <v>0.25</v>
          </cell>
          <cell r="Y234">
            <v>-0.04</v>
          </cell>
          <cell r="AB234">
            <v>0.25</v>
          </cell>
          <cell r="AC234">
            <v>0.25</v>
          </cell>
          <cell r="AD234">
            <v>0.25</v>
          </cell>
          <cell r="AE234">
            <v>0.25</v>
          </cell>
          <cell r="AF234">
            <v>0.25</v>
          </cell>
          <cell r="AG234">
            <v>0.25</v>
          </cell>
          <cell r="AH234">
            <v>0.25</v>
          </cell>
          <cell r="AI234">
            <v>0.25</v>
          </cell>
          <cell r="AJ234">
            <v>0.25</v>
          </cell>
          <cell r="AK234">
            <v>0.25</v>
          </cell>
          <cell r="AL234">
            <v>0.25</v>
          </cell>
          <cell r="AM234">
            <v>0.25</v>
          </cell>
          <cell r="AN234">
            <v>0.25</v>
          </cell>
          <cell r="AO234">
            <v>0.25</v>
          </cell>
          <cell r="AP234">
            <v>0.25</v>
          </cell>
          <cell r="AQ234">
            <v>0.25</v>
          </cell>
          <cell r="AR234">
            <v>0.25</v>
          </cell>
          <cell r="AS234">
            <v>0.25</v>
          </cell>
          <cell r="AT234">
            <v>-0.04</v>
          </cell>
          <cell r="AU234">
            <v>0.92</v>
          </cell>
          <cell r="AV234">
            <v>20</v>
          </cell>
          <cell r="AY234" t="str">
            <v/>
          </cell>
          <cell r="AZ234">
            <v>0.25</v>
          </cell>
          <cell r="BA234">
            <v>0.25</v>
          </cell>
        </row>
        <row r="235">
          <cell r="A235" t="str">
            <v>BAILONI SERRAMENTI</v>
          </cell>
          <cell r="D235" t="str">
            <v>VIA MAFFEI, 1 A</v>
          </cell>
          <cell r="E235">
            <v>38060</v>
          </cell>
          <cell r="F235" t="str">
            <v>LEDRO</v>
          </cell>
          <cell r="G235" t="str">
            <v>TN</v>
          </cell>
          <cell r="H235" t="str">
            <v>ITALIA</v>
          </cell>
          <cell r="M235" t="str">
            <v>UFFICIO ACQUISTI</v>
          </cell>
          <cell r="N235" t="str">
            <v>0464 508517</v>
          </cell>
          <cell r="R235" t="str">
            <v>BONIFICO BANCARIO, ALLA DATA DELLA NOSTRA CONFERMA D'ORDINE</v>
          </cell>
          <cell r="X235">
            <v>0.25</v>
          </cell>
          <cell r="Y235">
            <v>-0.04</v>
          </cell>
          <cell r="AB235">
            <v>0.25</v>
          </cell>
          <cell r="AC235">
            <v>0.25</v>
          </cell>
          <cell r="AD235">
            <v>0.25</v>
          </cell>
          <cell r="AE235">
            <v>0.25</v>
          </cell>
          <cell r="AF235">
            <v>0.25</v>
          </cell>
          <cell r="AG235">
            <v>0.25</v>
          </cell>
          <cell r="AH235">
            <v>0.25</v>
          </cell>
          <cell r="AI235">
            <v>0.25</v>
          </cell>
          <cell r="AJ235">
            <v>0.25</v>
          </cell>
          <cell r="AK235">
            <v>0.25</v>
          </cell>
          <cell r="AL235">
            <v>0.25</v>
          </cell>
          <cell r="AM235">
            <v>0.25</v>
          </cell>
          <cell r="AN235">
            <v>0.25</v>
          </cell>
          <cell r="AO235">
            <v>0.25</v>
          </cell>
          <cell r="AP235">
            <v>0.25</v>
          </cell>
          <cell r="AQ235">
            <v>0.25</v>
          </cell>
          <cell r="AR235">
            <v>0.25</v>
          </cell>
          <cell r="AS235">
            <v>0.25</v>
          </cell>
          <cell r="AT235">
            <v>-0.04</v>
          </cell>
          <cell r="AU235">
            <v>0.92</v>
          </cell>
          <cell r="AV235">
            <v>20</v>
          </cell>
          <cell r="AZ235">
            <v>0.25</v>
          </cell>
          <cell r="BA235">
            <v>0.25</v>
          </cell>
        </row>
        <row r="236">
          <cell r="A236" t="str">
            <v>BAITAN SERRAMENTI SRL</v>
          </cell>
          <cell r="D236" t="str">
            <v>VIA PROVINCIALE, 9</v>
          </cell>
          <cell r="E236" t="str">
            <v>25050</v>
          </cell>
          <cell r="F236" t="str">
            <v>RODENGO SAIANO</v>
          </cell>
          <cell r="G236" t="str">
            <v>BS</v>
          </cell>
          <cell r="H236" t="str">
            <v>ITALIA</v>
          </cell>
          <cell r="M236" t="str">
            <v>UFFICIO ACQUISTI</v>
          </cell>
          <cell r="N236" t="str">
            <v>030 6119694</v>
          </cell>
          <cell r="P236" t="str">
            <v>baitanrodengo@baitanserramenti.com</v>
          </cell>
          <cell r="R236" t="str">
            <v>BONIFICO BANCARIO, ALLA DATA DELLA NOSTRA CONFERMA D'ORDINE</v>
          </cell>
          <cell r="X236">
            <v>0.2</v>
          </cell>
          <cell r="Y236">
            <v>-0.04</v>
          </cell>
          <cell r="AB236">
            <v>0.2</v>
          </cell>
          <cell r="AC236">
            <v>0.2</v>
          </cell>
          <cell r="AD236">
            <v>0.2</v>
          </cell>
          <cell r="AE236">
            <v>0.2</v>
          </cell>
          <cell r="AF236">
            <v>0.2</v>
          </cell>
          <cell r="AG236">
            <v>0.2</v>
          </cell>
          <cell r="AH236">
            <v>0.2</v>
          </cell>
          <cell r="AI236">
            <v>0.2</v>
          </cell>
          <cell r="AJ236">
            <v>0.2</v>
          </cell>
          <cell r="AK236">
            <v>0.2</v>
          </cell>
          <cell r="AL236">
            <v>0.2</v>
          </cell>
          <cell r="AM236">
            <v>0.2</v>
          </cell>
          <cell r="AN236">
            <v>0.2</v>
          </cell>
          <cell r="AO236">
            <v>0.2</v>
          </cell>
          <cell r="AP236">
            <v>0.2</v>
          </cell>
          <cell r="AQ236">
            <v>0.2</v>
          </cell>
          <cell r="AR236">
            <v>0.2</v>
          </cell>
          <cell r="AS236">
            <v>0.2</v>
          </cell>
          <cell r="AT236">
            <v>-0.04</v>
          </cell>
          <cell r="AU236">
            <v>0.92</v>
          </cell>
          <cell r="AV236">
            <v>20</v>
          </cell>
          <cell r="AZ236">
            <v>0.2</v>
          </cell>
          <cell r="BA236">
            <v>0.2</v>
          </cell>
        </row>
        <row r="237">
          <cell r="A237" t="str">
            <v>BALBONI MAURO</v>
          </cell>
          <cell r="D237" t="str">
            <v>VIA PROVINCIALE, 220</v>
          </cell>
          <cell r="E237" t="str">
            <v>44019</v>
          </cell>
          <cell r="F237" t="str">
            <v>VOGHIERA</v>
          </cell>
          <cell r="G237" t="str">
            <v>FE</v>
          </cell>
          <cell r="H237" t="str">
            <v>ITALIA</v>
          </cell>
          <cell r="J237" t="str">
            <v>01571900388</v>
          </cell>
          <cell r="K237" t="str">
            <v>M5UXCR1</v>
          </cell>
          <cell r="M237" t="str">
            <v>UFFICIO ACQUISTI</v>
          </cell>
          <cell r="O237" t="str">
            <v>348 1522721 MAURO BALBONI</v>
          </cell>
          <cell r="P237" t="str">
            <v>manutenzioni.balboni@gmail.com</v>
          </cell>
          <cell r="R237" t="str">
            <v>BONIFICO BANCARIO, ALLA DATA DELLA NOSTRA CONFERMA D'ORDINE</v>
          </cell>
          <cell r="X237">
            <v>0.25</v>
          </cell>
          <cell r="Y237">
            <v>-0.04</v>
          </cell>
          <cell r="AB237">
            <v>0.25</v>
          </cell>
          <cell r="AC237">
            <v>0.25</v>
          </cell>
          <cell r="AD237">
            <v>0.25</v>
          </cell>
          <cell r="AE237">
            <v>0.25</v>
          </cell>
          <cell r="AF237">
            <v>0.25</v>
          </cell>
          <cell r="AG237">
            <v>0.25</v>
          </cell>
          <cell r="AH237">
            <v>0.25</v>
          </cell>
          <cell r="AI237">
            <v>0.25</v>
          </cell>
          <cell r="AJ237">
            <v>0.25</v>
          </cell>
          <cell r="AK237">
            <v>0.25</v>
          </cell>
          <cell r="AL237">
            <v>0.25</v>
          </cell>
          <cell r="AM237">
            <v>0.25</v>
          </cell>
          <cell r="AN237">
            <v>0.25</v>
          </cell>
          <cell r="AO237">
            <v>0.25</v>
          </cell>
          <cell r="AP237">
            <v>0.25</v>
          </cell>
          <cell r="AQ237">
            <v>0.25</v>
          </cell>
          <cell r="AR237">
            <v>0.25</v>
          </cell>
          <cell r="AS237">
            <v>0.25</v>
          </cell>
          <cell r="AT237">
            <v>-0.04</v>
          </cell>
          <cell r="AU237">
            <v>0.9</v>
          </cell>
          <cell r="AV237">
            <v>20</v>
          </cell>
          <cell r="AZ237">
            <v>0.25</v>
          </cell>
          <cell r="BA237">
            <v>0.25</v>
          </cell>
        </row>
        <row r="238">
          <cell r="A238" t="str">
            <v>BALDARELLI INFISSI SAS</v>
          </cell>
          <cell r="D238" t="str">
            <v>VIA MAZZINI, 144</v>
          </cell>
          <cell r="E238" t="str">
            <v>92100</v>
          </cell>
          <cell r="F238" t="str">
            <v>AGRIGENTO</v>
          </cell>
          <cell r="G238" t="str">
            <v>AG</v>
          </cell>
          <cell r="H238" t="str">
            <v>ITALIA</v>
          </cell>
          <cell r="M238" t="str">
            <v>UFFICIO ACQUISTI</v>
          </cell>
          <cell r="N238" t="str">
            <v>0922 610166</v>
          </cell>
          <cell r="O238" t="str">
            <v>320 7644035</v>
          </cell>
          <cell r="P238" t="str">
            <v>baldarelliinfissi@libero.it</v>
          </cell>
          <cell r="R238" t="str">
            <v>BONIFICO BANCARIO, ALLA DATA DELLA NOSTRA CONFERMA D'ORDINE</v>
          </cell>
          <cell r="X238">
            <v>0.25</v>
          </cell>
          <cell r="Y238">
            <v>-0.04</v>
          </cell>
          <cell r="AB238">
            <v>0.25</v>
          </cell>
          <cell r="AC238">
            <v>0.25</v>
          </cell>
          <cell r="AD238">
            <v>0.25</v>
          </cell>
          <cell r="AE238">
            <v>0.25</v>
          </cell>
          <cell r="AF238">
            <v>0.25</v>
          </cell>
          <cell r="AG238">
            <v>0.25</v>
          </cell>
          <cell r="AH238">
            <v>0.25</v>
          </cell>
          <cell r="AI238">
            <v>0.25</v>
          </cell>
          <cell r="AJ238">
            <v>0.25</v>
          </cell>
          <cell r="AK238">
            <v>0.25</v>
          </cell>
          <cell r="AL238">
            <v>0.25</v>
          </cell>
          <cell r="AM238">
            <v>0.25</v>
          </cell>
          <cell r="AN238">
            <v>0.25</v>
          </cell>
          <cell r="AO238">
            <v>0.25</v>
          </cell>
          <cell r="AP238">
            <v>0.25</v>
          </cell>
          <cell r="AQ238">
            <v>0.25</v>
          </cell>
          <cell r="AR238">
            <v>0.25</v>
          </cell>
          <cell r="AS238">
            <v>0.25</v>
          </cell>
          <cell r="AT238">
            <v>-0.04</v>
          </cell>
          <cell r="AU238">
            <v>0.92</v>
          </cell>
          <cell r="AV238">
            <v>20</v>
          </cell>
          <cell r="AY238" t="str">
            <v/>
          </cell>
          <cell r="AZ238">
            <v>0.25</v>
          </cell>
          <cell r="BA238">
            <v>0.25</v>
          </cell>
        </row>
        <row r="239">
          <cell r="A239" t="str">
            <v>BALDO PAOLO</v>
          </cell>
          <cell r="H239" t="str">
            <v>ITALIA</v>
          </cell>
          <cell r="M239" t="str">
            <v>UFFICIO ACQUISTI</v>
          </cell>
          <cell r="N239" t="str">
            <v>0734 622094</v>
          </cell>
          <cell r="O239" t="str">
            <v>338 7782087</v>
          </cell>
          <cell r="R239" t="str">
            <v>BONIFICO BANCARIO, ALLA DATA DELLA NOSTRA CONFERMA D'ORDINE</v>
          </cell>
          <cell r="X239">
            <v>0.25</v>
          </cell>
          <cell r="Y239">
            <v>-0.04</v>
          </cell>
          <cell r="AB239">
            <v>0.25</v>
          </cell>
          <cell r="AC239">
            <v>0.25</v>
          </cell>
          <cell r="AD239">
            <v>0.25</v>
          </cell>
          <cell r="AE239">
            <v>0.25</v>
          </cell>
          <cell r="AF239">
            <v>0.25</v>
          </cell>
          <cell r="AG239">
            <v>0.25</v>
          </cell>
          <cell r="AH239">
            <v>0.25</v>
          </cell>
          <cell r="AI239">
            <v>0.25</v>
          </cell>
          <cell r="AJ239">
            <v>0.25</v>
          </cell>
          <cell r="AK239">
            <v>0.25</v>
          </cell>
          <cell r="AL239">
            <v>0.25</v>
          </cell>
          <cell r="AM239">
            <v>0.25</v>
          </cell>
          <cell r="AN239">
            <v>0.25</v>
          </cell>
          <cell r="AO239">
            <v>0.25</v>
          </cell>
          <cell r="AP239">
            <v>0.25</v>
          </cell>
          <cell r="AQ239">
            <v>0.25</v>
          </cell>
          <cell r="AR239">
            <v>0.25</v>
          </cell>
          <cell r="AS239">
            <v>0.25</v>
          </cell>
          <cell r="AT239">
            <v>-0.04</v>
          </cell>
          <cell r="AU239">
            <v>0.92</v>
          </cell>
          <cell r="AV239">
            <v>20</v>
          </cell>
          <cell r="AY239" t="str">
            <v/>
          </cell>
          <cell r="AZ239">
            <v>0.25</v>
          </cell>
          <cell r="BA239">
            <v>0.25</v>
          </cell>
        </row>
        <row r="240">
          <cell r="A240" t="str">
            <v>BALDO SRL INFISSI IN LEGNO</v>
          </cell>
          <cell r="D240" t="str">
            <v>VIA DELLE INDUSTRIE 3</v>
          </cell>
          <cell r="E240" t="str">
            <v>30020</v>
          </cell>
          <cell r="F240" t="str">
            <v>ERACLEA</v>
          </cell>
          <cell r="G240" t="str">
            <v>VE</v>
          </cell>
          <cell r="H240" t="str">
            <v>ITALIA</v>
          </cell>
          <cell r="J240" t="str">
            <v>03878620271</v>
          </cell>
          <cell r="M240" t="str">
            <v>UFFICIO ACQUISTI</v>
          </cell>
          <cell r="N240" t="str">
            <v>0421 234918</v>
          </cell>
          <cell r="P240" t="str">
            <v>baldofalegnameria@libero.it</v>
          </cell>
          <cell r="R240" t="str">
            <v>BONIFICO BANCARIO, ALLA DATA DELLA NOSTRA CONFERMA D'ORDINE</v>
          </cell>
          <cell r="X240">
            <v>0.25</v>
          </cell>
          <cell r="Y240">
            <v>-0.04</v>
          </cell>
          <cell r="AB240">
            <v>0.25</v>
          </cell>
          <cell r="AC240">
            <v>0.25</v>
          </cell>
          <cell r="AD240">
            <v>0.25</v>
          </cell>
          <cell r="AE240">
            <v>0.25</v>
          </cell>
          <cell r="AF240">
            <v>0.25</v>
          </cell>
          <cell r="AG240">
            <v>0.25</v>
          </cell>
          <cell r="AH240">
            <v>0.25</v>
          </cell>
          <cell r="AI240">
            <v>0.25</v>
          </cell>
          <cell r="AJ240">
            <v>0.25</v>
          </cell>
          <cell r="AK240">
            <v>0.25</v>
          </cell>
          <cell r="AL240">
            <v>0.25</v>
          </cell>
          <cell r="AM240">
            <v>0.25</v>
          </cell>
          <cell r="AN240">
            <v>0.25</v>
          </cell>
          <cell r="AO240">
            <v>0.25</v>
          </cell>
          <cell r="AP240">
            <v>0.25</v>
          </cell>
          <cell r="AQ240">
            <v>0.25</v>
          </cell>
          <cell r="AR240">
            <v>0.25</v>
          </cell>
          <cell r="AS240">
            <v>0.25</v>
          </cell>
          <cell r="AT240">
            <v>-0.04</v>
          </cell>
          <cell r="AU240">
            <v>0.92</v>
          </cell>
          <cell r="AV240">
            <v>20</v>
          </cell>
          <cell r="AY240" t="str">
            <v/>
          </cell>
          <cell r="AZ240">
            <v>0.25</v>
          </cell>
          <cell r="BA240">
            <v>0.25</v>
          </cell>
        </row>
        <row r="241">
          <cell r="A241" t="str">
            <v>BALDUSSI MASSIMO INFISSI</v>
          </cell>
          <cell r="B241" t="str">
            <v>SOLO BIGLIETTO DA VISITA            MICAEL</v>
          </cell>
          <cell r="D241" t="str">
            <v>VIA CAGLIARI SN - EX S.P. SESTU-ELMAS</v>
          </cell>
          <cell r="E241" t="str">
            <v>09028</v>
          </cell>
          <cell r="F241" t="str">
            <v>SESTU</v>
          </cell>
          <cell r="G241" t="str">
            <v>CA</v>
          </cell>
          <cell r="H241" t="str">
            <v>ITALIA</v>
          </cell>
          <cell r="M241" t="str">
            <v>UFFICIO ACQUISTI</v>
          </cell>
          <cell r="N241" t="str">
            <v>070 239036</v>
          </cell>
          <cell r="O241" t="str">
            <v>345 3966460   338 5414416 UFFICIO</v>
          </cell>
          <cell r="P241" t="str">
            <v>commerciale.baldussi@gmail.com</v>
          </cell>
          <cell r="R241" t="str">
            <v>BONIFICO BANCARIO, ALLA DATA DELLA NOSTRA CONFERMA D'ORDINE</v>
          </cell>
          <cell r="X241">
            <v>0.25</v>
          </cell>
          <cell r="Y241">
            <v>-0.04</v>
          </cell>
          <cell r="AB241">
            <v>0.25</v>
          </cell>
          <cell r="AC241">
            <v>0.25</v>
          </cell>
          <cell r="AD241">
            <v>0.25</v>
          </cell>
          <cell r="AE241">
            <v>0.25</v>
          </cell>
          <cell r="AF241">
            <v>0.25</v>
          </cell>
          <cell r="AG241">
            <v>0.25</v>
          </cell>
          <cell r="AH241">
            <v>0.25</v>
          </cell>
          <cell r="AI241">
            <v>0.25</v>
          </cell>
          <cell r="AJ241">
            <v>0.25</v>
          </cell>
          <cell r="AK241">
            <v>0.25</v>
          </cell>
          <cell r="AL241">
            <v>0.25</v>
          </cell>
          <cell r="AM241">
            <v>0.25</v>
          </cell>
          <cell r="AN241">
            <v>0.25</v>
          </cell>
          <cell r="AO241">
            <v>0.25</v>
          </cell>
          <cell r="AP241">
            <v>0.25</v>
          </cell>
          <cell r="AQ241">
            <v>0.25</v>
          </cell>
          <cell r="AR241">
            <v>0.25</v>
          </cell>
          <cell r="AS241">
            <v>0.25</v>
          </cell>
          <cell r="AT241">
            <v>-0.04</v>
          </cell>
          <cell r="AU241">
            <v>0.92</v>
          </cell>
          <cell r="AV241">
            <v>20</v>
          </cell>
          <cell r="AZ241">
            <v>0.25</v>
          </cell>
          <cell r="BA241">
            <v>0.25</v>
          </cell>
        </row>
        <row r="242">
          <cell r="A242" t="str">
            <v>BALLABENE SERRAMENTI SRL</v>
          </cell>
          <cell r="D242" t="str">
            <v>VIA PIACENZA, 179 B</v>
          </cell>
          <cell r="E242" t="str">
            <v>16138</v>
          </cell>
          <cell r="F242" t="str">
            <v>GENOVA</v>
          </cell>
          <cell r="G242" t="str">
            <v>GE</v>
          </cell>
          <cell r="H242" t="str">
            <v>ITALIA</v>
          </cell>
          <cell r="M242" t="str">
            <v>UFFICIO ACQUISTI</v>
          </cell>
          <cell r="O242" t="str">
            <v>335 7611653</v>
          </cell>
          <cell r="P242" t="str">
            <v>ballabeneserramenti@gmail.com</v>
          </cell>
          <cell r="R242" t="str">
            <v>BONIFICO BANCARIO, ALLA DATA DELLA NOSTRA CONFERMA D'ORDINE</v>
          </cell>
          <cell r="X242">
            <v>0.2</v>
          </cell>
          <cell r="Y242">
            <v>-0.04</v>
          </cell>
          <cell r="AB242">
            <v>0.2</v>
          </cell>
          <cell r="AC242">
            <v>0.2</v>
          </cell>
          <cell r="AD242">
            <v>0.2</v>
          </cell>
          <cell r="AE242">
            <v>0.2</v>
          </cell>
          <cell r="AF242">
            <v>0.2</v>
          </cell>
          <cell r="AG242">
            <v>0.2</v>
          </cell>
          <cell r="AH242">
            <v>0.2</v>
          </cell>
          <cell r="AI242">
            <v>0.2</v>
          </cell>
          <cell r="AJ242">
            <v>0.2</v>
          </cell>
          <cell r="AK242">
            <v>0.2</v>
          </cell>
          <cell r="AL242">
            <v>0.2</v>
          </cell>
          <cell r="AM242">
            <v>0.2</v>
          </cell>
          <cell r="AN242">
            <v>0.2</v>
          </cell>
          <cell r="AO242">
            <v>0.2</v>
          </cell>
          <cell r="AP242">
            <v>0.2</v>
          </cell>
          <cell r="AQ242">
            <v>0.2</v>
          </cell>
          <cell r="AR242">
            <v>0.2</v>
          </cell>
          <cell r="AS242">
            <v>0.2</v>
          </cell>
          <cell r="AT242">
            <v>-0.04</v>
          </cell>
          <cell r="AU242">
            <v>0.92</v>
          </cell>
          <cell r="AV242">
            <v>20</v>
          </cell>
          <cell r="AZ242">
            <v>0.2</v>
          </cell>
          <cell r="BA242">
            <v>0.2</v>
          </cell>
        </row>
        <row r="243">
          <cell r="A243" t="str">
            <v>BANDIERA SERRAMENTI</v>
          </cell>
          <cell r="D243" t="str">
            <v>VIA GARESSIO, 113</v>
          </cell>
          <cell r="E243">
            <v>18100</v>
          </cell>
          <cell r="F243" t="str">
            <v>IMPERIA</v>
          </cell>
          <cell r="G243" t="str">
            <v>IM</v>
          </cell>
          <cell r="H243" t="str">
            <v>ITALIA</v>
          </cell>
          <cell r="M243" t="str">
            <v>UFFICIO ACQUISTI</v>
          </cell>
          <cell r="N243" t="str">
            <v>0183 296615</v>
          </cell>
          <cell r="P243" t="str">
            <v>info@bandieraserramenti.it</v>
          </cell>
          <cell r="R243" t="str">
            <v>BONIFICO BANCARIO, ALLA DATA DELLA NOSTRA CONFERMA D'ORDINE</v>
          </cell>
          <cell r="X243">
            <v>0.25</v>
          </cell>
          <cell r="Y243">
            <v>-0.04</v>
          </cell>
          <cell r="AB243">
            <v>0.25</v>
          </cell>
          <cell r="AC243">
            <v>0.25</v>
          </cell>
          <cell r="AD243">
            <v>0.25</v>
          </cell>
          <cell r="AE243">
            <v>0.25</v>
          </cell>
          <cell r="AF243">
            <v>0.25</v>
          </cell>
          <cell r="AG243">
            <v>0.25</v>
          </cell>
          <cell r="AH243">
            <v>0.25</v>
          </cell>
          <cell r="AI243">
            <v>0.25</v>
          </cell>
          <cell r="AJ243">
            <v>0.25</v>
          </cell>
          <cell r="AK243">
            <v>0.25</v>
          </cell>
          <cell r="AL243">
            <v>0.25</v>
          </cell>
          <cell r="AM243">
            <v>0.25</v>
          </cell>
          <cell r="AN243">
            <v>0.25</v>
          </cell>
          <cell r="AO243">
            <v>0.25</v>
          </cell>
          <cell r="AP243">
            <v>0.25</v>
          </cell>
          <cell r="AQ243">
            <v>0.25</v>
          </cell>
          <cell r="AR243">
            <v>0.25</v>
          </cell>
          <cell r="AS243">
            <v>0.25</v>
          </cell>
          <cell r="AT243">
            <v>-0.04</v>
          </cell>
          <cell r="AU243">
            <v>0.92</v>
          </cell>
          <cell r="AV243">
            <v>20</v>
          </cell>
          <cell r="AY243" t="str">
            <v/>
          </cell>
          <cell r="AZ243">
            <v>0.25</v>
          </cell>
          <cell r="BA243">
            <v>0.25</v>
          </cell>
        </row>
        <row r="244">
          <cell r="A244" t="str">
            <v xml:space="preserve">BARATTIN </v>
          </cell>
          <cell r="B244" t="str">
            <v>FERRAMENTA PICCOLO  PADRE E FIGLIA</v>
          </cell>
          <cell r="D244" t="str">
            <v>VIA AL LAGO, 15</v>
          </cell>
          <cell r="E244" t="str">
            <v>32015</v>
          </cell>
          <cell r="F244" t="str">
            <v>PUOS D'ALPAGO</v>
          </cell>
          <cell r="G244" t="str">
            <v>BL</v>
          </cell>
          <cell r="H244" t="str">
            <v>ITALIA</v>
          </cell>
          <cell r="I244" t="str">
            <v>BRTNNA64L66H092A</v>
          </cell>
          <cell r="J244" t="str">
            <v>00870750254</v>
          </cell>
          <cell r="M244" t="str">
            <v>UFFICIO ACQUISTI</v>
          </cell>
          <cell r="N244" t="str">
            <v>0437 46291</v>
          </cell>
          <cell r="O244" t="str">
            <v>340 5158950</v>
          </cell>
          <cell r="R244" t="str">
            <v>BONIFICO BANCARIO, ALLA DATA DELLA NOSTRA CONFERMA D'ORDINE</v>
          </cell>
          <cell r="X244">
            <v>0.25</v>
          </cell>
          <cell r="Y244">
            <v>-0.04</v>
          </cell>
          <cell r="AB244">
            <v>0.25</v>
          </cell>
          <cell r="AC244">
            <v>0.25</v>
          </cell>
          <cell r="AD244">
            <v>0.25</v>
          </cell>
          <cell r="AE244">
            <v>0.25</v>
          </cell>
          <cell r="AF244">
            <v>0.25</v>
          </cell>
          <cell r="AG244">
            <v>0.25</v>
          </cell>
          <cell r="AH244">
            <v>0.25</v>
          </cell>
          <cell r="AI244">
            <v>0.25</v>
          </cell>
          <cell r="AJ244">
            <v>0.25</v>
          </cell>
          <cell r="AK244">
            <v>0.25</v>
          </cell>
          <cell r="AL244">
            <v>0.25</v>
          </cell>
          <cell r="AM244">
            <v>0.25</v>
          </cell>
          <cell r="AN244">
            <v>0.25</v>
          </cell>
          <cell r="AO244">
            <v>0.25</v>
          </cell>
          <cell r="AP244">
            <v>0.25</v>
          </cell>
          <cell r="AQ244">
            <v>0.25</v>
          </cell>
          <cell r="AR244">
            <v>0.25</v>
          </cell>
          <cell r="AS244">
            <v>0.25</v>
          </cell>
          <cell r="AT244">
            <v>-0.04</v>
          </cell>
          <cell r="AU244">
            <v>0.92</v>
          </cell>
          <cell r="AV244">
            <v>20</v>
          </cell>
          <cell r="AZ244">
            <v>0.25</v>
          </cell>
          <cell r="BA244">
            <v>0.25</v>
          </cell>
        </row>
        <row r="245">
          <cell r="A245" t="str">
            <v xml:space="preserve">BARBA SERRAMENTI </v>
          </cell>
          <cell r="B245" t="str">
            <v>campione ok 30% carpenteria gratuita</v>
          </cell>
          <cell r="D245" t="str">
            <v>CONTRADA MONTICELLI</v>
          </cell>
          <cell r="E245" t="str">
            <v>93014</v>
          </cell>
          <cell r="F245" t="str">
            <v>MUSSOMELI</v>
          </cell>
          <cell r="G245" t="str">
            <v>CL</v>
          </cell>
          <cell r="H245" t="str">
            <v>ITALIA</v>
          </cell>
          <cell r="M245" t="str">
            <v>UFFICIO ACQUISTI</v>
          </cell>
          <cell r="N245" t="str">
            <v>338 7566368 SALVATORE</v>
          </cell>
          <cell r="O245" t="str">
            <v>338 5495745 MARIO</v>
          </cell>
          <cell r="P245" t="str">
            <v>barbasnc@gmail.com</v>
          </cell>
          <cell r="R245" t="str">
            <v>BONIFICO BANCARIO, ALLA DATA DELLA NOSTRA CONFERMA D'ORDINE</v>
          </cell>
          <cell r="X245">
            <v>0.25</v>
          </cell>
          <cell r="Y245">
            <v>-0.04</v>
          </cell>
          <cell r="AB245">
            <v>0.25</v>
          </cell>
          <cell r="AC245">
            <v>0.25</v>
          </cell>
          <cell r="AD245">
            <v>0.25</v>
          </cell>
          <cell r="AE245">
            <v>0.25</v>
          </cell>
          <cell r="AF245">
            <v>0.25</v>
          </cell>
          <cell r="AG245">
            <v>0.25</v>
          </cell>
          <cell r="AH245">
            <v>0.25</v>
          </cell>
          <cell r="AI245">
            <v>0.25</v>
          </cell>
          <cell r="AJ245">
            <v>0.25</v>
          </cell>
          <cell r="AK245">
            <v>0.25</v>
          </cell>
          <cell r="AL245">
            <v>0.25</v>
          </cell>
          <cell r="AM245">
            <v>0.25</v>
          </cell>
          <cell r="AN245">
            <v>0.25</v>
          </cell>
          <cell r="AO245">
            <v>0.25</v>
          </cell>
          <cell r="AP245">
            <v>0.25</v>
          </cell>
          <cell r="AQ245">
            <v>0.25</v>
          </cell>
          <cell r="AR245">
            <v>0.25</v>
          </cell>
          <cell r="AS245">
            <v>0.25</v>
          </cell>
          <cell r="AT245">
            <v>-0.04</v>
          </cell>
          <cell r="AU245">
            <v>0.92</v>
          </cell>
          <cell r="AV245">
            <v>20</v>
          </cell>
          <cell r="AY245" t="str">
            <v/>
          </cell>
          <cell r="AZ245">
            <v>0.25</v>
          </cell>
          <cell r="BA245">
            <v>0.25</v>
          </cell>
        </row>
        <row r="246">
          <cell r="A246" t="str">
            <v>BARBAZZA SERRAMENTI</v>
          </cell>
          <cell r="B246" t="str">
            <v>DAVIDE BARBAZZA</v>
          </cell>
          <cell r="D246" t="str">
            <v>VIA PIVERAN, 1</v>
          </cell>
          <cell r="E246" t="str">
            <v>30027</v>
          </cell>
          <cell r="F246" t="str">
            <v xml:space="preserve">SAN DONA' DI PIAVE </v>
          </cell>
          <cell r="G246" t="str">
            <v>VE</v>
          </cell>
          <cell r="H246" t="str">
            <v>ITALIA</v>
          </cell>
          <cell r="J246" t="str">
            <v>04305690275</v>
          </cell>
          <cell r="M246" t="str">
            <v>UFFICIO ACQUISTI</v>
          </cell>
          <cell r="N246" t="str">
            <v>0421 320210</v>
          </cell>
          <cell r="P246" t="str">
            <v>barbazzaserramenti@gmail.com</v>
          </cell>
          <cell r="R246" t="str">
            <v>BONIFICO BANCARIO, ALLA DATA DELLA NOSTRA CONFERMA D'ORDINE</v>
          </cell>
          <cell r="X246">
            <v>0.25</v>
          </cell>
          <cell r="Y246">
            <v>-0.04</v>
          </cell>
          <cell r="AB246">
            <v>0.25</v>
          </cell>
          <cell r="AC246">
            <v>0.25</v>
          </cell>
          <cell r="AD246">
            <v>0.25</v>
          </cell>
          <cell r="AE246">
            <v>0.25</v>
          </cell>
          <cell r="AF246">
            <v>0.25</v>
          </cell>
          <cell r="AG246">
            <v>0.25</v>
          </cell>
          <cell r="AH246">
            <v>0.25</v>
          </cell>
          <cell r="AI246">
            <v>0.25</v>
          </cell>
          <cell r="AJ246">
            <v>0.25</v>
          </cell>
          <cell r="AK246">
            <v>0.25</v>
          </cell>
          <cell r="AL246">
            <v>0.25</v>
          </cell>
          <cell r="AM246">
            <v>0.25</v>
          </cell>
          <cell r="AN246">
            <v>0.25</v>
          </cell>
          <cell r="AO246">
            <v>0.25</v>
          </cell>
          <cell r="AP246">
            <v>0.25</v>
          </cell>
          <cell r="AQ246">
            <v>0.25</v>
          </cell>
          <cell r="AR246">
            <v>0.25</v>
          </cell>
          <cell r="AS246">
            <v>0.25</v>
          </cell>
          <cell r="AT246">
            <v>-0.04</v>
          </cell>
          <cell r="AU246">
            <v>0.92</v>
          </cell>
          <cell r="AV246">
            <v>20</v>
          </cell>
          <cell r="AY246" t="str">
            <v/>
          </cell>
          <cell r="AZ246">
            <v>0.25</v>
          </cell>
          <cell r="BA246">
            <v>0.25</v>
          </cell>
        </row>
        <row r="247">
          <cell r="A247" t="str">
            <v>BARIONI INFISSI DI BARIONI FEDERICO E C. SAS</v>
          </cell>
          <cell r="D247" t="str">
            <v>VIA BELLARIA 3/2</v>
          </cell>
          <cell r="E247" t="str">
            <v>40139</v>
          </cell>
          <cell r="F247" t="str">
            <v>BOLOGNA</v>
          </cell>
          <cell r="G247" t="str">
            <v>BO</v>
          </cell>
          <cell r="H247" t="str">
            <v>ITALIA</v>
          </cell>
          <cell r="J247" t="str">
            <v>02649681208</v>
          </cell>
          <cell r="M247" t="str">
            <v>UFFICIO ACQUISTI</v>
          </cell>
          <cell r="N247" t="str">
            <v>051 543363</v>
          </cell>
          <cell r="P247" t="str">
            <v>info@barioni-infissi.it</v>
          </cell>
          <cell r="R247" t="str">
            <v>BONIFICO BANCARIO, ALLA DATA DELLA NOSTRA CONFERMA D'ORDINE</v>
          </cell>
          <cell r="X247">
            <v>0.25</v>
          </cell>
          <cell r="Y247">
            <v>-0.04</v>
          </cell>
          <cell r="AB247">
            <v>0.25</v>
          </cell>
          <cell r="AC247">
            <v>0.25</v>
          </cell>
          <cell r="AD247">
            <v>0.25</v>
          </cell>
          <cell r="AE247">
            <v>0.25</v>
          </cell>
          <cell r="AF247">
            <v>0.25</v>
          </cell>
          <cell r="AG247">
            <v>0.25</v>
          </cell>
          <cell r="AH247">
            <v>0.25</v>
          </cell>
          <cell r="AI247">
            <v>0.25</v>
          </cell>
          <cell r="AJ247">
            <v>0.25</v>
          </cell>
          <cell r="AK247">
            <v>0.25</v>
          </cell>
          <cell r="AL247">
            <v>0.25</v>
          </cell>
          <cell r="AM247">
            <v>0.25</v>
          </cell>
          <cell r="AN247">
            <v>0.25</v>
          </cell>
          <cell r="AO247">
            <v>0.25</v>
          </cell>
          <cell r="AP247">
            <v>0.25</v>
          </cell>
          <cell r="AQ247">
            <v>0.25</v>
          </cell>
          <cell r="AR247">
            <v>0.25</v>
          </cell>
          <cell r="AS247">
            <v>0.25</v>
          </cell>
          <cell r="AT247">
            <v>-0.04</v>
          </cell>
          <cell r="AU247">
            <v>0.92</v>
          </cell>
          <cell r="AV247">
            <v>20</v>
          </cell>
          <cell r="AY247" t="str">
            <v/>
          </cell>
          <cell r="AZ247">
            <v>0.25</v>
          </cell>
          <cell r="BA247">
            <v>0.25</v>
          </cell>
        </row>
        <row r="248">
          <cell r="A248" t="str">
            <v>BARLETTA G. &amp; PERRONE R. S.N.C.</v>
          </cell>
          <cell r="C248" t="str">
            <v>SP1</v>
          </cell>
          <cell r="D248" t="str">
            <v>LOC. PIE' DI GALLONA</v>
          </cell>
          <cell r="E248">
            <v>19015</v>
          </cell>
          <cell r="F248" t="str">
            <v xml:space="preserve">LEVANTO </v>
          </cell>
          <cell r="G248" t="str">
            <v>SP</v>
          </cell>
          <cell r="H248" t="str">
            <v>ITALIA</v>
          </cell>
          <cell r="I248" t="str">
            <v>01062860117</v>
          </cell>
          <cell r="J248" t="str">
            <v>01062860117</v>
          </cell>
          <cell r="K248" t="str">
            <v>SUBM70N</v>
          </cell>
          <cell r="M248" t="str">
            <v>SIG. ROBERTO</v>
          </cell>
          <cell r="N248" t="str">
            <v>0187 800086</v>
          </cell>
          <cell r="O248" t="str">
            <v>338 4683995</v>
          </cell>
          <cell r="P248" t="str">
            <v>barlettaeperrone@libero.it</v>
          </cell>
          <cell r="R248" t="str">
            <v>BONIFICO BANCARIO, ALLA DATA DELLA NOSTRA CONFERMA D'ORDINE</v>
          </cell>
          <cell r="X248">
            <v>0.25</v>
          </cell>
          <cell r="Y248">
            <v>-0.04</v>
          </cell>
          <cell r="AB248">
            <v>0.25</v>
          </cell>
          <cell r="AC248">
            <v>0.25</v>
          </cell>
          <cell r="AD248">
            <v>0.25</v>
          </cell>
          <cell r="AE248">
            <v>0.25</v>
          </cell>
          <cell r="AF248">
            <v>0.25</v>
          </cell>
          <cell r="AG248">
            <v>0.25</v>
          </cell>
          <cell r="AH248">
            <v>0.25</v>
          </cell>
          <cell r="AI248">
            <v>0.25</v>
          </cell>
          <cell r="AJ248">
            <v>0.25</v>
          </cell>
          <cell r="AK248">
            <v>0.25</v>
          </cell>
          <cell r="AL248">
            <v>0.25</v>
          </cell>
          <cell r="AM248">
            <v>0.25</v>
          </cell>
          <cell r="AN248">
            <v>0.25</v>
          </cell>
          <cell r="AO248">
            <v>0.25</v>
          </cell>
          <cell r="AP248">
            <v>0.25</v>
          </cell>
          <cell r="AQ248">
            <v>0.25</v>
          </cell>
          <cell r="AR248">
            <v>0.25</v>
          </cell>
          <cell r="AS248">
            <v>0.25</v>
          </cell>
          <cell r="AT248">
            <v>-0.04</v>
          </cell>
          <cell r="AU248">
            <v>0.92</v>
          </cell>
          <cell r="AV248">
            <v>20</v>
          </cell>
          <cell r="AY248" t="str">
            <v/>
          </cell>
          <cell r="AZ248">
            <v>0.25</v>
          </cell>
          <cell r="BA248">
            <v>0.25</v>
          </cell>
        </row>
        <row r="249">
          <cell r="A249" t="str">
            <v>BARONI SNC DI BARONI CLAUDIO E C.</v>
          </cell>
          <cell r="D249" t="str">
            <v>VIA DEGLI ARTIGIANI, 32</v>
          </cell>
          <cell r="E249">
            <v>52037</v>
          </cell>
          <cell r="F249" t="str">
            <v>SANSEPOLCRO</v>
          </cell>
          <cell r="G249" t="str">
            <v>AR</v>
          </cell>
          <cell r="H249" t="str">
            <v>ITALIA</v>
          </cell>
          <cell r="I249" t="str">
            <v>01417650510</v>
          </cell>
          <cell r="J249" t="str">
            <v>01417650510</v>
          </cell>
          <cell r="M249" t="str">
            <v>UFFICIO ACQUISTI</v>
          </cell>
          <cell r="N249" t="str">
            <v>0575  749850</v>
          </cell>
          <cell r="P249" t="str">
            <v>ufficiotecnico@baronisi.it</v>
          </cell>
          <cell r="R249" t="str">
            <v>BONIFICO BANCARIO, ALLA DATA DELLA NOSTRA CONFERMA D'ORDINE</v>
          </cell>
          <cell r="X249">
            <v>0.25</v>
          </cell>
          <cell r="Y249">
            <v>-0.04</v>
          </cell>
          <cell r="AB249">
            <v>0.25</v>
          </cell>
          <cell r="AC249">
            <v>0.25</v>
          </cell>
          <cell r="AD249">
            <v>0.25</v>
          </cell>
          <cell r="AE249">
            <v>0.25</v>
          </cell>
          <cell r="AF249">
            <v>0.25</v>
          </cell>
          <cell r="AG249">
            <v>0.25</v>
          </cell>
          <cell r="AH249">
            <v>0.25</v>
          </cell>
          <cell r="AI249">
            <v>0.25</v>
          </cell>
          <cell r="AJ249">
            <v>0.25</v>
          </cell>
          <cell r="AK249">
            <v>0.25</v>
          </cell>
          <cell r="AL249">
            <v>0.25</v>
          </cell>
          <cell r="AM249">
            <v>0.25</v>
          </cell>
          <cell r="AN249">
            <v>0.25</v>
          </cell>
          <cell r="AO249">
            <v>0.25</v>
          </cell>
          <cell r="AP249">
            <v>0.25</v>
          </cell>
          <cell r="AQ249">
            <v>0.25</v>
          </cell>
          <cell r="AR249">
            <v>0.25</v>
          </cell>
          <cell r="AS249">
            <v>0.25</v>
          </cell>
          <cell r="AT249">
            <v>-0.04</v>
          </cell>
          <cell r="AU249">
            <v>0.92</v>
          </cell>
          <cell r="AV249">
            <v>20</v>
          </cell>
          <cell r="AZ249">
            <v>0.25</v>
          </cell>
          <cell r="BA249">
            <v>0.25</v>
          </cell>
        </row>
        <row r="250">
          <cell r="A250" t="str">
            <v>BARONTI &amp; MORETTI SNC</v>
          </cell>
          <cell r="D250" t="str">
            <v>VIA N. RODOLICO 54</v>
          </cell>
          <cell r="E250" t="str">
            <v>51100</v>
          </cell>
          <cell r="F250" t="str">
            <v>PISTOIA</v>
          </cell>
          <cell r="G250" t="str">
            <v>PT</v>
          </cell>
          <cell r="H250" t="str">
            <v>ITALIA</v>
          </cell>
          <cell r="J250" t="str">
            <v>01438490474</v>
          </cell>
          <cell r="M250" t="str">
            <v>UFFICIO ACQUISTI</v>
          </cell>
          <cell r="N250" t="str">
            <v>0573 534596</v>
          </cell>
          <cell r="P250" t="str">
            <v>mail@barontiemoretti.it</v>
          </cell>
          <cell r="R250" t="str">
            <v>BONIFICO BANCARIO, ALLA DATA DELLA NOSTRA CONFERMA D'ORDINE</v>
          </cell>
          <cell r="X250">
            <v>0.25</v>
          </cell>
          <cell r="Y250">
            <v>-0.04</v>
          </cell>
          <cell r="AB250">
            <v>0.25</v>
          </cell>
          <cell r="AC250">
            <v>0.25</v>
          </cell>
          <cell r="AD250">
            <v>0.25</v>
          </cell>
          <cell r="AE250">
            <v>0.25</v>
          </cell>
          <cell r="AF250">
            <v>0.25</v>
          </cell>
          <cell r="AG250">
            <v>0.25</v>
          </cell>
          <cell r="AH250">
            <v>0.25</v>
          </cell>
          <cell r="AI250">
            <v>0.25</v>
          </cell>
          <cell r="AJ250">
            <v>0.25</v>
          </cell>
          <cell r="AK250">
            <v>0.25</v>
          </cell>
          <cell r="AL250">
            <v>0.25</v>
          </cell>
          <cell r="AM250">
            <v>0.25</v>
          </cell>
          <cell r="AN250">
            <v>0.25</v>
          </cell>
          <cell r="AO250">
            <v>0.25</v>
          </cell>
          <cell r="AP250">
            <v>0.25</v>
          </cell>
          <cell r="AQ250">
            <v>0.25</v>
          </cell>
          <cell r="AR250">
            <v>0.25</v>
          </cell>
          <cell r="AS250">
            <v>0.25</v>
          </cell>
          <cell r="AT250">
            <v>-0.04</v>
          </cell>
          <cell r="AU250">
            <v>0.92</v>
          </cell>
          <cell r="AV250">
            <v>20</v>
          </cell>
          <cell r="AY250" t="str">
            <v/>
          </cell>
          <cell r="AZ250">
            <v>0.25</v>
          </cell>
          <cell r="BA250">
            <v>0.25</v>
          </cell>
        </row>
        <row r="251">
          <cell r="A251" t="str">
            <v>BARTOLI SERRAMENTI E DESIGN</v>
          </cell>
          <cell r="D251" t="str">
            <v>VIA UGO FOSCOLO 6 B</v>
          </cell>
          <cell r="E251" t="str">
            <v>34074</v>
          </cell>
          <cell r="F251" t="str">
            <v>MONFALCONE</v>
          </cell>
          <cell r="G251" t="str">
            <v>GO</v>
          </cell>
          <cell r="H251" t="str">
            <v>ITALIA</v>
          </cell>
          <cell r="M251" t="str">
            <v>UFFICIO ACQUISTI</v>
          </cell>
          <cell r="N251" t="str">
            <v>0481 284786</v>
          </cell>
          <cell r="O251" t="str">
            <v>347 4448821</v>
          </cell>
          <cell r="P251" t="str">
            <v>tecnico@serramentibartoli.it</v>
          </cell>
          <cell r="R251" t="str">
            <v>BONIFICO BANCARIO, ALLA DATA DELLA NOSTRA CONFERMA D'ORDINE</v>
          </cell>
          <cell r="X251">
            <v>0.25</v>
          </cell>
          <cell r="Y251">
            <v>-0.04</v>
          </cell>
          <cell r="AB251">
            <v>0.25</v>
          </cell>
          <cell r="AC251">
            <v>0.25</v>
          </cell>
          <cell r="AD251">
            <v>0.25</v>
          </cell>
          <cell r="AE251">
            <v>0.25</v>
          </cell>
          <cell r="AF251">
            <v>0.25</v>
          </cell>
          <cell r="AG251">
            <v>0.25</v>
          </cell>
          <cell r="AH251">
            <v>0.25</v>
          </cell>
          <cell r="AI251">
            <v>0.25</v>
          </cell>
          <cell r="AJ251">
            <v>0.25</v>
          </cell>
          <cell r="AK251">
            <v>0.25</v>
          </cell>
          <cell r="AL251">
            <v>0.25</v>
          </cell>
          <cell r="AM251">
            <v>0.25</v>
          </cell>
          <cell r="AN251">
            <v>0.25</v>
          </cell>
          <cell r="AO251">
            <v>0.25</v>
          </cell>
          <cell r="AP251">
            <v>0.25</v>
          </cell>
          <cell r="AQ251">
            <v>0.25</v>
          </cell>
          <cell r="AR251">
            <v>0.25</v>
          </cell>
          <cell r="AS251">
            <v>0.25</v>
          </cell>
          <cell r="AT251">
            <v>-0.04</v>
          </cell>
          <cell r="AU251">
            <v>0.92</v>
          </cell>
          <cell r="AV251">
            <v>20</v>
          </cell>
          <cell r="AY251" t="str">
            <v/>
          </cell>
          <cell r="AZ251">
            <v>0.25</v>
          </cell>
          <cell r="BA251">
            <v>0.25</v>
          </cell>
        </row>
        <row r="252">
          <cell r="A252" t="str">
            <v xml:space="preserve">BASSETTI </v>
          </cell>
          <cell r="B252" t="str">
            <v>ITALO BASSETTI, SIMONE</v>
          </cell>
          <cell r="D252" t="str">
            <v>STRADA FONTE ROTTA 31</v>
          </cell>
          <cell r="E252" t="str">
            <v>63844</v>
          </cell>
          <cell r="F252" t="str">
            <v>GROTTAZZOLINA</v>
          </cell>
          <cell r="G252" t="str">
            <v>FM</v>
          </cell>
          <cell r="H252" t="str">
            <v>ITALIA</v>
          </cell>
          <cell r="M252" t="str">
            <v>UFFICIO ACQUISTI</v>
          </cell>
          <cell r="N252" t="str">
            <v>0734 631055</v>
          </cell>
          <cell r="P252" t="str">
            <v>info@bassetiserrande.it</v>
          </cell>
          <cell r="R252" t="str">
            <v>BONIFICO BANCARIO, ALLA DATA DELLA NOSTRA CONFERMA D'ORDINE</v>
          </cell>
          <cell r="X252">
            <v>0.25</v>
          </cell>
          <cell r="Y252">
            <v>-0.04</v>
          </cell>
          <cell r="AB252">
            <v>0.25</v>
          </cell>
          <cell r="AC252">
            <v>0.25</v>
          </cell>
          <cell r="AD252">
            <v>0.25</v>
          </cell>
          <cell r="AE252">
            <v>0.25</v>
          </cell>
          <cell r="AF252">
            <v>0.25</v>
          </cell>
          <cell r="AG252">
            <v>0.25</v>
          </cell>
          <cell r="AH252">
            <v>0.25</v>
          </cell>
          <cell r="AI252">
            <v>0.25</v>
          </cell>
          <cell r="AJ252">
            <v>0.25</v>
          </cell>
          <cell r="AK252">
            <v>0.25</v>
          </cell>
          <cell r="AL252">
            <v>0.25</v>
          </cell>
          <cell r="AM252">
            <v>0.25</v>
          </cell>
          <cell r="AN252">
            <v>0.25</v>
          </cell>
          <cell r="AO252">
            <v>0.25</v>
          </cell>
          <cell r="AP252">
            <v>0.25</v>
          </cell>
          <cell r="AQ252">
            <v>0.25</v>
          </cell>
          <cell r="AR252">
            <v>0.25</v>
          </cell>
          <cell r="AS252">
            <v>0.25</v>
          </cell>
          <cell r="AT252">
            <v>-0.04</v>
          </cell>
          <cell r="AU252">
            <v>0.92</v>
          </cell>
          <cell r="AV252">
            <v>20</v>
          </cell>
          <cell r="AZ252">
            <v>0.25</v>
          </cell>
          <cell r="BA252">
            <v>0.25</v>
          </cell>
        </row>
        <row r="253">
          <cell r="A253" t="str">
            <v xml:space="preserve">BAT SERRAMENTI </v>
          </cell>
          <cell r="B253" t="str">
            <v>GIUSEPPE</v>
          </cell>
          <cell r="D253" t="str">
            <v>VIA MALPIGHI 13</v>
          </cell>
          <cell r="E253" t="str">
            <v xml:space="preserve">76123 </v>
          </cell>
          <cell r="F253" t="str">
            <v>ANDRIA</v>
          </cell>
          <cell r="G253" t="str">
            <v>BT</v>
          </cell>
          <cell r="H253" t="str">
            <v>ITALIA</v>
          </cell>
          <cell r="M253" t="str">
            <v>UFFICIO ACQUISTI</v>
          </cell>
          <cell r="N253" t="str">
            <v>0883 594585</v>
          </cell>
          <cell r="P253" t="str">
            <v>info@batserramenti.it</v>
          </cell>
          <cell r="R253" t="str">
            <v>BONIFICO BANCARIO, ALLA DATA DELLA NOSTRA CONFERMA D'ORDINE</v>
          </cell>
          <cell r="X253">
            <v>0.25</v>
          </cell>
          <cell r="Y253">
            <v>-0.04</v>
          </cell>
          <cell r="AB253">
            <v>0.25</v>
          </cell>
          <cell r="AC253">
            <v>0.25</v>
          </cell>
          <cell r="AD253">
            <v>0.25</v>
          </cell>
          <cell r="AE253">
            <v>0.25</v>
          </cell>
          <cell r="AF253">
            <v>0.25</v>
          </cell>
          <cell r="AG253">
            <v>0.25</v>
          </cell>
          <cell r="AH253">
            <v>0.25</v>
          </cell>
          <cell r="AI253">
            <v>0.25</v>
          </cell>
          <cell r="AJ253">
            <v>0.25</v>
          </cell>
          <cell r="AK253">
            <v>0.25</v>
          </cell>
          <cell r="AL253">
            <v>0.25</v>
          </cell>
          <cell r="AM253">
            <v>0.25</v>
          </cell>
          <cell r="AN253">
            <v>0.25</v>
          </cell>
          <cell r="AO253">
            <v>0.25</v>
          </cell>
          <cell r="AP253">
            <v>0.25</v>
          </cell>
          <cell r="AQ253">
            <v>0.25</v>
          </cell>
          <cell r="AR253">
            <v>0.25</v>
          </cell>
          <cell r="AS253">
            <v>0.25</v>
          </cell>
          <cell r="AT253">
            <v>-0.04</v>
          </cell>
          <cell r="AU253">
            <v>0.92</v>
          </cell>
          <cell r="AV253">
            <v>20</v>
          </cell>
          <cell r="AY253" t="str">
            <v/>
          </cell>
          <cell r="AZ253">
            <v>0.25</v>
          </cell>
          <cell r="BA253">
            <v>0.25</v>
          </cell>
        </row>
        <row r="254">
          <cell r="A254" t="str">
            <v>BATTAGIN SNC</v>
          </cell>
          <cell r="D254" t="str">
            <v xml:space="preserve">VIA MOLINI, 67 A </v>
          </cell>
          <cell r="E254">
            <v>25017</v>
          </cell>
          <cell r="F254" t="str">
            <v>LONATO DEL GARDA</v>
          </cell>
          <cell r="G254" t="str">
            <v>BS</v>
          </cell>
          <cell r="H254" t="str">
            <v>ITALIA</v>
          </cell>
          <cell r="M254" t="str">
            <v>UFFICIO ACQUISTI</v>
          </cell>
          <cell r="N254" t="str">
            <v>030 9131284</v>
          </cell>
          <cell r="P254" t="str">
            <v>info@battagininfissi.it</v>
          </cell>
          <cell r="R254" t="str">
            <v>BONIFICO BANCARIO, ALLA DATA DELLA NOSTRA CONFERMA D'ORDINE</v>
          </cell>
          <cell r="X254">
            <v>0.25</v>
          </cell>
          <cell r="Y254">
            <v>-0.04</v>
          </cell>
          <cell r="AB254">
            <v>0.25</v>
          </cell>
          <cell r="AC254">
            <v>0.25</v>
          </cell>
          <cell r="AD254">
            <v>0.25</v>
          </cell>
          <cell r="AE254">
            <v>0.25</v>
          </cell>
          <cell r="AF254">
            <v>0.25</v>
          </cell>
          <cell r="AG254">
            <v>0.25</v>
          </cell>
          <cell r="AH254">
            <v>0.25</v>
          </cell>
          <cell r="AI254">
            <v>0.25</v>
          </cell>
          <cell r="AJ254">
            <v>0.25</v>
          </cell>
          <cell r="AK254">
            <v>0.25</v>
          </cell>
          <cell r="AL254">
            <v>0.25</v>
          </cell>
          <cell r="AM254">
            <v>0.25</v>
          </cell>
          <cell r="AN254">
            <v>0.25</v>
          </cell>
          <cell r="AO254">
            <v>0.25</v>
          </cell>
          <cell r="AP254">
            <v>0.25</v>
          </cell>
          <cell r="AQ254">
            <v>0.25</v>
          </cell>
          <cell r="AR254">
            <v>0.25</v>
          </cell>
          <cell r="AS254">
            <v>0.25</v>
          </cell>
          <cell r="AT254">
            <v>-0.04</v>
          </cell>
          <cell r="AU254">
            <v>0.92</v>
          </cell>
          <cell r="AV254">
            <v>20</v>
          </cell>
          <cell r="AY254" t="str">
            <v/>
          </cell>
          <cell r="AZ254">
            <v>0.25</v>
          </cell>
          <cell r="BA254">
            <v>0.25</v>
          </cell>
        </row>
        <row r="255">
          <cell r="A255" t="str">
            <v>BATTAGLIA PORTE &amp; FINESTRE</v>
          </cell>
          <cell r="D255" t="str">
            <v>VIA ALDO MORO, 121</v>
          </cell>
          <cell r="E255">
            <v>54028</v>
          </cell>
          <cell r="F255" t="str">
            <v>VILLAFRANCA LUNGIANA</v>
          </cell>
          <cell r="G255" t="str">
            <v>MS</v>
          </cell>
          <cell r="H255" t="str">
            <v>ITALIA</v>
          </cell>
          <cell r="J255">
            <v>1189770454</v>
          </cell>
          <cell r="M255" t="str">
            <v>UFFICIO ACQUISTI</v>
          </cell>
          <cell r="N255" t="str">
            <v>0187 1953692</v>
          </cell>
          <cell r="P255" t="str">
            <v>vendite@gebserramenti.it</v>
          </cell>
          <cell r="R255" t="str">
            <v>BONIFICO BANCARIO, ALLA DATA DELLA NOSTRA CONFERMA D'ORDINE</v>
          </cell>
          <cell r="X255">
            <v>0.25</v>
          </cell>
          <cell r="Y255">
            <v>-0.04</v>
          </cell>
          <cell r="AB255">
            <v>0.25</v>
          </cell>
          <cell r="AC255">
            <v>0.25</v>
          </cell>
          <cell r="AD255">
            <v>0.25</v>
          </cell>
          <cell r="AE255">
            <v>0.25</v>
          </cell>
          <cell r="AF255">
            <v>0.25</v>
          </cell>
          <cell r="AG255">
            <v>0.25</v>
          </cell>
          <cell r="AH255">
            <v>0.25</v>
          </cell>
          <cell r="AI255">
            <v>0.25</v>
          </cell>
          <cell r="AJ255">
            <v>0.25</v>
          </cell>
          <cell r="AK255">
            <v>0.25</v>
          </cell>
          <cell r="AL255">
            <v>0.25</v>
          </cell>
          <cell r="AM255">
            <v>0.25</v>
          </cell>
          <cell r="AN255">
            <v>0.25</v>
          </cell>
          <cell r="AO255">
            <v>0.25</v>
          </cell>
          <cell r="AP255">
            <v>0.25</v>
          </cell>
          <cell r="AQ255">
            <v>0.25</v>
          </cell>
          <cell r="AR255">
            <v>0.25</v>
          </cell>
          <cell r="AS255">
            <v>0.25</v>
          </cell>
          <cell r="AT255">
            <v>-0.04</v>
          </cell>
          <cell r="AU255">
            <v>0.92</v>
          </cell>
          <cell r="AV255">
            <v>20</v>
          </cell>
          <cell r="AY255" t="str">
            <v/>
          </cell>
          <cell r="AZ255">
            <v>0.25</v>
          </cell>
          <cell r="BA255">
            <v>0.25</v>
          </cell>
        </row>
        <row r="256">
          <cell r="A256" t="str">
            <v>BAUSYSTEM SRL</v>
          </cell>
          <cell r="D256" t="str">
            <v>VIA ANDREAS HOFER, 3</v>
          </cell>
          <cell r="E256" t="str">
            <v>39010</v>
          </cell>
          <cell r="F256" t="str">
            <v>GARGAZZONE</v>
          </cell>
          <cell r="G256" t="str">
            <v>BZ</v>
          </cell>
          <cell r="H256" t="str">
            <v>ITALIA</v>
          </cell>
          <cell r="J256" t="str">
            <v>01633830219</v>
          </cell>
          <cell r="K256" t="str">
            <v>T04ZHR3</v>
          </cell>
          <cell r="L256" t="str">
            <v>ZONA ARTIGIANALE, 2 - 39051 BRONZOLO (BZ)</v>
          </cell>
          <cell r="M256" t="str">
            <v>SIG. MICHELE MORETTI</v>
          </cell>
          <cell r="N256" t="str">
            <v>0471 590281</v>
          </cell>
          <cell r="P256" t="str">
            <v>michele.moretti@bausystem.it</v>
          </cell>
          <cell r="R256" t="str">
            <v>BONIFICO BANCARIO, ALLA DATA DELLA NOSTRA CONFERMA D'ORDINE</v>
          </cell>
          <cell r="X256">
            <v>0.25</v>
          </cell>
          <cell r="Y256">
            <v>-0.04</v>
          </cell>
          <cell r="AB256">
            <v>0.25</v>
          </cell>
          <cell r="AC256">
            <v>0.25</v>
          </cell>
          <cell r="AD256">
            <v>0.25</v>
          </cell>
          <cell r="AE256">
            <v>0.25</v>
          </cell>
          <cell r="AF256">
            <v>0.25</v>
          </cell>
          <cell r="AG256">
            <v>0.25</v>
          </cell>
          <cell r="AH256">
            <v>0.25</v>
          </cell>
          <cell r="AI256">
            <v>0.25</v>
          </cell>
          <cell r="AJ256">
            <v>0.25</v>
          </cell>
          <cell r="AK256">
            <v>0.25</v>
          </cell>
          <cell r="AL256">
            <v>0.25</v>
          </cell>
          <cell r="AM256">
            <v>0.25</v>
          </cell>
          <cell r="AN256">
            <v>0.25</v>
          </cell>
          <cell r="AO256">
            <v>0.25</v>
          </cell>
          <cell r="AP256">
            <v>0.25</v>
          </cell>
          <cell r="AQ256">
            <v>0.25</v>
          </cell>
          <cell r="AR256">
            <v>0.25</v>
          </cell>
          <cell r="AS256">
            <v>0.25</v>
          </cell>
          <cell r="AT256">
            <v>-0.04</v>
          </cell>
          <cell r="AU256">
            <v>0.92</v>
          </cell>
          <cell r="AV256">
            <v>20</v>
          </cell>
          <cell r="AZ256">
            <v>0.25</v>
          </cell>
          <cell r="BA256">
            <v>0.25</v>
          </cell>
          <cell r="BF256" t="str">
            <v>CLICK RAPID con espositore 30/03/2022</v>
          </cell>
        </row>
        <row r="257">
          <cell r="A257" t="str">
            <v>BAUTECHNIK</v>
          </cell>
          <cell r="B257" t="str">
            <v>KASSEROVER UFFICI ACQUISTI 047 1926111</v>
          </cell>
          <cell r="D257" t="str">
            <v>VIA LUNGARDO, 55</v>
          </cell>
          <cell r="E257" t="str">
            <v>32100</v>
          </cell>
          <cell r="F257" t="str">
            <v>BELLUNO</v>
          </cell>
          <cell r="G257" t="str">
            <v>BL</v>
          </cell>
          <cell r="H257" t="str">
            <v>ITALIA</v>
          </cell>
          <cell r="J257" t="str">
            <v>00602610214</v>
          </cell>
          <cell r="M257" t="str">
            <v>UFFICIO ACQUISTI</v>
          </cell>
          <cell r="N257" t="str">
            <v>0437 1739000</v>
          </cell>
          <cell r="O257" t="str">
            <v>Luigi 347 0766442</v>
          </cell>
          <cell r="P257" t="str">
            <v>info@bautechnik.it</v>
          </cell>
          <cell r="R257" t="str">
            <v>BONIFICO BANCARIO, ALLA DATA DELLA NOSTRA CONFERMA D'ORDINE</v>
          </cell>
          <cell r="X257">
            <v>0.25</v>
          </cell>
          <cell r="Y257">
            <v>-0.04</v>
          </cell>
          <cell r="AB257">
            <v>0.25</v>
          </cell>
          <cell r="AC257">
            <v>0.25</v>
          </cell>
          <cell r="AD257">
            <v>0.25</v>
          </cell>
          <cell r="AE257">
            <v>0.25</v>
          </cell>
          <cell r="AF257">
            <v>0.25</v>
          </cell>
          <cell r="AG257">
            <v>0.25</v>
          </cell>
          <cell r="AH257">
            <v>0.25</v>
          </cell>
          <cell r="AI257">
            <v>0.25</v>
          </cell>
          <cell r="AJ257">
            <v>0.25</v>
          </cell>
          <cell r="AK257">
            <v>0.25</v>
          </cell>
          <cell r="AL257">
            <v>0.25</v>
          </cell>
          <cell r="AM257">
            <v>0.25</v>
          </cell>
          <cell r="AN257">
            <v>0.25</v>
          </cell>
          <cell r="AO257">
            <v>0.25</v>
          </cell>
          <cell r="AP257">
            <v>0.25</v>
          </cell>
          <cell r="AQ257">
            <v>0.25</v>
          </cell>
          <cell r="AR257">
            <v>0.25</v>
          </cell>
          <cell r="AS257">
            <v>0.25</v>
          </cell>
          <cell r="AT257">
            <v>-0.04</v>
          </cell>
          <cell r="AU257">
            <v>0.92</v>
          </cell>
          <cell r="AV257">
            <v>20</v>
          </cell>
          <cell r="AZ257">
            <v>0.25</v>
          </cell>
          <cell r="BA257">
            <v>0.25</v>
          </cell>
        </row>
        <row r="258">
          <cell r="A258" t="str">
            <v>BAVUTTI NELSON</v>
          </cell>
          <cell r="D258" t="str">
            <v>VIA MAESTRI DEL LAVORO, 16/4</v>
          </cell>
          <cell r="E258" t="str">
            <v>41037</v>
          </cell>
          <cell r="F258" t="str">
            <v>MIRANDOLA</v>
          </cell>
          <cell r="G258" t="str">
            <v>MO</v>
          </cell>
          <cell r="H258" t="str">
            <v>ITALIA</v>
          </cell>
          <cell r="J258" t="str">
            <v>0905920369</v>
          </cell>
          <cell r="M258" t="str">
            <v>UFFICIO ACQUISTI</v>
          </cell>
          <cell r="N258" t="str">
            <v>0535 23730</v>
          </cell>
          <cell r="P258" t="str">
            <v>info@bavuttinelson.it</v>
          </cell>
          <cell r="R258" t="str">
            <v>BONIFICO BANCARIO, ALLA DATA DELLA NOSTRA CONFERMA D'ORDINE</v>
          </cell>
          <cell r="X258">
            <v>0.25</v>
          </cell>
          <cell r="Y258">
            <v>-0.04</v>
          </cell>
          <cell r="AB258">
            <v>0.25</v>
          </cell>
          <cell r="AC258">
            <v>0.25</v>
          </cell>
          <cell r="AD258">
            <v>0.25</v>
          </cell>
          <cell r="AE258">
            <v>0.25</v>
          </cell>
          <cell r="AF258">
            <v>0.25</v>
          </cell>
          <cell r="AG258">
            <v>0.25</v>
          </cell>
          <cell r="AH258">
            <v>0.25</v>
          </cell>
          <cell r="AI258">
            <v>0.25</v>
          </cell>
          <cell r="AJ258">
            <v>0.25</v>
          </cell>
          <cell r="AK258">
            <v>0.25</v>
          </cell>
          <cell r="AL258">
            <v>0.25</v>
          </cell>
          <cell r="AM258">
            <v>0.25</v>
          </cell>
          <cell r="AN258">
            <v>0.25</v>
          </cell>
          <cell r="AO258">
            <v>0.25</v>
          </cell>
          <cell r="AP258">
            <v>0.25</v>
          </cell>
          <cell r="AQ258">
            <v>0.25</v>
          </cell>
          <cell r="AR258">
            <v>0.25</v>
          </cell>
          <cell r="AS258">
            <v>0.25</v>
          </cell>
          <cell r="AT258">
            <v>-0.04</v>
          </cell>
          <cell r="AU258">
            <v>0.9</v>
          </cell>
          <cell r="AV258">
            <v>20</v>
          </cell>
          <cell r="AZ258">
            <v>0.25</v>
          </cell>
          <cell r="BA258">
            <v>0.25</v>
          </cell>
        </row>
        <row r="259">
          <cell r="A259" t="str">
            <v xml:space="preserve">BAZZUCCHI INFISSI   </v>
          </cell>
          <cell r="B259" t="str">
            <v>INTERESSANTE</v>
          </cell>
          <cell r="D259" t="str">
            <v>VIA MONTE SELLA, 2</v>
          </cell>
          <cell r="F259" t="str">
            <v>FOLIGNO</v>
          </cell>
          <cell r="G259" t="str">
            <v>PG</v>
          </cell>
          <cell r="H259" t="str">
            <v>ITALIA</v>
          </cell>
          <cell r="M259" t="str">
            <v>UFFICIO ACQUISTI</v>
          </cell>
          <cell r="N259" t="str">
            <v>0742 660974</v>
          </cell>
          <cell r="O259" t="str">
            <v>335 6667457 BAZZUCCHI GIOVANNI</v>
          </cell>
          <cell r="P259" t="str">
            <v>info@bazzucchiinfissi.it</v>
          </cell>
          <cell r="R259" t="str">
            <v>BONIFICO BANCARIO, ALLA DATA DELLA NOSTRA CONFERMA D'ORDINE</v>
          </cell>
          <cell r="Y259">
            <v>-0.04</v>
          </cell>
          <cell r="AT259">
            <v>-0.04</v>
          </cell>
          <cell r="AV259">
            <v>20</v>
          </cell>
          <cell r="AZ259">
            <v>0</v>
          </cell>
          <cell r="BA259">
            <v>0</v>
          </cell>
        </row>
        <row r="260">
          <cell r="A260" t="str">
            <v>BAZZUCCHI INFISSI SNC DI STEFANO E MASSIMILIANO</v>
          </cell>
          <cell r="D260" t="str">
            <v xml:space="preserve">VIA E. BARTOLOMEI </v>
          </cell>
          <cell r="E260" t="str">
            <v>06034</v>
          </cell>
          <cell r="F260" t="str">
            <v>FOLIGNO</v>
          </cell>
          <cell r="G260" t="str">
            <v>PG</v>
          </cell>
          <cell r="H260" t="str">
            <v>ITALIA</v>
          </cell>
          <cell r="J260" t="str">
            <v>02970830549</v>
          </cell>
          <cell r="M260" t="str">
            <v>UFFICIO ACQUISTI</v>
          </cell>
          <cell r="N260" t="str">
            <v>0742 660974</v>
          </cell>
          <cell r="R260" t="str">
            <v>BONIFICO BANCARIO, ALLA DATA DELLA NOSTRA CONFERMA D'ORDINE</v>
          </cell>
          <cell r="X260">
            <v>0.25</v>
          </cell>
          <cell r="Y260">
            <v>-0.04</v>
          </cell>
          <cell r="AB260">
            <v>0.25</v>
          </cell>
          <cell r="AC260">
            <v>0.25</v>
          </cell>
          <cell r="AD260">
            <v>0.25</v>
          </cell>
          <cell r="AE260">
            <v>0.25</v>
          </cell>
          <cell r="AF260">
            <v>0.25</v>
          </cell>
          <cell r="AG260">
            <v>0.25</v>
          </cell>
          <cell r="AH260">
            <v>0.25</v>
          </cell>
          <cell r="AI260">
            <v>0.25</v>
          </cell>
          <cell r="AJ260">
            <v>0.25</v>
          </cell>
          <cell r="AK260">
            <v>0.25</v>
          </cell>
          <cell r="AL260">
            <v>0.25</v>
          </cell>
          <cell r="AM260">
            <v>0.25</v>
          </cell>
          <cell r="AN260">
            <v>0.25</v>
          </cell>
          <cell r="AO260">
            <v>0.25</v>
          </cell>
          <cell r="AP260">
            <v>0.25</v>
          </cell>
          <cell r="AQ260">
            <v>0.25</v>
          </cell>
          <cell r="AR260">
            <v>0.25</v>
          </cell>
          <cell r="AS260">
            <v>0.25</v>
          </cell>
          <cell r="AT260">
            <v>-0.04</v>
          </cell>
          <cell r="AU260">
            <v>0.92</v>
          </cell>
          <cell r="AV260">
            <v>20</v>
          </cell>
          <cell r="AY260" t="str">
            <v/>
          </cell>
          <cell r="AZ260">
            <v>0.25</v>
          </cell>
          <cell r="BA260">
            <v>0.25</v>
          </cell>
        </row>
        <row r="261">
          <cell r="A261" t="str">
            <v>BBC INTERNI</v>
          </cell>
          <cell r="D261" t="str">
            <v>VIA JAMORETTI, 200</v>
          </cell>
          <cell r="E261">
            <v>21056</v>
          </cell>
          <cell r="F261" t="str">
            <v>INDUNO OLONA</v>
          </cell>
          <cell r="G261" t="str">
            <v>VA</v>
          </cell>
          <cell r="H261" t="str">
            <v>ITALIA</v>
          </cell>
          <cell r="M261" t="str">
            <v>UFFICIO ACQUISTI</v>
          </cell>
          <cell r="N261" t="str">
            <v>0332 239220</v>
          </cell>
          <cell r="O261" t="str">
            <v>349 8524286</v>
          </cell>
          <cell r="P261" t="str">
            <v>info@bbcinterni.it</v>
          </cell>
          <cell r="R261" t="str">
            <v>BONIFICO BANCARIO, ALLA DATA DELLA NOSTRA CONFERMA D'ORDINE</v>
          </cell>
          <cell r="X261">
            <v>0.25</v>
          </cell>
          <cell r="Y261">
            <v>-0.04</v>
          </cell>
          <cell r="AB261">
            <v>0.25</v>
          </cell>
          <cell r="AC261">
            <v>0.25</v>
          </cell>
          <cell r="AD261">
            <v>0.25</v>
          </cell>
          <cell r="AE261">
            <v>0.25</v>
          </cell>
          <cell r="AF261">
            <v>0.25</v>
          </cell>
          <cell r="AG261">
            <v>0.25</v>
          </cell>
          <cell r="AH261">
            <v>0.25</v>
          </cell>
          <cell r="AI261">
            <v>0.25</v>
          </cell>
          <cell r="AJ261">
            <v>0.25</v>
          </cell>
          <cell r="AK261">
            <v>0.25</v>
          </cell>
          <cell r="AL261">
            <v>0.25</v>
          </cell>
          <cell r="AM261">
            <v>0.25</v>
          </cell>
          <cell r="AN261">
            <v>0.25</v>
          </cell>
          <cell r="AO261">
            <v>0.25</v>
          </cell>
          <cell r="AP261">
            <v>0.25</v>
          </cell>
          <cell r="AQ261">
            <v>0.25</v>
          </cell>
          <cell r="AR261">
            <v>0.25</v>
          </cell>
          <cell r="AS261">
            <v>0.25</v>
          </cell>
          <cell r="AT261">
            <v>-0.04</v>
          </cell>
          <cell r="AU261">
            <v>0.92</v>
          </cell>
          <cell r="AV261">
            <v>20</v>
          </cell>
          <cell r="AZ261">
            <v>0.25</v>
          </cell>
          <cell r="BA261">
            <v>0.25</v>
          </cell>
        </row>
        <row r="262">
          <cell r="A262" t="str">
            <v>BELLADELLI RICCARDO E MASSIMO SNC</v>
          </cell>
          <cell r="D262" t="str">
            <v>VIA COLOMBARE, 129</v>
          </cell>
          <cell r="E262" t="str">
            <v>25019</v>
          </cell>
          <cell r="F262" t="str">
            <v>SIRMIONE</v>
          </cell>
          <cell r="G262" t="str">
            <v>BS</v>
          </cell>
          <cell r="H262" t="str">
            <v>ITALIA</v>
          </cell>
          <cell r="J262" t="str">
            <v>00586300980</v>
          </cell>
          <cell r="M262" t="str">
            <v>UFFICIO ACQUISTI</v>
          </cell>
          <cell r="N262" t="str">
            <v>030 919035</v>
          </cell>
          <cell r="P262" t="str">
            <v>ferramentabelladelli@libero.it</v>
          </cell>
          <cell r="R262" t="str">
            <v>BONIFICO BANCARIO, ALLA DATA DELLA NOSTRA CONFERMA D'ORDINE</v>
          </cell>
          <cell r="Y262">
            <v>-0.04</v>
          </cell>
          <cell r="AT262">
            <v>-0.04</v>
          </cell>
          <cell r="AV262">
            <v>20</v>
          </cell>
          <cell r="AZ262">
            <v>0</v>
          </cell>
          <cell r="BA262">
            <v>0</v>
          </cell>
        </row>
        <row r="263">
          <cell r="A263" t="str">
            <v>BELZOINO SRL</v>
          </cell>
          <cell r="D263" t="str">
            <v>VIA GRAMSCI, 11 B</v>
          </cell>
          <cell r="E263">
            <v>42023</v>
          </cell>
          <cell r="F263" t="str">
            <v>CADELBOSCO DI SOPRA</v>
          </cell>
          <cell r="G263" t="str">
            <v>RE</v>
          </cell>
          <cell r="H263" t="str">
            <v>ITALIA</v>
          </cell>
          <cell r="M263" t="str">
            <v>UFFICIO ACQUISTI</v>
          </cell>
          <cell r="N263" t="str">
            <v>0522 518750</v>
          </cell>
          <cell r="P263" t="str">
            <v>info@belzoino.it</v>
          </cell>
          <cell r="R263" t="str">
            <v>BONIFICO BANCARIO, ALLA DATA DELLA NOSTRA CONFERMA D'ORDINE</v>
          </cell>
          <cell r="X263">
            <v>0.25</v>
          </cell>
          <cell r="Y263">
            <v>-0.04</v>
          </cell>
          <cell r="AB263">
            <v>0.25</v>
          </cell>
          <cell r="AC263">
            <v>0.25</v>
          </cell>
          <cell r="AD263">
            <v>0.25</v>
          </cell>
          <cell r="AE263">
            <v>0.25</v>
          </cell>
          <cell r="AF263">
            <v>0.25</v>
          </cell>
          <cell r="AG263">
            <v>0.25</v>
          </cell>
          <cell r="AH263">
            <v>0.25</v>
          </cell>
          <cell r="AI263">
            <v>0.25</v>
          </cell>
          <cell r="AJ263">
            <v>0.25</v>
          </cell>
          <cell r="AK263">
            <v>0.25</v>
          </cell>
          <cell r="AL263">
            <v>0.25</v>
          </cell>
          <cell r="AM263">
            <v>0.25</v>
          </cell>
          <cell r="AN263">
            <v>0.25</v>
          </cell>
          <cell r="AO263">
            <v>0.25</v>
          </cell>
          <cell r="AP263">
            <v>0.25</v>
          </cell>
          <cell r="AQ263">
            <v>0.25</v>
          </cell>
          <cell r="AR263">
            <v>0.25</v>
          </cell>
          <cell r="AS263">
            <v>0.25</v>
          </cell>
          <cell r="AT263">
            <v>-0.04</v>
          </cell>
          <cell r="AU263">
            <v>0.92</v>
          </cell>
          <cell r="AV263">
            <v>20</v>
          </cell>
          <cell r="AZ263">
            <v>0.25</v>
          </cell>
          <cell r="BA263">
            <v>0.25</v>
          </cell>
        </row>
        <row r="264">
          <cell r="A264" t="str">
            <v>BEN FATTO CASA</v>
          </cell>
          <cell r="B264" t="str">
            <v>MAURIZIO D'AGOSTINO, LORENA GIANDOMENICO, FELISIANO DI SANTE 02/03 NON INTERESSATI!</v>
          </cell>
          <cell r="D264" t="str">
            <v>VIALE MATRINO, 160/162 (NAZIONALE SUD)</v>
          </cell>
          <cell r="E264" t="str">
            <v>65013</v>
          </cell>
          <cell r="F264" t="str">
            <v>CITTA' SANT'ANGELO</v>
          </cell>
          <cell r="G264" t="str">
            <v>PE</v>
          </cell>
          <cell r="H264" t="str">
            <v>ITALIA</v>
          </cell>
          <cell r="J264" t="str">
            <v>02230370682</v>
          </cell>
          <cell r="M264" t="str">
            <v>UFFICIO ACQUISTI</v>
          </cell>
          <cell r="O264" t="str">
            <v>350 0859835 - 348 5622605 - 335 7636637</v>
          </cell>
          <cell r="P264" t="str">
            <v>benfattocasa@gmail.com</v>
          </cell>
          <cell r="R264" t="str">
            <v>BONIFICO BANCARIO, ALLA DATA DELLA NOSTRA CONFERMA D'ORDINE</v>
          </cell>
          <cell r="X264">
            <v>0.25</v>
          </cell>
          <cell r="Y264">
            <v>-0.04</v>
          </cell>
          <cell r="AB264">
            <v>0.25</v>
          </cell>
          <cell r="AC264">
            <v>0.25</v>
          </cell>
          <cell r="AD264">
            <v>0.25</v>
          </cell>
          <cell r="AE264">
            <v>0.25</v>
          </cell>
          <cell r="AF264">
            <v>0.25</v>
          </cell>
          <cell r="AG264">
            <v>0.25</v>
          </cell>
          <cell r="AH264">
            <v>0.25</v>
          </cell>
          <cell r="AI264">
            <v>0.25</v>
          </cell>
          <cell r="AJ264">
            <v>0.25</v>
          </cell>
          <cell r="AK264">
            <v>0.25</v>
          </cell>
          <cell r="AL264">
            <v>0.25</v>
          </cell>
          <cell r="AM264">
            <v>0.25</v>
          </cell>
          <cell r="AN264">
            <v>0.25</v>
          </cell>
          <cell r="AO264">
            <v>0.25</v>
          </cell>
          <cell r="AP264">
            <v>0.25</v>
          </cell>
          <cell r="AQ264">
            <v>0.25</v>
          </cell>
          <cell r="AR264">
            <v>0.25</v>
          </cell>
          <cell r="AS264">
            <v>0.25</v>
          </cell>
          <cell r="AT264">
            <v>-0.04</v>
          </cell>
          <cell r="AU264">
            <v>0.92</v>
          </cell>
          <cell r="AV264">
            <v>20</v>
          </cell>
          <cell r="AY264" t="str">
            <v/>
          </cell>
          <cell r="AZ264">
            <v>0.25</v>
          </cell>
          <cell r="BA264">
            <v>0.25</v>
          </cell>
        </row>
        <row r="265">
          <cell r="A265" t="str">
            <v>BENACUS SERRATURE</v>
          </cell>
          <cell r="D265" t="str">
            <v>VIA ANDREIS, 41</v>
          </cell>
          <cell r="E265" t="str">
            <v>25015</v>
          </cell>
          <cell r="F265" t="str">
            <v>DESENZANO DEL GARDA</v>
          </cell>
          <cell r="G265" t="str">
            <v>BS</v>
          </cell>
          <cell r="H265" t="str">
            <v>ITALIA</v>
          </cell>
          <cell r="M265" t="str">
            <v>UFFICIO ACQUISTI</v>
          </cell>
          <cell r="N265" t="str">
            <v>030 9121578</v>
          </cell>
          <cell r="P265" t="str">
            <v>info@benacusserrature.it</v>
          </cell>
          <cell r="R265" t="str">
            <v>BONIFICO BANCARIO, ALLA DATA DELLA NOSTRA CONFERMA D'ORDINE</v>
          </cell>
          <cell r="Y265">
            <v>-0.04</v>
          </cell>
          <cell r="AT265">
            <v>-0.04</v>
          </cell>
          <cell r="AV265">
            <v>20</v>
          </cell>
          <cell r="AZ265">
            <v>0</v>
          </cell>
          <cell r="BA265">
            <v>0</v>
          </cell>
        </row>
        <row r="266">
          <cell r="A266" t="str">
            <v>BENERICETTI SNC INFISSI IN ALLUMINIO E PVC</v>
          </cell>
          <cell r="D266" t="str">
            <v>VIA A. CENNI 14</v>
          </cell>
          <cell r="E266">
            <v>48010</v>
          </cell>
          <cell r="F266" t="str">
            <v>CASOLA VALSENIO</v>
          </cell>
          <cell r="G266" t="str">
            <v>RA</v>
          </cell>
          <cell r="H266" t="str">
            <v>ITALIA</v>
          </cell>
          <cell r="J266" t="str">
            <v>00961830395</v>
          </cell>
          <cell r="M266" t="str">
            <v>UFFICIO ACQUISTI</v>
          </cell>
          <cell r="N266" t="str">
            <v>0546 73929</v>
          </cell>
          <cell r="P266" t="str">
            <v>domenico@benericetti.it</v>
          </cell>
          <cell r="R266" t="str">
            <v>BONIFICO BANCARIO, ALLA DATA DELLA NOSTRA CONFERMA D'ORDINE</v>
          </cell>
          <cell r="X266">
            <v>0.25</v>
          </cell>
          <cell r="Y266">
            <v>-0.04</v>
          </cell>
          <cell r="AB266">
            <v>0.25</v>
          </cell>
          <cell r="AC266">
            <v>0.25</v>
          </cell>
          <cell r="AD266">
            <v>0.25</v>
          </cell>
          <cell r="AE266">
            <v>0.25</v>
          </cell>
          <cell r="AF266">
            <v>0.25</v>
          </cell>
          <cell r="AG266">
            <v>0.25</v>
          </cell>
          <cell r="AH266">
            <v>0.25</v>
          </cell>
          <cell r="AI266">
            <v>0.25</v>
          </cell>
          <cell r="AJ266">
            <v>0.25</v>
          </cell>
          <cell r="AK266">
            <v>0.25</v>
          </cell>
          <cell r="AL266">
            <v>0.25</v>
          </cell>
          <cell r="AM266">
            <v>0.25</v>
          </cell>
          <cell r="AN266">
            <v>0.25</v>
          </cell>
          <cell r="AO266">
            <v>0.25</v>
          </cell>
          <cell r="AP266">
            <v>0.25</v>
          </cell>
          <cell r="AQ266">
            <v>0.25</v>
          </cell>
          <cell r="AR266">
            <v>0.25</v>
          </cell>
          <cell r="AS266">
            <v>0.25</v>
          </cell>
          <cell r="AT266">
            <v>-0.04</v>
          </cell>
          <cell r="AU266">
            <v>0.92</v>
          </cell>
          <cell r="AV266">
            <v>20</v>
          </cell>
          <cell r="AY266" t="str">
            <v/>
          </cell>
          <cell r="AZ266">
            <v>0.25</v>
          </cell>
          <cell r="BA266">
            <v>0.25</v>
          </cell>
        </row>
        <row r="267">
          <cell r="A267" t="str">
            <v>BENNATO SAS</v>
          </cell>
          <cell r="D267" t="str">
            <v>VIA TRAV. STRADA NUOVA AMENDOLA 205</v>
          </cell>
          <cell r="E267" t="str">
            <v>84087</v>
          </cell>
          <cell r="F267" t="str">
            <v>SARNO</v>
          </cell>
          <cell r="G267" t="str">
            <v>SA</v>
          </cell>
          <cell r="H267" t="str">
            <v>ITALIA</v>
          </cell>
          <cell r="J267" t="str">
            <v>04067470650</v>
          </cell>
          <cell r="M267" t="str">
            <v>UFFICIO ACQUISTI</v>
          </cell>
          <cell r="N267" t="str">
            <v>081 943412</v>
          </cell>
          <cell r="P267" t="str">
            <v>info@bennatosas.it</v>
          </cell>
          <cell r="R267" t="str">
            <v>BONIFICO BANCARIO, ALLA DATA DELLA NOSTRA CONFERMA D'ORDINE</v>
          </cell>
          <cell r="X267">
            <v>0.25</v>
          </cell>
          <cell r="Y267">
            <v>-0.04</v>
          </cell>
          <cell r="AB267">
            <v>0.25</v>
          </cell>
          <cell r="AC267">
            <v>0.25</v>
          </cell>
          <cell r="AD267">
            <v>0.25</v>
          </cell>
          <cell r="AE267">
            <v>0.25</v>
          </cell>
          <cell r="AF267">
            <v>0.25</v>
          </cell>
          <cell r="AG267">
            <v>0.25</v>
          </cell>
          <cell r="AH267">
            <v>0.25</v>
          </cell>
          <cell r="AI267">
            <v>0.25</v>
          </cell>
          <cell r="AJ267">
            <v>0.25</v>
          </cell>
          <cell r="AK267">
            <v>0.25</v>
          </cell>
          <cell r="AL267">
            <v>0.25</v>
          </cell>
          <cell r="AM267">
            <v>0.25</v>
          </cell>
          <cell r="AN267">
            <v>0.25</v>
          </cell>
          <cell r="AO267">
            <v>0.25</v>
          </cell>
          <cell r="AP267">
            <v>0.25</v>
          </cell>
          <cell r="AQ267">
            <v>0.25</v>
          </cell>
          <cell r="AR267">
            <v>0.25</v>
          </cell>
          <cell r="AS267">
            <v>0.25</v>
          </cell>
          <cell r="AT267">
            <v>-0.04</v>
          </cell>
          <cell r="AU267">
            <v>0.92</v>
          </cell>
          <cell r="AV267">
            <v>20</v>
          </cell>
          <cell r="AY267" t="str">
            <v/>
          </cell>
          <cell r="AZ267">
            <v>0.25</v>
          </cell>
          <cell r="BA267">
            <v>0.25</v>
          </cell>
        </row>
        <row r="268">
          <cell r="A268" t="str">
            <v>BERGAMO BLINDATE SRL</v>
          </cell>
          <cell r="D268" t="str">
            <v>VIA EUROPA, 13</v>
          </cell>
          <cell r="E268" t="str">
            <v>24027</v>
          </cell>
          <cell r="F268" t="str">
            <v>NEMBRO</v>
          </cell>
          <cell r="G268" t="str">
            <v>BG</v>
          </cell>
          <cell r="H268" t="str">
            <v>ITALIA</v>
          </cell>
          <cell r="M268" t="str">
            <v>UFFICIO ACQUISTI</v>
          </cell>
          <cell r="N268" t="str">
            <v>035 4127333</v>
          </cell>
          <cell r="P268" t="str">
            <v>www.bergamoblindate.it</v>
          </cell>
          <cell r="R268" t="str">
            <v>BONIFICO BANCARIO, ALLA DATA DELLA NOSTRA CONFERMA D'ORDINE</v>
          </cell>
          <cell r="X268">
            <v>0.2</v>
          </cell>
          <cell r="Y268">
            <v>-0.04</v>
          </cell>
          <cell r="AB268">
            <v>0.2</v>
          </cell>
          <cell r="AC268">
            <v>0.2</v>
          </cell>
          <cell r="AD268">
            <v>0.2</v>
          </cell>
          <cell r="AE268">
            <v>0.2</v>
          </cell>
          <cell r="AF268">
            <v>0.2</v>
          </cell>
          <cell r="AG268">
            <v>0.2</v>
          </cell>
          <cell r="AH268">
            <v>0.2</v>
          </cell>
          <cell r="AI268">
            <v>0.2</v>
          </cell>
          <cell r="AJ268">
            <v>0.2</v>
          </cell>
          <cell r="AK268">
            <v>0.2</v>
          </cell>
          <cell r="AL268">
            <v>0.2</v>
          </cell>
          <cell r="AM268">
            <v>0.2</v>
          </cell>
          <cell r="AN268">
            <v>0.2</v>
          </cell>
          <cell r="AO268">
            <v>0.2</v>
          </cell>
          <cell r="AP268">
            <v>0.2</v>
          </cell>
          <cell r="AQ268">
            <v>0.2</v>
          </cell>
          <cell r="AR268">
            <v>0.2</v>
          </cell>
          <cell r="AS268">
            <v>0.2</v>
          </cell>
          <cell r="AT268">
            <v>-0.04</v>
          </cell>
          <cell r="AU268">
            <v>0.92</v>
          </cell>
          <cell r="AV268">
            <v>20</v>
          </cell>
          <cell r="AZ268">
            <v>0.2</v>
          </cell>
          <cell r="BA268">
            <v>0.2</v>
          </cell>
        </row>
        <row r="269">
          <cell r="A269" t="str">
            <v>BERNARDINI SERRAMENTI DI MASSIMILIANO BERNARDINI</v>
          </cell>
          <cell r="D269" t="str">
            <v>VIA GALILEO GALILEI, 7</v>
          </cell>
          <cell r="E269">
            <v>20016</v>
          </cell>
          <cell r="F269" t="str">
            <v>PERO</v>
          </cell>
          <cell r="G269" t="str">
            <v>MI</v>
          </cell>
          <cell r="H269" t="str">
            <v>ITALIA</v>
          </cell>
          <cell r="M269" t="str">
            <v>UFFICIO ACQUISTI</v>
          </cell>
          <cell r="N269" t="str">
            <v>02 48014531</v>
          </cell>
          <cell r="O269" t="str">
            <v>345 3657231</v>
          </cell>
          <cell r="P269" t="str">
            <v>info@bernardiniserramenti.it</v>
          </cell>
          <cell r="R269" t="str">
            <v>BONIFICO BANCARIO, ALLA DATA DELLA NOSTRA CONFERMA D'ORDINE</v>
          </cell>
          <cell r="X269">
            <v>0.25</v>
          </cell>
          <cell r="Y269">
            <v>-0.04</v>
          </cell>
          <cell r="AB269">
            <v>0.25</v>
          </cell>
          <cell r="AC269">
            <v>0.25</v>
          </cell>
          <cell r="AD269">
            <v>0.25</v>
          </cell>
          <cell r="AE269">
            <v>0.25</v>
          </cell>
          <cell r="AF269">
            <v>0.25</v>
          </cell>
          <cell r="AG269">
            <v>0.25</v>
          </cell>
          <cell r="AH269">
            <v>0.25</v>
          </cell>
          <cell r="AI269">
            <v>0.25</v>
          </cell>
          <cell r="AJ269">
            <v>0.25</v>
          </cell>
          <cell r="AK269">
            <v>0.25</v>
          </cell>
          <cell r="AL269">
            <v>0.25</v>
          </cell>
          <cell r="AM269">
            <v>0.25</v>
          </cell>
          <cell r="AN269">
            <v>0.25</v>
          </cell>
          <cell r="AO269">
            <v>0.25</v>
          </cell>
          <cell r="AP269">
            <v>0.25</v>
          </cell>
          <cell r="AQ269">
            <v>0.25</v>
          </cell>
          <cell r="AR269">
            <v>0.25</v>
          </cell>
          <cell r="AS269">
            <v>0.25</v>
          </cell>
          <cell r="AT269">
            <v>-0.04</v>
          </cell>
          <cell r="AU269">
            <v>0.92</v>
          </cell>
          <cell r="AV269">
            <v>20</v>
          </cell>
          <cell r="AY269" t="str">
            <v/>
          </cell>
          <cell r="AZ269">
            <v>0.25</v>
          </cell>
          <cell r="BA269">
            <v>0.25</v>
          </cell>
        </row>
        <row r="270">
          <cell r="A270" t="str">
            <v>BERTANI SNC</v>
          </cell>
          <cell r="D270" t="str">
            <v>VIA PALLADIO, 2</v>
          </cell>
          <cell r="E270" t="str">
            <v>42048</v>
          </cell>
          <cell r="F270" t="str">
            <v>RUBIERA</v>
          </cell>
          <cell r="G270" t="str">
            <v>RE</v>
          </cell>
          <cell r="H270" t="str">
            <v>ITALIA</v>
          </cell>
          <cell r="J270" t="str">
            <v>02033530359</v>
          </cell>
          <cell r="M270" t="str">
            <v>UFFICIO ACQUISTI</v>
          </cell>
          <cell r="N270" t="str">
            <v>0522 629918</v>
          </cell>
          <cell r="P270" t="str">
            <v>info@bertaniserramenti.it</v>
          </cell>
          <cell r="R270" t="str">
            <v>BONIFICO BANCARIO, ALLA DATA DELLA NOSTRA CONFERMA D'ORDINE</v>
          </cell>
          <cell r="X270">
            <v>0</v>
          </cell>
          <cell r="Y270">
            <v>-0.04</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-0.04</v>
          </cell>
          <cell r="AU270">
            <v>0.92</v>
          </cell>
          <cell r="AV270">
            <v>20</v>
          </cell>
          <cell r="AZ270">
            <v>0</v>
          </cell>
          <cell r="BA270">
            <v>0</v>
          </cell>
        </row>
        <row r="271">
          <cell r="A271" t="str">
            <v>BERTI SAS DI BERTI STEFANO</v>
          </cell>
          <cell r="D271" t="str">
            <v>VIA I° MAGGIO, 34</v>
          </cell>
          <cell r="E271">
            <v>37012</v>
          </cell>
          <cell r="F271" t="str">
            <v>BUSSOLENGO</v>
          </cell>
          <cell r="G271" t="str">
            <v>VR</v>
          </cell>
          <cell r="H271" t="str">
            <v>ITALIA</v>
          </cell>
          <cell r="J271" t="str">
            <v>04506500232</v>
          </cell>
          <cell r="M271" t="str">
            <v>UFFICIO ACQUISTI</v>
          </cell>
          <cell r="N271" t="str">
            <v>045 7150689</v>
          </cell>
          <cell r="P271" t="str">
            <v>stefano@bertiverona.it</v>
          </cell>
          <cell r="R271" t="str">
            <v>BONIFICO BANCARIO, ALLA DATA DELLA NOSTRA CONFERMA D'ORDINE</v>
          </cell>
          <cell r="X271">
            <v>0</v>
          </cell>
          <cell r="Y271">
            <v>-0.04</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-0.04</v>
          </cell>
          <cell r="AU271">
            <v>0.92</v>
          </cell>
          <cell r="AV271">
            <v>20</v>
          </cell>
          <cell r="AZ271">
            <v>0</v>
          </cell>
          <cell r="BA271">
            <v>0</v>
          </cell>
        </row>
        <row r="272">
          <cell r="A272" t="str">
            <v>BERTI SCL</v>
          </cell>
          <cell r="D272" t="str">
            <v>VIA ULLOA 5</v>
          </cell>
          <cell r="E272" t="str">
            <v>30175</v>
          </cell>
          <cell r="F272" t="str">
            <v>MARGHERA</v>
          </cell>
          <cell r="G272" t="str">
            <v>VE</v>
          </cell>
          <cell r="H272" t="str">
            <v>ITALIA</v>
          </cell>
          <cell r="J272" t="str">
            <v>04329420279</v>
          </cell>
          <cell r="M272" t="str">
            <v>UFFICIO ACQUISTI</v>
          </cell>
          <cell r="N272" t="str">
            <v>041 5415355</v>
          </cell>
          <cell r="P272" t="str">
            <v>info@berti.it</v>
          </cell>
          <cell r="R272" t="str">
            <v>BONIFICO BANCARIO, ALLA DATA DELLA NOSTRA CONFERMA D'ORDINE</v>
          </cell>
          <cell r="X272">
            <v>0.25</v>
          </cell>
          <cell r="Y272">
            <v>-0.04</v>
          </cell>
          <cell r="AB272">
            <v>0.25</v>
          </cell>
          <cell r="AC272">
            <v>0.25</v>
          </cell>
          <cell r="AD272">
            <v>0.25</v>
          </cell>
          <cell r="AE272">
            <v>0.25</v>
          </cell>
          <cell r="AF272">
            <v>0.25</v>
          </cell>
          <cell r="AG272">
            <v>0.25</v>
          </cell>
          <cell r="AH272">
            <v>0.25</v>
          </cell>
          <cell r="AI272">
            <v>0.25</v>
          </cell>
          <cell r="AJ272">
            <v>0.25</v>
          </cell>
          <cell r="AK272">
            <v>0.25</v>
          </cell>
          <cell r="AL272">
            <v>0.25</v>
          </cell>
          <cell r="AM272">
            <v>0.25</v>
          </cell>
          <cell r="AN272">
            <v>0.25</v>
          </cell>
          <cell r="AO272">
            <v>0.25</v>
          </cell>
          <cell r="AP272">
            <v>0.25</v>
          </cell>
          <cell r="AQ272">
            <v>0.25</v>
          </cell>
          <cell r="AR272">
            <v>0.25</v>
          </cell>
          <cell r="AS272">
            <v>0.25</v>
          </cell>
          <cell r="AT272">
            <v>-0.04</v>
          </cell>
          <cell r="AU272">
            <v>0.92</v>
          </cell>
          <cell r="AV272">
            <v>20</v>
          </cell>
          <cell r="AY272" t="str">
            <v/>
          </cell>
          <cell r="AZ272">
            <v>0.25</v>
          </cell>
          <cell r="BA272">
            <v>0.25</v>
          </cell>
        </row>
        <row r="273">
          <cell r="A273" t="str">
            <v>BERTI TENDE DA SOLE</v>
          </cell>
          <cell r="D273" t="str">
            <v>VIA VALPOLICELLA, 34</v>
          </cell>
          <cell r="E273" t="str">
            <v>37029</v>
          </cell>
          <cell r="F273" t="str">
            <v>SAN PIETRO INC.</v>
          </cell>
          <cell r="G273" t="str">
            <v>VR</v>
          </cell>
          <cell r="H273" t="str">
            <v>ITALIA</v>
          </cell>
          <cell r="M273" t="str">
            <v>UFFICIO ACQUISTI</v>
          </cell>
          <cell r="N273" t="str">
            <v>045 7701388</v>
          </cell>
          <cell r="P273" t="str">
            <v>bertitende@bertitende.it</v>
          </cell>
          <cell r="R273" t="str">
            <v>BONIFICO BANCARIO, ALLA DATA DELLA NOSTRA CONFERMA D'ORDINE</v>
          </cell>
          <cell r="Y273">
            <v>-0.04</v>
          </cell>
          <cell r="AT273">
            <v>-0.04</v>
          </cell>
          <cell r="AV273">
            <v>20</v>
          </cell>
          <cell r="AZ273">
            <v>0</v>
          </cell>
          <cell r="BA273">
            <v>0</v>
          </cell>
        </row>
        <row r="274">
          <cell r="A274" t="str">
            <v>BERTOLDINI &amp; TORRE</v>
          </cell>
          <cell r="B274" t="str">
            <v>PRODUTTORE DI PARATIE ANTIALLAGAMENTO A VENEZIA ACQUALOCK</v>
          </cell>
          <cell r="D274" t="str">
            <v xml:space="preserve">GIUDECCA, 211 A </v>
          </cell>
          <cell r="E274">
            <v>30133</v>
          </cell>
          <cell r="F274" t="str">
            <v>VENEZIA</v>
          </cell>
          <cell r="G274" t="str">
            <v>VE</v>
          </cell>
          <cell r="H274" t="str">
            <v>ITALIA</v>
          </cell>
          <cell r="M274" t="str">
            <v>UFFICIO ACQUISTI</v>
          </cell>
          <cell r="N274" t="str">
            <v>041 5229584</v>
          </cell>
          <cell r="R274" t="str">
            <v>BONIFICO BANCARIO, ALLA DATA DELLA NOSTRA CONFERMA D'ORDINE</v>
          </cell>
          <cell r="W274" t="str">
            <v>ACQUA SALATA</v>
          </cell>
          <cell r="X274">
            <v>0.25</v>
          </cell>
          <cell r="Y274">
            <v>-0.04</v>
          </cell>
          <cell r="AB274">
            <v>0.25</v>
          </cell>
          <cell r="AC274">
            <v>0.25</v>
          </cell>
          <cell r="AD274">
            <v>0.25</v>
          </cell>
          <cell r="AE274">
            <v>0.25</v>
          </cell>
          <cell r="AF274">
            <v>0.25</v>
          </cell>
          <cell r="AG274">
            <v>0.25</v>
          </cell>
          <cell r="AH274">
            <v>0.25</v>
          </cell>
          <cell r="AI274">
            <v>0.25</v>
          </cell>
          <cell r="AJ274">
            <v>0.25</v>
          </cell>
          <cell r="AK274">
            <v>0.25</v>
          </cell>
          <cell r="AL274">
            <v>0.25</v>
          </cell>
          <cell r="AM274">
            <v>0.25</v>
          </cell>
          <cell r="AN274">
            <v>0.25</v>
          </cell>
          <cell r="AO274">
            <v>0.25</v>
          </cell>
          <cell r="AP274">
            <v>0.25</v>
          </cell>
          <cell r="AQ274">
            <v>0.25</v>
          </cell>
          <cell r="AR274">
            <v>0.25</v>
          </cell>
          <cell r="AS274">
            <v>0.25</v>
          </cell>
          <cell r="AT274">
            <v>-0.04</v>
          </cell>
          <cell r="AU274">
            <v>0.92</v>
          </cell>
          <cell r="AV274">
            <v>20</v>
          </cell>
          <cell r="AY274" t="str">
            <v/>
          </cell>
          <cell r="AZ274">
            <v>0.25</v>
          </cell>
          <cell r="BA274">
            <v>0.25</v>
          </cell>
        </row>
        <row r="275">
          <cell r="A275" t="str">
            <v>BETTARI SRL</v>
          </cell>
          <cell r="D275" t="str">
            <v>VIA MAESTRI DEL LAVORO, 5</v>
          </cell>
          <cell r="E275" t="str">
            <v>46043</v>
          </cell>
          <cell r="F275" t="str">
            <v>CASTIGLIONE DELLE STIVIERE</v>
          </cell>
          <cell r="G275" t="str">
            <v>MN</v>
          </cell>
          <cell r="H275" t="str">
            <v>ITALIA</v>
          </cell>
          <cell r="J275" t="str">
            <v>01905720205</v>
          </cell>
          <cell r="M275" t="str">
            <v>UFFICIO ACQUISTI</v>
          </cell>
          <cell r="N275" t="str">
            <v>0376 638585</v>
          </cell>
          <cell r="P275" t="str">
            <v>info@bettari-serramenti.it</v>
          </cell>
          <cell r="R275" t="str">
            <v>BONIFICO BANCARIO, ALLA DATA DELLA NOSTRA CONFERMA D'ORDINE</v>
          </cell>
          <cell r="Y275">
            <v>-0.04</v>
          </cell>
          <cell r="AT275">
            <v>-0.04</v>
          </cell>
          <cell r="AV275">
            <v>20</v>
          </cell>
          <cell r="AZ275">
            <v>0</v>
          </cell>
          <cell r="BA275">
            <v>0</v>
          </cell>
        </row>
        <row r="276">
          <cell r="A276" t="str">
            <v>BETTI CLAUDIO</v>
          </cell>
          <cell r="B276" t="str">
            <v>LASCIATO LISTINO SENZA SCONTO</v>
          </cell>
          <cell r="D276" t="str">
            <v>VIA P. POCCIANTI, 40</v>
          </cell>
          <cell r="E276">
            <v>50018</v>
          </cell>
          <cell r="F276" t="str">
            <v>SCANDICCI</v>
          </cell>
          <cell r="G276" t="str">
            <v>FI</v>
          </cell>
          <cell r="H276" t="str">
            <v>ITALIA</v>
          </cell>
          <cell r="J276" t="str">
            <v>04556110486</v>
          </cell>
          <cell r="M276" t="str">
            <v>UFFICIO ACQUISTI</v>
          </cell>
          <cell r="N276" t="str">
            <v>055 254084</v>
          </cell>
          <cell r="P276" t="str">
            <v>firenzesicurasrl@gmail.com - bettiserramenti@gmail.com</v>
          </cell>
          <cell r="R276" t="str">
            <v>BONIFICO BANCARIO, ALLA DATA DELLA NOSTRA CONFERMA D'ORDINE</v>
          </cell>
          <cell r="X276">
            <v>0</v>
          </cell>
          <cell r="Y276">
            <v>-0.04</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-0.04</v>
          </cell>
          <cell r="AU276">
            <v>0.92</v>
          </cell>
          <cell r="AV276">
            <v>20</v>
          </cell>
          <cell r="AZ276">
            <v>0</v>
          </cell>
          <cell r="BA276">
            <v>0</v>
          </cell>
        </row>
        <row r="277">
          <cell r="A277" t="str">
            <v>BETTI E BORCHI</v>
          </cell>
          <cell r="B277" t="str">
            <v>INTERESSATO</v>
          </cell>
          <cell r="D277" t="str">
            <v>VIA BRODOLINI, 13  13A</v>
          </cell>
          <cell r="E277" t="str">
            <v>50063</v>
          </cell>
          <cell r="F277" t="str">
            <v>FIGLINE VALDARNO</v>
          </cell>
          <cell r="G277" t="str">
            <v>FI</v>
          </cell>
          <cell r="H277" t="str">
            <v>ITALIA</v>
          </cell>
          <cell r="M277" t="str">
            <v>UFFICIO ACQUISTI</v>
          </cell>
          <cell r="N277" t="str">
            <v>055 9158002</v>
          </cell>
          <cell r="P277" t="str">
            <v>info@bettieborchi.it</v>
          </cell>
          <cell r="R277" t="str">
            <v>BONIFICO BANCARIO, ALLA DATA DELLA NOSTRA CONFERMA D'ORDINE</v>
          </cell>
          <cell r="X277">
            <v>0.25</v>
          </cell>
          <cell r="Y277">
            <v>-0.04</v>
          </cell>
          <cell r="AB277">
            <v>0.25</v>
          </cell>
          <cell r="AC277">
            <v>0.25</v>
          </cell>
          <cell r="AD277">
            <v>0.25</v>
          </cell>
          <cell r="AE277">
            <v>0.25</v>
          </cell>
          <cell r="AF277">
            <v>0.25</v>
          </cell>
          <cell r="AG277">
            <v>0.25</v>
          </cell>
          <cell r="AH277">
            <v>0.25</v>
          </cell>
          <cell r="AI277">
            <v>0.25</v>
          </cell>
          <cell r="AJ277">
            <v>0.25</v>
          </cell>
          <cell r="AK277">
            <v>0.25</v>
          </cell>
          <cell r="AL277">
            <v>0.25</v>
          </cell>
          <cell r="AM277">
            <v>0.25</v>
          </cell>
          <cell r="AN277">
            <v>0.25</v>
          </cell>
          <cell r="AO277">
            <v>0.25</v>
          </cell>
          <cell r="AP277">
            <v>0.25</v>
          </cell>
          <cell r="AQ277">
            <v>0.25</v>
          </cell>
          <cell r="AR277">
            <v>0.25</v>
          </cell>
          <cell r="AS277">
            <v>0.25</v>
          </cell>
          <cell r="AT277">
            <v>-0.04</v>
          </cell>
          <cell r="AU277">
            <v>0.92</v>
          </cell>
          <cell r="AV277">
            <v>20</v>
          </cell>
          <cell r="AY277" t="str">
            <v/>
          </cell>
          <cell r="AZ277">
            <v>0.25</v>
          </cell>
          <cell r="BA277">
            <v>0.25</v>
          </cell>
        </row>
        <row r="278">
          <cell r="A278" t="str">
            <v>BF INFISSI SNC</v>
          </cell>
          <cell r="B278" t="str">
            <v>FIORDELMONTE VALERIA E MARCO, COD. DEST.: M5UXCR1</v>
          </cell>
          <cell r="D278" t="str">
            <v>VIA MARINA 65</v>
          </cell>
          <cell r="E278" t="str">
            <v>60018</v>
          </cell>
          <cell r="F278" t="str">
            <v xml:space="preserve">MONTEMARCIANO </v>
          </cell>
          <cell r="G278" t="str">
            <v>AN</v>
          </cell>
          <cell r="H278" t="str">
            <v>ITALIA</v>
          </cell>
          <cell r="J278" t="str">
            <v>01008930420</v>
          </cell>
          <cell r="M278" t="str">
            <v>UFFICIO ACQUISTI</v>
          </cell>
          <cell r="N278" t="str">
            <v>071 9198174</v>
          </cell>
          <cell r="P278" t="str">
            <v>bfinfissi@libero.it</v>
          </cell>
          <cell r="R278" t="str">
            <v>BONIFICO BANCARIO, ALLA DATA DELLA NOSTRA CONFERMA D'ORDINE</v>
          </cell>
          <cell r="X278">
            <v>0.25</v>
          </cell>
          <cell r="Y278">
            <v>-0.04</v>
          </cell>
          <cell r="AB278">
            <v>0.25</v>
          </cell>
          <cell r="AC278">
            <v>0.25</v>
          </cell>
          <cell r="AD278">
            <v>0.25</v>
          </cell>
          <cell r="AE278">
            <v>0.25</v>
          </cell>
          <cell r="AF278">
            <v>0.25</v>
          </cell>
          <cell r="AG278">
            <v>0.25</v>
          </cell>
          <cell r="AH278">
            <v>0.25</v>
          </cell>
          <cell r="AI278">
            <v>0.25</v>
          </cell>
          <cell r="AJ278">
            <v>0.25</v>
          </cell>
          <cell r="AK278">
            <v>0.25</v>
          </cell>
          <cell r="AL278">
            <v>0.25</v>
          </cell>
          <cell r="AM278">
            <v>0.25</v>
          </cell>
          <cell r="AN278">
            <v>0.25</v>
          </cell>
          <cell r="AO278">
            <v>0.25</v>
          </cell>
          <cell r="AP278">
            <v>0.25</v>
          </cell>
          <cell r="AQ278">
            <v>0.25</v>
          </cell>
          <cell r="AR278">
            <v>0.25</v>
          </cell>
          <cell r="AS278">
            <v>0.25</v>
          </cell>
          <cell r="AT278">
            <v>-0.04</v>
          </cell>
          <cell r="AU278">
            <v>0.92</v>
          </cell>
          <cell r="AV278">
            <v>20</v>
          </cell>
          <cell r="AY278" t="str">
            <v/>
          </cell>
          <cell r="AZ278">
            <v>0.25</v>
          </cell>
          <cell r="BA278">
            <v>0.25</v>
          </cell>
        </row>
        <row r="279">
          <cell r="A279" t="str">
            <v>BG INFISSI DI BORSELLA GIANCARLO</v>
          </cell>
          <cell r="D279" t="str">
            <v>VIA CHE GUEVARA, 34/B</v>
          </cell>
          <cell r="E279">
            <v>60022</v>
          </cell>
          <cell r="F279" t="str">
            <v>CASTELFIDARDO</v>
          </cell>
          <cell r="G279" t="str">
            <v>AN</v>
          </cell>
          <cell r="H279" t="str">
            <v>ITALIA</v>
          </cell>
          <cell r="I279" t="str">
            <v>BRSGCR54M01C100R</v>
          </cell>
          <cell r="J279" t="str">
            <v>01105420424</v>
          </cell>
          <cell r="K279" t="str">
            <v>8P8P5DV</v>
          </cell>
          <cell r="M279" t="str">
            <v>UFFICIO ACQUISTI</v>
          </cell>
          <cell r="N279" t="str">
            <v>071 7821579</v>
          </cell>
          <cell r="P279" t="str">
            <v>info@bginfissi.it</v>
          </cell>
          <cell r="R279" t="str">
            <v>BONIFICO BANCARIO, ALLA DATA DELLA NOSTRA CONFERMA D'ORDINE</v>
          </cell>
          <cell r="X279">
            <v>0.25</v>
          </cell>
          <cell r="Y279">
            <v>-0.04</v>
          </cell>
          <cell r="AB279">
            <v>0.25</v>
          </cell>
          <cell r="AC279">
            <v>0.25</v>
          </cell>
          <cell r="AD279">
            <v>0.25</v>
          </cell>
          <cell r="AE279">
            <v>0.25</v>
          </cell>
          <cell r="AF279">
            <v>0.25</v>
          </cell>
          <cell r="AG279">
            <v>0.25</v>
          </cell>
          <cell r="AH279">
            <v>0.25</v>
          </cell>
          <cell r="AI279">
            <v>0.25</v>
          </cell>
          <cell r="AJ279">
            <v>0.25</v>
          </cell>
          <cell r="AK279">
            <v>0.25</v>
          </cell>
          <cell r="AL279">
            <v>0.25</v>
          </cell>
          <cell r="AM279">
            <v>0.25</v>
          </cell>
          <cell r="AN279">
            <v>0.25</v>
          </cell>
          <cell r="AO279">
            <v>0.25</v>
          </cell>
          <cell r="AP279">
            <v>0.25</v>
          </cell>
          <cell r="AQ279">
            <v>0.25</v>
          </cell>
          <cell r="AR279">
            <v>0.25</v>
          </cell>
          <cell r="AS279">
            <v>0.25</v>
          </cell>
          <cell r="AT279">
            <v>-0.04</v>
          </cell>
          <cell r="AU279">
            <v>0.92</v>
          </cell>
          <cell r="AV279">
            <v>20</v>
          </cell>
          <cell r="AZ279">
            <v>0.25</v>
          </cell>
          <cell r="BA279">
            <v>0.25</v>
          </cell>
          <cell r="BF279" t="str">
            <v>CLICK RAPID con carpenteria 07/02/2020</v>
          </cell>
        </row>
        <row r="280">
          <cell r="A280" t="str">
            <v xml:space="preserve">BG PORTE </v>
          </cell>
          <cell r="D280" t="str">
            <v>VIA MONTEVIDEO, 115 R.</v>
          </cell>
          <cell r="E280">
            <v>16129</v>
          </cell>
          <cell r="F280" t="str">
            <v>GENOVA</v>
          </cell>
          <cell r="G280" t="str">
            <v>GE</v>
          </cell>
          <cell r="H280" t="str">
            <v>ITALIA</v>
          </cell>
          <cell r="J280" t="str">
            <v>02539070108</v>
          </cell>
          <cell r="M280" t="str">
            <v>UFFICIO ACQUISTI</v>
          </cell>
          <cell r="N280" t="str">
            <v>010 319224</v>
          </cell>
          <cell r="O280" t="str">
            <v>393 0319224</v>
          </cell>
          <cell r="P280" t="str">
            <v>info@bgporte.it</v>
          </cell>
          <cell r="R280" t="str">
            <v>BONIFICO BANCARIO, ALLA DATA DELLA NOSTRA CONFERMA D'ORDINE</v>
          </cell>
          <cell r="X280">
            <v>0.25</v>
          </cell>
          <cell r="Y280">
            <v>-0.04</v>
          </cell>
          <cell r="AB280">
            <v>0.25</v>
          </cell>
          <cell r="AC280">
            <v>0.25</v>
          </cell>
          <cell r="AD280">
            <v>0.25</v>
          </cell>
          <cell r="AE280">
            <v>0.25</v>
          </cell>
          <cell r="AF280">
            <v>0.25</v>
          </cell>
          <cell r="AG280">
            <v>0.25</v>
          </cell>
          <cell r="AH280">
            <v>0.25</v>
          </cell>
          <cell r="AI280">
            <v>0.25</v>
          </cell>
          <cell r="AJ280">
            <v>0.25</v>
          </cell>
          <cell r="AK280">
            <v>0.25</v>
          </cell>
          <cell r="AL280">
            <v>0.25</v>
          </cell>
          <cell r="AM280">
            <v>0.25</v>
          </cell>
          <cell r="AN280">
            <v>0.25</v>
          </cell>
          <cell r="AO280">
            <v>0.25</v>
          </cell>
          <cell r="AP280">
            <v>0.25</v>
          </cell>
          <cell r="AQ280">
            <v>0.25</v>
          </cell>
          <cell r="AR280">
            <v>0.25</v>
          </cell>
          <cell r="AS280">
            <v>0.25</v>
          </cell>
          <cell r="AT280">
            <v>-0.04</v>
          </cell>
          <cell r="AU280">
            <v>0.92</v>
          </cell>
          <cell r="AV280">
            <v>20</v>
          </cell>
          <cell r="AY280" t="str">
            <v/>
          </cell>
          <cell r="AZ280">
            <v>0.25</v>
          </cell>
          <cell r="BA280">
            <v>0.25</v>
          </cell>
        </row>
        <row r="281">
          <cell r="A281" t="str">
            <v>BG SERRAMENTI</v>
          </cell>
          <cell r="D281" t="str">
            <v>VIA ROMA, 73</v>
          </cell>
          <cell r="E281">
            <v>36060</v>
          </cell>
          <cell r="F281" t="str">
            <v>SCHIAVON</v>
          </cell>
          <cell r="G281" t="str">
            <v>VI</v>
          </cell>
          <cell r="H281" t="str">
            <v>ITALIA</v>
          </cell>
          <cell r="M281" t="str">
            <v>UFFICIO ACQUISTI</v>
          </cell>
          <cell r="N281" t="str">
            <v>0444 665611</v>
          </cell>
          <cell r="O281" t="str">
            <v>Giacomo Bonora 335 7266969</v>
          </cell>
          <cell r="P281" t="str">
            <v>giacomo@bgserramenti.it</v>
          </cell>
          <cell r="R281" t="str">
            <v>BONIFICO BANCARIO, ALLA DATA DELLA NOSTRA CONFERMA D'ORDINE</v>
          </cell>
          <cell r="X281">
            <v>0.25</v>
          </cell>
          <cell r="Y281">
            <v>-0.04</v>
          </cell>
          <cell r="AB281">
            <v>0.25</v>
          </cell>
          <cell r="AC281">
            <v>0.25</v>
          </cell>
          <cell r="AD281">
            <v>0.25</v>
          </cell>
          <cell r="AE281">
            <v>0.25</v>
          </cell>
          <cell r="AF281">
            <v>0.25</v>
          </cell>
          <cell r="AG281">
            <v>0.25</v>
          </cell>
          <cell r="AH281">
            <v>0.25</v>
          </cell>
          <cell r="AI281">
            <v>0.25</v>
          </cell>
          <cell r="AJ281">
            <v>0.25</v>
          </cell>
          <cell r="AK281">
            <v>0.25</v>
          </cell>
          <cell r="AL281">
            <v>0.25</v>
          </cell>
          <cell r="AM281">
            <v>0.25</v>
          </cell>
          <cell r="AN281">
            <v>0.25</v>
          </cell>
          <cell r="AO281">
            <v>0.25</v>
          </cell>
          <cell r="AP281">
            <v>0.25</v>
          </cell>
          <cell r="AQ281">
            <v>0.25</v>
          </cell>
          <cell r="AR281">
            <v>0.25</v>
          </cell>
          <cell r="AS281">
            <v>0.25</v>
          </cell>
          <cell r="AT281">
            <v>-0.04</v>
          </cell>
          <cell r="AU281">
            <v>0.92</v>
          </cell>
          <cell r="AV281">
            <v>20</v>
          </cell>
          <cell r="AY281" t="str">
            <v/>
          </cell>
          <cell r="AZ281">
            <v>0.25</v>
          </cell>
          <cell r="BA281">
            <v>0.25</v>
          </cell>
        </row>
        <row r="282">
          <cell r="A282" t="str">
            <v>BIAGIO MINGOIA INFISSI</v>
          </cell>
          <cell r="D282" t="str">
            <v>VIA LOMBARDIA</v>
          </cell>
          <cell r="E282" t="str">
            <v xml:space="preserve">93014 </v>
          </cell>
          <cell r="F282" t="str">
            <v>MUSSOMELI</v>
          </cell>
          <cell r="G282" t="str">
            <v>CL</v>
          </cell>
          <cell r="H282" t="str">
            <v>ITALIA</v>
          </cell>
          <cell r="J282" t="str">
            <v>01421990852</v>
          </cell>
          <cell r="M282" t="str">
            <v>UFFICIO ACQUISTI</v>
          </cell>
          <cell r="N282" t="str">
            <v>0934 991400</v>
          </cell>
          <cell r="O282" t="str">
            <v>338 2866354</v>
          </cell>
          <cell r="R282" t="str">
            <v>BONIFICO BANCARIO, ALLA DATA DELLA NOSTRA CONFERMA D'ORDINE</v>
          </cell>
          <cell r="X282">
            <v>0.25</v>
          </cell>
          <cell r="Y282">
            <v>-0.04</v>
          </cell>
          <cell r="AB282">
            <v>0.25</v>
          </cell>
          <cell r="AC282">
            <v>0.25</v>
          </cell>
          <cell r="AD282">
            <v>0.25</v>
          </cell>
          <cell r="AE282">
            <v>0.25</v>
          </cell>
          <cell r="AF282">
            <v>0.25</v>
          </cell>
          <cell r="AG282">
            <v>0.25</v>
          </cell>
          <cell r="AH282">
            <v>0.25</v>
          </cell>
          <cell r="AI282">
            <v>0.25</v>
          </cell>
          <cell r="AJ282">
            <v>0.25</v>
          </cell>
          <cell r="AK282">
            <v>0.25</v>
          </cell>
          <cell r="AL282">
            <v>0.25</v>
          </cell>
          <cell r="AM282">
            <v>0.25</v>
          </cell>
          <cell r="AN282">
            <v>0.25</v>
          </cell>
          <cell r="AO282">
            <v>0.25</v>
          </cell>
          <cell r="AP282">
            <v>0.25</v>
          </cell>
          <cell r="AQ282">
            <v>0.25</v>
          </cell>
          <cell r="AR282">
            <v>0.25</v>
          </cell>
          <cell r="AS282">
            <v>0.25</v>
          </cell>
          <cell r="AT282">
            <v>-0.04</v>
          </cell>
          <cell r="AU282">
            <v>0.92</v>
          </cell>
          <cell r="AV282">
            <v>20</v>
          </cell>
          <cell r="AY282" t="str">
            <v/>
          </cell>
          <cell r="AZ282">
            <v>0.25</v>
          </cell>
          <cell r="BA282">
            <v>0.25</v>
          </cell>
        </row>
        <row r="283">
          <cell r="A283" t="str">
            <v xml:space="preserve">BIANCHI CARLO </v>
          </cell>
          <cell r="D283" t="str">
            <v>VIA FULGOSIO 10 A</v>
          </cell>
          <cell r="E283" t="str">
            <v>29122</v>
          </cell>
          <cell r="F283" t="str">
            <v>PIACENZA</v>
          </cell>
          <cell r="G283" t="str">
            <v>PC</v>
          </cell>
          <cell r="H283" t="str">
            <v>ITALIA</v>
          </cell>
          <cell r="M283" t="str">
            <v>UFFICIO ACQUISTI</v>
          </cell>
          <cell r="N283" t="str">
            <v>0523 315933</v>
          </cell>
          <cell r="O283" t="str">
            <v>333 3604941</v>
          </cell>
          <cell r="R283" t="str">
            <v>BONIFICO BANCARIO, ALLA DATA DELLA NOSTRA CONFERMA D'ORDINE</v>
          </cell>
          <cell r="X283">
            <v>0.25</v>
          </cell>
          <cell r="Y283">
            <v>-0.04</v>
          </cell>
          <cell r="AB283">
            <v>0.25</v>
          </cell>
          <cell r="AC283">
            <v>0.25</v>
          </cell>
          <cell r="AD283">
            <v>0.25</v>
          </cell>
          <cell r="AE283">
            <v>0.25</v>
          </cell>
          <cell r="AF283">
            <v>0.25</v>
          </cell>
          <cell r="AG283">
            <v>0.25</v>
          </cell>
          <cell r="AH283">
            <v>0.25</v>
          </cell>
          <cell r="AI283">
            <v>0.25</v>
          </cell>
          <cell r="AJ283">
            <v>0.25</v>
          </cell>
          <cell r="AK283">
            <v>0.25</v>
          </cell>
          <cell r="AL283">
            <v>0.25</v>
          </cell>
          <cell r="AM283">
            <v>0.25</v>
          </cell>
          <cell r="AN283">
            <v>0.25</v>
          </cell>
          <cell r="AO283">
            <v>0.25</v>
          </cell>
          <cell r="AP283">
            <v>0.25</v>
          </cell>
          <cell r="AQ283">
            <v>0.25</v>
          </cell>
          <cell r="AR283">
            <v>0.25</v>
          </cell>
          <cell r="AS283">
            <v>0.25</v>
          </cell>
          <cell r="AT283">
            <v>-0.04</v>
          </cell>
          <cell r="AU283">
            <v>0.92</v>
          </cell>
          <cell r="AV283">
            <v>20</v>
          </cell>
          <cell r="AY283" t="str">
            <v/>
          </cell>
          <cell r="AZ283">
            <v>0.25</v>
          </cell>
          <cell r="BA283">
            <v>0.25</v>
          </cell>
        </row>
        <row r="284">
          <cell r="A284" t="str">
            <v>BIANCHI SERRAMENTI srl</v>
          </cell>
          <cell r="D284" t="str">
            <v>VIA  1° MAGGIO</v>
          </cell>
          <cell r="E284">
            <v>54011</v>
          </cell>
          <cell r="F284" t="str">
            <v>AULLA</v>
          </cell>
          <cell r="G284" t="str">
            <v>MS</v>
          </cell>
          <cell r="H284" t="str">
            <v>ITALIA</v>
          </cell>
          <cell r="J284" t="str">
            <v>01293030456</v>
          </cell>
          <cell r="M284" t="str">
            <v>UFFICIO ACQUISTI</v>
          </cell>
          <cell r="O284" t="str">
            <v>335 7791264 - 340 6546762</v>
          </cell>
          <cell r="P284" t="str">
            <v>info@bianchiserramentisrl.com</v>
          </cell>
          <cell r="R284" t="str">
            <v>BONIFICO BANCARIO, ALLA DATA DELLA NOSTRA CONFERMA D'ORDINE</v>
          </cell>
          <cell r="X284">
            <v>0.25</v>
          </cell>
          <cell r="Y284">
            <v>-0.04</v>
          </cell>
          <cell r="AB284">
            <v>0.25</v>
          </cell>
          <cell r="AC284">
            <v>0.25</v>
          </cell>
          <cell r="AD284">
            <v>0.25</v>
          </cell>
          <cell r="AE284">
            <v>0.25</v>
          </cell>
          <cell r="AF284">
            <v>0.25</v>
          </cell>
          <cell r="AG284">
            <v>0.25</v>
          </cell>
          <cell r="AH284">
            <v>0.25</v>
          </cell>
          <cell r="AI284">
            <v>0.25</v>
          </cell>
          <cell r="AJ284">
            <v>0.25</v>
          </cell>
          <cell r="AK284">
            <v>0.25</v>
          </cell>
          <cell r="AL284">
            <v>0.25</v>
          </cell>
          <cell r="AM284">
            <v>0.25</v>
          </cell>
          <cell r="AN284">
            <v>0.25</v>
          </cell>
          <cell r="AO284">
            <v>0.25</v>
          </cell>
          <cell r="AP284">
            <v>0.25</v>
          </cell>
          <cell r="AQ284">
            <v>0.25</v>
          </cell>
          <cell r="AR284">
            <v>0.25</v>
          </cell>
          <cell r="AS284">
            <v>0.25</v>
          </cell>
          <cell r="AT284">
            <v>-0.04</v>
          </cell>
          <cell r="AU284">
            <v>0.92</v>
          </cell>
          <cell r="AV284">
            <v>20</v>
          </cell>
          <cell r="AY284" t="str">
            <v/>
          </cell>
          <cell r="AZ284">
            <v>0.25</v>
          </cell>
          <cell r="BA284">
            <v>0.25</v>
          </cell>
        </row>
        <row r="285">
          <cell r="A285" t="str">
            <v>BIANCHINI INFISSI SRL</v>
          </cell>
          <cell r="D285" t="str">
            <v>VIA ROMANA,  27</v>
          </cell>
          <cell r="E285" t="str">
            <v>06012</v>
          </cell>
          <cell r="F285" t="str">
            <v>PROMANO</v>
          </cell>
          <cell r="G285" t="str">
            <v>PG</v>
          </cell>
          <cell r="H285" t="str">
            <v>ITALIA</v>
          </cell>
          <cell r="M285" t="str">
            <v>UFFICIO ACQUISTI</v>
          </cell>
          <cell r="N285" t="str">
            <v>075 8642227</v>
          </cell>
          <cell r="O285" t="str">
            <v>Mariuccia L.331 1906320</v>
          </cell>
          <cell r="P285" t="str">
            <v>info@bianchiniinfissi.it</v>
          </cell>
          <cell r="R285" t="str">
            <v>BONIFICO BANCARIO, ALLA DATA DELLA NOSTRA CONFERMA D'ORDINE</v>
          </cell>
          <cell r="W285" t="str">
            <v>ACQUA SALATA</v>
          </cell>
          <cell r="X285">
            <v>0.25</v>
          </cell>
          <cell r="Y285">
            <v>-0.04</v>
          </cell>
          <cell r="AB285">
            <v>0.25</v>
          </cell>
          <cell r="AC285">
            <v>0.25</v>
          </cell>
          <cell r="AD285">
            <v>0.25</v>
          </cell>
          <cell r="AE285">
            <v>0.25</v>
          </cell>
          <cell r="AF285">
            <v>0.25</v>
          </cell>
          <cell r="AG285">
            <v>0.25</v>
          </cell>
          <cell r="AH285">
            <v>0.25</v>
          </cell>
          <cell r="AI285">
            <v>0.25</v>
          </cell>
          <cell r="AJ285">
            <v>0.25</v>
          </cell>
          <cell r="AK285">
            <v>0.25</v>
          </cell>
          <cell r="AL285">
            <v>0.25</v>
          </cell>
          <cell r="AM285">
            <v>0.25</v>
          </cell>
          <cell r="AN285">
            <v>0.25</v>
          </cell>
          <cell r="AO285">
            <v>0.25</v>
          </cell>
          <cell r="AP285">
            <v>0.25</v>
          </cell>
          <cell r="AQ285">
            <v>0.25</v>
          </cell>
          <cell r="AR285">
            <v>0.25</v>
          </cell>
          <cell r="AS285">
            <v>0.25</v>
          </cell>
          <cell r="AT285">
            <v>-0.04</v>
          </cell>
          <cell r="AU285">
            <v>0.92</v>
          </cell>
          <cell r="AV285">
            <v>20</v>
          </cell>
          <cell r="AZ285">
            <v>0.25</v>
          </cell>
          <cell r="BA285">
            <v>0.25</v>
          </cell>
        </row>
        <row r="286">
          <cell r="A286" t="str">
            <v>BIARESE SR</v>
          </cell>
          <cell r="D286" t="str">
            <v>VIA MOTORIZZAZIONE, 5</v>
          </cell>
          <cell r="E286">
            <v>12100</v>
          </cell>
          <cell r="F286" t="str">
            <v>CUNEO</v>
          </cell>
          <cell r="G286" t="str">
            <v>CN</v>
          </cell>
          <cell r="H286" t="str">
            <v>ITALIA</v>
          </cell>
          <cell r="M286" t="str">
            <v>UFFICIO ACQUISTI</v>
          </cell>
          <cell r="O286" t="str">
            <v>335 1307268 Sig.Biarese</v>
          </cell>
          <cell r="R286" t="str">
            <v>BONIFICO BANCARIO, ALLA DATA DELLA NOSTRA CONFERMA D'ORDINE</v>
          </cell>
          <cell r="X286">
            <v>0.25</v>
          </cell>
          <cell r="Y286">
            <v>-0.04</v>
          </cell>
          <cell r="AB286">
            <v>0.25</v>
          </cell>
          <cell r="AC286">
            <v>0.25</v>
          </cell>
          <cell r="AD286">
            <v>0.25</v>
          </cell>
          <cell r="AE286">
            <v>0.25</v>
          </cell>
          <cell r="AF286">
            <v>0.25</v>
          </cell>
          <cell r="AG286">
            <v>0.25</v>
          </cell>
          <cell r="AH286">
            <v>0.25</v>
          </cell>
          <cell r="AI286">
            <v>0.25</v>
          </cell>
          <cell r="AJ286">
            <v>0.25</v>
          </cell>
          <cell r="AK286">
            <v>0.25</v>
          </cell>
          <cell r="AL286">
            <v>0.25</v>
          </cell>
          <cell r="AM286">
            <v>0.25</v>
          </cell>
          <cell r="AN286">
            <v>0.25</v>
          </cell>
          <cell r="AO286">
            <v>0.25</v>
          </cell>
          <cell r="AP286">
            <v>0.25</v>
          </cell>
          <cell r="AQ286">
            <v>0.25</v>
          </cell>
          <cell r="AR286">
            <v>0.25</v>
          </cell>
          <cell r="AS286">
            <v>0.25</v>
          </cell>
          <cell r="AT286">
            <v>-0.04</v>
          </cell>
          <cell r="AU286">
            <v>0.92</v>
          </cell>
          <cell r="AV286">
            <v>20</v>
          </cell>
          <cell r="AY286" t="str">
            <v/>
          </cell>
          <cell r="AZ286">
            <v>0.25</v>
          </cell>
          <cell r="BA286">
            <v>0.25</v>
          </cell>
        </row>
        <row r="287">
          <cell r="A287" t="str">
            <v>BIASIOLO SERRAMENTI</v>
          </cell>
          <cell r="D287" t="str">
            <v>VIALE TRIESTE, 310</v>
          </cell>
          <cell r="E287">
            <v>36100</v>
          </cell>
          <cell r="F287" t="str">
            <v>VICENZA</v>
          </cell>
          <cell r="G287" t="str">
            <v>VI</v>
          </cell>
          <cell r="H287" t="str">
            <v>ITALIA</v>
          </cell>
          <cell r="J287" t="str">
            <v>03975960240</v>
          </cell>
          <cell r="M287" t="str">
            <v>UFFICIO ACQUISTI</v>
          </cell>
          <cell r="N287" t="str">
            <v>0444 302936</v>
          </cell>
          <cell r="O287" t="str">
            <v>Ennio Biasiolo 333 6703810</v>
          </cell>
          <cell r="P287" t="str">
            <v>info@biasioloserramenti.it</v>
          </cell>
          <cell r="R287" t="str">
            <v>BONIFICO BANCARIO, ALLA DATA DELLA NOSTRA CONFERMA D'ORDINE</v>
          </cell>
          <cell r="X287">
            <v>0.25</v>
          </cell>
          <cell r="Y287">
            <v>-0.04</v>
          </cell>
          <cell r="AB287">
            <v>0.25</v>
          </cell>
          <cell r="AC287">
            <v>0.25</v>
          </cell>
          <cell r="AD287">
            <v>0.25</v>
          </cell>
          <cell r="AE287">
            <v>0.25</v>
          </cell>
          <cell r="AF287">
            <v>0.25</v>
          </cell>
          <cell r="AG287">
            <v>0.25</v>
          </cell>
          <cell r="AH287">
            <v>0.25</v>
          </cell>
          <cell r="AI287">
            <v>0.25</v>
          </cell>
          <cell r="AJ287">
            <v>0.25</v>
          </cell>
          <cell r="AK287">
            <v>0.25</v>
          </cell>
          <cell r="AL287">
            <v>0.25</v>
          </cell>
          <cell r="AM287">
            <v>0.25</v>
          </cell>
          <cell r="AN287">
            <v>0.25</v>
          </cell>
          <cell r="AO287">
            <v>0.25</v>
          </cell>
          <cell r="AP287">
            <v>0.25</v>
          </cell>
          <cell r="AQ287">
            <v>0.25</v>
          </cell>
          <cell r="AR287">
            <v>0.25</v>
          </cell>
          <cell r="AS287">
            <v>0.25</v>
          </cell>
          <cell r="AT287">
            <v>-0.04</v>
          </cell>
          <cell r="AU287">
            <v>0.92</v>
          </cell>
          <cell r="AV287">
            <v>20</v>
          </cell>
          <cell r="AY287" t="str">
            <v/>
          </cell>
          <cell r="AZ287">
            <v>0.25</v>
          </cell>
          <cell r="BA287">
            <v>0.25</v>
          </cell>
        </row>
        <row r="288">
          <cell r="A288" t="str">
            <v>BIEFFE SERRAMENTI SRL</v>
          </cell>
          <cell r="D288" t="str">
            <v>VIA G.MARCONI, 13</v>
          </cell>
          <cell r="E288" t="str">
            <v>20060</v>
          </cell>
          <cell r="F288" t="str">
            <v>PESSANO CON BORNAGO</v>
          </cell>
          <cell r="G288" t="str">
            <v>MI</v>
          </cell>
          <cell r="H288" t="str">
            <v>ITALIA</v>
          </cell>
          <cell r="M288" t="str">
            <v>UFFICIO ACQUISTI</v>
          </cell>
          <cell r="N288" t="str">
            <v>02 95743450</v>
          </cell>
          <cell r="O288" t="str">
            <v>348 3832717</v>
          </cell>
          <cell r="P288" t="str">
            <v>info@bieffeserramenti.com</v>
          </cell>
          <cell r="R288" t="str">
            <v>BONIFICO BANCARIO, ALLA DATA DELLA NOSTRA CONFERMA D'ORDINE</v>
          </cell>
          <cell r="X288">
            <v>0.2</v>
          </cell>
          <cell r="Y288">
            <v>-0.04</v>
          </cell>
          <cell r="AB288">
            <v>0.2</v>
          </cell>
          <cell r="AC288">
            <v>0.2</v>
          </cell>
          <cell r="AD288">
            <v>0.2</v>
          </cell>
          <cell r="AE288">
            <v>0.2</v>
          </cell>
          <cell r="AF288">
            <v>0.2</v>
          </cell>
          <cell r="AG288">
            <v>0.2</v>
          </cell>
          <cell r="AH288">
            <v>0.2</v>
          </cell>
          <cell r="AI288">
            <v>0.2</v>
          </cell>
          <cell r="AJ288">
            <v>0.2</v>
          </cell>
          <cell r="AK288">
            <v>0.2</v>
          </cell>
          <cell r="AL288">
            <v>0.2</v>
          </cell>
          <cell r="AM288">
            <v>0.2</v>
          </cell>
          <cell r="AN288">
            <v>0.2</v>
          </cell>
          <cell r="AO288">
            <v>0.2</v>
          </cell>
          <cell r="AP288">
            <v>0.2</v>
          </cell>
          <cell r="AQ288">
            <v>0.2</v>
          </cell>
          <cell r="AR288">
            <v>0.2</v>
          </cell>
          <cell r="AS288">
            <v>0.2</v>
          </cell>
          <cell r="AT288">
            <v>-0.04</v>
          </cell>
          <cell r="AU288">
            <v>0.92</v>
          </cell>
          <cell r="AV288">
            <v>20</v>
          </cell>
          <cell r="AZ288">
            <v>0.2</v>
          </cell>
          <cell r="BA288">
            <v>0.2</v>
          </cell>
        </row>
        <row r="289">
          <cell r="A289" t="str">
            <v>BIESSE SNC</v>
          </cell>
          <cell r="D289" t="str">
            <v>STRADA STATALE PER ALESSANDRIA 4/H</v>
          </cell>
          <cell r="E289" t="str">
            <v>15068</v>
          </cell>
          <cell r="F289" t="str">
            <v>POZZOLO FORMIGARO</v>
          </cell>
          <cell r="G289" t="str">
            <v>AL</v>
          </cell>
          <cell r="H289" t="str">
            <v>ITALIA</v>
          </cell>
          <cell r="J289" t="str">
            <v>01394530065</v>
          </cell>
          <cell r="M289" t="str">
            <v>UFFICIO ACQUISTI</v>
          </cell>
          <cell r="N289" t="str">
            <v>0143 417000</v>
          </cell>
          <cell r="O289" t="str">
            <v>392 9900275</v>
          </cell>
          <cell r="P289" t="str">
            <v>biesse@biesseserramenti.com</v>
          </cell>
          <cell r="R289" t="str">
            <v>BONIFICO BANCARIO, ALLA DATA DELLA NOSTRA CONFERMA D'ORDINE</v>
          </cell>
          <cell r="W289" t="str">
            <v>ACQUA SALATA</v>
          </cell>
          <cell r="X289">
            <v>0</v>
          </cell>
          <cell r="Y289">
            <v>-0.04</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-0.04</v>
          </cell>
          <cell r="AU289">
            <v>0.92</v>
          </cell>
          <cell r="AV289">
            <v>20</v>
          </cell>
          <cell r="AZ289">
            <v>0</v>
          </cell>
          <cell r="BA289">
            <v>0</v>
          </cell>
        </row>
        <row r="290">
          <cell r="A290" t="str">
            <v>BILSER SERRAMENTI SRL</v>
          </cell>
          <cell r="B290" t="str">
            <v>campione ok 30% carpenteria gratuita</v>
          </cell>
          <cell r="D290" t="str">
            <v>CONTRADA PASSO GIARDINO</v>
          </cell>
          <cell r="E290" t="str">
            <v>98077</v>
          </cell>
          <cell r="F290" t="str">
            <v>S.STEFANO DI CAMASTRA</v>
          </cell>
          <cell r="G290" t="str">
            <v>ME</v>
          </cell>
          <cell r="H290" t="str">
            <v>ITALIA</v>
          </cell>
          <cell r="J290" t="str">
            <v>03402360832</v>
          </cell>
          <cell r="M290" t="str">
            <v>UFFICIO ACQUISTI</v>
          </cell>
          <cell r="N290" t="str">
            <v>0921 601686</v>
          </cell>
          <cell r="O290" t="str">
            <v>347 4491337</v>
          </cell>
          <cell r="P290" t="str">
            <v>bilsersrl@gmail.com</v>
          </cell>
          <cell r="R290" t="str">
            <v>BONIFICO BANCARIO, ALLA DATA DELLA NOSTRA CONFERMA D'ORDINE</v>
          </cell>
          <cell r="W290" t="str">
            <v>ACQUA DOLCE</v>
          </cell>
          <cell r="X290">
            <v>0.25</v>
          </cell>
          <cell r="Y290">
            <v>-0.04</v>
          </cell>
          <cell r="AB290">
            <v>0.25</v>
          </cell>
          <cell r="AC290">
            <v>0.25</v>
          </cell>
          <cell r="AD290">
            <v>0.25</v>
          </cell>
          <cell r="AE290">
            <v>0.25</v>
          </cell>
          <cell r="AF290">
            <v>0.25</v>
          </cell>
          <cell r="AG290">
            <v>0.25</v>
          </cell>
          <cell r="AH290">
            <v>0.25</v>
          </cell>
          <cell r="AI290">
            <v>0.25</v>
          </cell>
          <cell r="AJ290">
            <v>0.25</v>
          </cell>
          <cell r="AK290">
            <v>0.25</v>
          </cell>
          <cell r="AL290">
            <v>0.25</v>
          </cell>
          <cell r="AM290">
            <v>0.25</v>
          </cell>
          <cell r="AN290">
            <v>0.25</v>
          </cell>
          <cell r="AO290">
            <v>0.25</v>
          </cell>
          <cell r="AP290">
            <v>0.25</v>
          </cell>
          <cell r="AQ290">
            <v>0.25</v>
          </cell>
          <cell r="AR290">
            <v>0.25</v>
          </cell>
          <cell r="AS290">
            <v>0.25</v>
          </cell>
          <cell r="AT290">
            <v>-0.04</v>
          </cell>
          <cell r="AU290">
            <v>0.92</v>
          </cell>
          <cell r="AV290">
            <v>20</v>
          </cell>
          <cell r="AZ290">
            <v>0.25</v>
          </cell>
          <cell r="BA290">
            <v>0.25</v>
          </cell>
        </row>
        <row r="291">
          <cell r="A291" t="str">
            <v>BIMETAL S.N.C. DEI F.LLI AVELLA &amp; C.</v>
          </cell>
          <cell r="D291" t="str">
            <v>S.S. 106 LOC. PIRARELLA</v>
          </cell>
          <cell r="E291">
            <v>88050</v>
          </cell>
          <cell r="F291" t="str">
            <v>SELLIA MARINA</v>
          </cell>
          <cell r="G291" t="str">
            <v>CZ</v>
          </cell>
          <cell r="H291" t="str">
            <v>ITALIA</v>
          </cell>
          <cell r="M291" t="str">
            <v>UFFICIO ACQUISTI</v>
          </cell>
          <cell r="N291" t="str">
            <v>0961 968505</v>
          </cell>
          <cell r="P291" t="str">
            <v>an.tavella@alice.it</v>
          </cell>
          <cell r="R291" t="str">
            <v>BONIFICO BANCARIO, ALLA DATA DELLA NOSTRA CONFERMA D'ORDINE</v>
          </cell>
          <cell r="X291">
            <v>0.25</v>
          </cell>
          <cell r="Y291">
            <v>-0.04</v>
          </cell>
          <cell r="AB291">
            <v>0.25</v>
          </cell>
          <cell r="AC291">
            <v>0.25</v>
          </cell>
          <cell r="AD291">
            <v>0.25</v>
          </cell>
          <cell r="AE291">
            <v>0.25</v>
          </cell>
          <cell r="AF291">
            <v>0.25</v>
          </cell>
          <cell r="AG291">
            <v>0.25</v>
          </cell>
          <cell r="AH291">
            <v>0.25</v>
          </cell>
          <cell r="AI291">
            <v>0.25</v>
          </cell>
          <cell r="AJ291">
            <v>0.25</v>
          </cell>
          <cell r="AK291">
            <v>0.25</v>
          </cell>
          <cell r="AL291">
            <v>0.25</v>
          </cell>
          <cell r="AM291">
            <v>0.25</v>
          </cell>
          <cell r="AN291">
            <v>0.25</v>
          </cell>
          <cell r="AO291">
            <v>0.25</v>
          </cell>
          <cell r="AP291">
            <v>0.25</v>
          </cell>
          <cell r="AQ291">
            <v>0.25</v>
          </cell>
          <cell r="AR291">
            <v>0.25</v>
          </cell>
          <cell r="AS291">
            <v>0.25</v>
          </cell>
          <cell r="AT291">
            <v>-0.04</v>
          </cell>
          <cell r="AU291">
            <v>0.92</v>
          </cell>
          <cell r="AV291">
            <v>20</v>
          </cell>
          <cell r="AW291" t="str">
            <v>PIETRO OLIVADOTI</v>
          </cell>
          <cell r="AX291">
            <v>0.95</v>
          </cell>
          <cell r="AY291" t="str">
            <v/>
          </cell>
          <cell r="AZ291">
            <v>0.25</v>
          </cell>
          <cell r="BA291">
            <v>0.25</v>
          </cell>
        </row>
        <row r="292">
          <cell r="A292" t="str">
            <v>BIONDANI RAFFAELLO</v>
          </cell>
          <cell r="D292" t="str">
            <v>VIA F.MALFER, 13</v>
          </cell>
          <cell r="E292">
            <v>37135</v>
          </cell>
          <cell r="F292" t="str">
            <v>VERONA</v>
          </cell>
          <cell r="G292" t="str">
            <v>VR</v>
          </cell>
          <cell r="H292" t="str">
            <v>ITALIA</v>
          </cell>
          <cell r="I292" t="str">
            <v>BNDRFL44B13L781O</v>
          </cell>
          <cell r="J292" t="str">
            <v>01865180234</v>
          </cell>
          <cell r="M292" t="str">
            <v>UFFICIO ACQUISTI</v>
          </cell>
          <cell r="N292" t="str">
            <v>045 500086</v>
          </cell>
          <cell r="P292" t="str">
            <v>biondani.raffaello@tiscali.it</v>
          </cell>
          <cell r="R292" t="str">
            <v>BONIFICO BANCARIO, ALLA DATA DELLA NOSTRA CONFERMA D'ORDINE</v>
          </cell>
          <cell r="X292">
            <v>0.25</v>
          </cell>
          <cell r="Y292">
            <v>-0.04</v>
          </cell>
          <cell r="AB292">
            <v>0.25</v>
          </cell>
          <cell r="AC292">
            <v>0.25</v>
          </cell>
          <cell r="AD292">
            <v>0.25</v>
          </cell>
          <cell r="AE292">
            <v>0.25</v>
          </cell>
          <cell r="AF292">
            <v>0.25</v>
          </cell>
          <cell r="AG292">
            <v>0.25</v>
          </cell>
          <cell r="AH292">
            <v>0.25</v>
          </cell>
          <cell r="AI292">
            <v>0.25</v>
          </cell>
          <cell r="AJ292">
            <v>0.25</v>
          </cell>
          <cell r="AK292">
            <v>0.25</v>
          </cell>
          <cell r="AL292">
            <v>0.25</v>
          </cell>
          <cell r="AM292">
            <v>0.25</v>
          </cell>
          <cell r="AN292">
            <v>0.25</v>
          </cell>
          <cell r="AO292">
            <v>0.25</v>
          </cell>
          <cell r="AP292">
            <v>0.25</v>
          </cell>
          <cell r="AQ292">
            <v>0.25</v>
          </cell>
          <cell r="AR292">
            <v>0.25</v>
          </cell>
          <cell r="AS292">
            <v>0.25</v>
          </cell>
          <cell r="AT292">
            <v>-0.04</v>
          </cell>
          <cell r="AU292">
            <v>0.92</v>
          </cell>
          <cell r="AV292">
            <v>20</v>
          </cell>
          <cell r="AY292" t="str">
            <v/>
          </cell>
          <cell r="AZ292">
            <v>0.25</v>
          </cell>
          <cell r="BA292">
            <v>0.25</v>
          </cell>
        </row>
        <row r="293">
          <cell r="A293" t="str">
            <v>BIONDI INFISSI</v>
          </cell>
          <cell r="B293" t="str">
            <v>EROS BIONDI MOLTO INTERESSATO, COMPRERA' CAMPIONE.</v>
          </cell>
          <cell r="D293" t="str">
            <v>CONTRADA POSTA GARZIA</v>
          </cell>
          <cell r="E293" t="str">
            <v>71043</v>
          </cell>
          <cell r="F293" t="str">
            <v>MANFREDONIA</v>
          </cell>
          <cell r="G293" t="str">
            <v>FG</v>
          </cell>
          <cell r="H293" t="str">
            <v>ITALIA</v>
          </cell>
          <cell r="M293" t="str">
            <v>UFFICIO ACQUISTI</v>
          </cell>
          <cell r="N293" t="str">
            <v>0884 271532</v>
          </cell>
          <cell r="O293" t="str">
            <v>347 1310114 - 346 0843219</v>
          </cell>
          <cell r="P293" t="str">
            <v>info@biondiinfissi.it</v>
          </cell>
          <cell r="R293" t="str">
            <v>BONIFICO BANCARIO, ALLA DATA DELLA NOSTRA CONFERMA D'ORDINE</v>
          </cell>
          <cell r="X293">
            <v>0.25</v>
          </cell>
          <cell r="Y293">
            <v>-0.04</v>
          </cell>
          <cell r="AB293">
            <v>0.25</v>
          </cell>
          <cell r="AC293">
            <v>0.25</v>
          </cell>
          <cell r="AD293">
            <v>0.25</v>
          </cell>
          <cell r="AE293">
            <v>0.25</v>
          </cell>
          <cell r="AF293">
            <v>0.25</v>
          </cell>
          <cell r="AG293">
            <v>0.25</v>
          </cell>
          <cell r="AH293">
            <v>0.25</v>
          </cell>
          <cell r="AI293">
            <v>0.25</v>
          </cell>
          <cell r="AJ293">
            <v>0.25</v>
          </cell>
          <cell r="AK293">
            <v>0.25</v>
          </cell>
          <cell r="AL293">
            <v>0.25</v>
          </cell>
          <cell r="AM293">
            <v>0.25</v>
          </cell>
          <cell r="AN293">
            <v>0.25</v>
          </cell>
          <cell r="AO293">
            <v>0.25</v>
          </cell>
          <cell r="AP293">
            <v>0.25</v>
          </cell>
          <cell r="AQ293">
            <v>0.25</v>
          </cell>
          <cell r="AR293">
            <v>0.25</v>
          </cell>
          <cell r="AS293">
            <v>0.25</v>
          </cell>
          <cell r="AT293">
            <v>-0.04</v>
          </cell>
          <cell r="AU293">
            <v>0.92</v>
          </cell>
          <cell r="AV293">
            <v>20</v>
          </cell>
          <cell r="AY293" t="str">
            <v/>
          </cell>
          <cell r="AZ293">
            <v>0.25</v>
          </cell>
          <cell r="BA293">
            <v>0.25</v>
          </cell>
        </row>
        <row r="294">
          <cell r="A294" t="str">
            <v>BIONDO VINCENZO</v>
          </cell>
          <cell r="B294" t="str">
            <v>05/12/22 CHIAMATO TANTE VOLTE MA MAI RISPOSTO</v>
          </cell>
          <cell r="D294" t="str">
            <v>VIA SANTORO BONANNO, 14</v>
          </cell>
          <cell r="E294">
            <v>91026</v>
          </cell>
          <cell r="F294" t="str">
            <v>MAZARA DEL VALLO</v>
          </cell>
          <cell r="G294" t="str">
            <v>TP</v>
          </cell>
          <cell r="H294" t="str">
            <v>ITALIA</v>
          </cell>
          <cell r="J294" t="str">
            <v>01977890811</v>
          </cell>
          <cell r="K294" t="str">
            <v>M5UXCR1</v>
          </cell>
          <cell r="M294" t="str">
            <v>UFFICIO ACQUISTI</v>
          </cell>
          <cell r="N294" t="str">
            <v>0923 940733</v>
          </cell>
          <cell r="O294" t="str">
            <v>348 3963017</v>
          </cell>
          <cell r="P294" t="str">
            <v>info@biondoinfissi.com</v>
          </cell>
          <cell r="R294" t="str">
            <v>BONIFICO BANCARIO, ALLA DATA DELLA NOSTRA CONFERMA D'ORDINE</v>
          </cell>
          <cell r="X294">
            <v>0.25</v>
          </cell>
          <cell r="Y294">
            <v>-0.04</v>
          </cell>
          <cell r="AB294">
            <v>0.25</v>
          </cell>
          <cell r="AC294">
            <v>0.25</v>
          </cell>
          <cell r="AD294">
            <v>0.25</v>
          </cell>
          <cell r="AE294">
            <v>0.25</v>
          </cell>
          <cell r="AF294">
            <v>0.25</v>
          </cell>
          <cell r="AG294">
            <v>0.25</v>
          </cell>
          <cell r="AH294">
            <v>0.25</v>
          </cell>
          <cell r="AI294">
            <v>0.25</v>
          </cell>
          <cell r="AJ294">
            <v>0.25</v>
          </cell>
          <cell r="AK294">
            <v>0.25</v>
          </cell>
          <cell r="AL294">
            <v>0.25</v>
          </cell>
          <cell r="AM294">
            <v>0.25</v>
          </cell>
          <cell r="AN294">
            <v>0.25</v>
          </cell>
          <cell r="AO294">
            <v>0.25</v>
          </cell>
          <cell r="AP294">
            <v>0.25</v>
          </cell>
          <cell r="AQ294">
            <v>0.25</v>
          </cell>
          <cell r="AR294">
            <v>0.25</v>
          </cell>
          <cell r="AS294">
            <v>0.25</v>
          </cell>
          <cell r="AT294">
            <v>-0.04</v>
          </cell>
          <cell r="AU294">
            <v>0.92</v>
          </cell>
          <cell r="AV294">
            <v>20</v>
          </cell>
          <cell r="AY294" t="str">
            <v/>
          </cell>
          <cell r="AZ294">
            <v>0.25</v>
          </cell>
          <cell r="BA294">
            <v>0.25</v>
          </cell>
        </row>
        <row r="295">
          <cell r="A295" t="str">
            <v>BISACCHI WILLIAM &amp; C. SRL</v>
          </cell>
          <cell r="B295" t="str">
            <v>VISITATO 05/12 RICHIAMARE 14/12 IMPOSSIBILE PARLARE CON TITOLARI. MANDATA MAIL</v>
          </cell>
          <cell r="D295" t="str">
            <v>VIA DEL LAVORO, 11/a</v>
          </cell>
          <cell r="E295" t="str">
            <v>47035</v>
          </cell>
          <cell r="F295" t="str">
            <v>GAMBETTOLA</v>
          </cell>
          <cell r="G295" t="str">
            <v>FC</v>
          </cell>
          <cell r="H295" t="str">
            <v>ITALIA</v>
          </cell>
          <cell r="J295" t="str">
            <v>00130750409</v>
          </cell>
          <cell r="M295" t="str">
            <v>UFFICIO ACQUISTI</v>
          </cell>
          <cell r="N295" t="str">
            <v>0547 53495</v>
          </cell>
          <cell r="P295" t="str">
            <v>info@bisacchi.it</v>
          </cell>
          <cell r="R295" t="str">
            <v>BONIFICO BANCARIO, ALLA DATA DELLA NOSTRA CONFERMA D'ORDINE</v>
          </cell>
          <cell r="X295">
            <v>0.2</v>
          </cell>
          <cell r="Y295">
            <v>-0.04</v>
          </cell>
          <cell r="AB295">
            <v>0.2</v>
          </cell>
          <cell r="AC295">
            <v>0.2</v>
          </cell>
          <cell r="AD295">
            <v>0.2</v>
          </cell>
          <cell r="AE295">
            <v>0.2</v>
          </cell>
          <cell r="AF295">
            <v>0.2</v>
          </cell>
          <cell r="AG295">
            <v>0.2</v>
          </cell>
          <cell r="AH295">
            <v>0.2</v>
          </cell>
          <cell r="AI295">
            <v>0.2</v>
          </cell>
          <cell r="AJ295">
            <v>0.2</v>
          </cell>
          <cell r="AK295">
            <v>0.2</v>
          </cell>
          <cell r="AL295">
            <v>0.2</v>
          </cell>
          <cell r="AM295">
            <v>0.2</v>
          </cell>
          <cell r="AN295">
            <v>0.2</v>
          </cell>
          <cell r="AO295">
            <v>0.2</v>
          </cell>
          <cell r="AP295">
            <v>0.2</v>
          </cell>
          <cell r="AQ295">
            <v>0.2</v>
          </cell>
          <cell r="AR295">
            <v>0.2</v>
          </cell>
          <cell r="AS295">
            <v>0.2</v>
          </cell>
          <cell r="AT295">
            <v>-0.04</v>
          </cell>
          <cell r="AU295">
            <v>0.92</v>
          </cell>
          <cell r="AV295">
            <v>20</v>
          </cell>
          <cell r="AZ295">
            <v>0.2</v>
          </cell>
          <cell r="BA295">
            <v>0.2</v>
          </cell>
        </row>
        <row r="296">
          <cell r="A296" t="str">
            <v>BISER SRL</v>
          </cell>
          <cell r="D296" t="str">
            <v>LOC. RONCHETTI 2</v>
          </cell>
          <cell r="E296" t="str">
            <v>15010</v>
          </cell>
          <cell r="F296" t="str">
            <v>TERZO</v>
          </cell>
          <cell r="G296" t="str">
            <v>AL</v>
          </cell>
          <cell r="H296" t="str">
            <v>ITALIA</v>
          </cell>
          <cell r="J296" t="str">
            <v>00508910064</v>
          </cell>
          <cell r="M296" t="str">
            <v>UFFICIO ACQUISTI</v>
          </cell>
          <cell r="N296" t="str">
            <v>0144 594328</v>
          </cell>
          <cell r="O296" t="str">
            <v>348 4005099 BRUGNONE</v>
          </cell>
          <cell r="P296" t="str">
            <v>info@biser.it</v>
          </cell>
          <cell r="R296" t="str">
            <v>BONIFICO BANCARIO, ALLA DATA DELLA NOSTRA CONFERMA D'ORDINE</v>
          </cell>
          <cell r="X296">
            <v>0.25</v>
          </cell>
          <cell r="Y296">
            <v>-0.04</v>
          </cell>
          <cell r="AB296">
            <v>0.25</v>
          </cell>
          <cell r="AC296">
            <v>0.25</v>
          </cell>
          <cell r="AD296">
            <v>0.25</v>
          </cell>
          <cell r="AE296">
            <v>0.25</v>
          </cell>
          <cell r="AF296">
            <v>0.25</v>
          </cell>
          <cell r="AG296">
            <v>0.25</v>
          </cell>
          <cell r="AH296">
            <v>0.25</v>
          </cell>
          <cell r="AI296">
            <v>0.25</v>
          </cell>
          <cell r="AJ296">
            <v>0.25</v>
          </cell>
          <cell r="AK296">
            <v>0.25</v>
          </cell>
          <cell r="AL296">
            <v>0.25</v>
          </cell>
          <cell r="AM296">
            <v>0.25</v>
          </cell>
          <cell r="AN296">
            <v>0.25</v>
          </cell>
          <cell r="AO296">
            <v>0.25</v>
          </cell>
          <cell r="AP296">
            <v>0.25</v>
          </cell>
          <cell r="AQ296">
            <v>0.25</v>
          </cell>
          <cell r="AR296">
            <v>0.25</v>
          </cell>
          <cell r="AS296">
            <v>0.25</v>
          </cell>
          <cell r="AT296">
            <v>-0.04</v>
          </cell>
          <cell r="AU296">
            <v>0.92</v>
          </cell>
          <cell r="AV296">
            <v>20</v>
          </cell>
          <cell r="AY296" t="str">
            <v/>
          </cell>
          <cell r="AZ296">
            <v>0.25</v>
          </cell>
          <cell r="BA296">
            <v>0.25</v>
          </cell>
        </row>
        <row r="297">
          <cell r="A297" t="str">
            <v>BLA' INFISSI E ARREDI</v>
          </cell>
          <cell r="D297" t="str">
            <v>VIA CARLO MARIA MAGGI, 31</v>
          </cell>
          <cell r="E297">
            <v>20081</v>
          </cell>
          <cell r="F297" t="str">
            <v>ABBIATEGRASSO</v>
          </cell>
          <cell r="G297" t="str">
            <v>MI</v>
          </cell>
          <cell r="H297" t="str">
            <v>ITALIA</v>
          </cell>
          <cell r="I297" t="str">
            <v>BTTMSM68S28H264W</v>
          </cell>
          <cell r="J297" t="str">
            <v>07391610966</v>
          </cell>
          <cell r="M297" t="str">
            <v>UFFICIO ACQUISTI</v>
          </cell>
          <cell r="N297" t="str">
            <v>02 91439020</v>
          </cell>
          <cell r="P297" t="str">
            <v>info@bianifissiearredi.it</v>
          </cell>
          <cell r="R297" t="str">
            <v>BONIFICO BANCARIO, ALLA DATA DELLA NOSTRA CONFERMA D'ORDINE</v>
          </cell>
          <cell r="X297">
            <v>0.25</v>
          </cell>
          <cell r="Y297">
            <v>-0.04</v>
          </cell>
          <cell r="AB297">
            <v>0.25</v>
          </cell>
          <cell r="AC297">
            <v>0.25</v>
          </cell>
          <cell r="AD297">
            <v>0.25</v>
          </cell>
          <cell r="AE297">
            <v>0.25</v>
          </cell>
          <cell r="AF297">
            <v>0.25</v>
          </cell>
          <cell r="AG297">
            <v>0.25</v>
          </cell>
          <cell r="AH297">
            <v>0.25</v>
          </cell>
          <cell r="AI297">
            <v>0.25</v>
          </cell>
          <cell r="AJ297">
            <v>0.25</v>
          </cell>
          <cell r="AK297">
            <v>0.25</v>
          </cell>
          <cell r="AL297">
            <v>0.25</v>
          </cell>
          <cell r="AM297">
            <v>0.25</v>
          </cell>
          <cell r="AN297">
            <v>0.25</v>
          </cell>
          <cell r="AO297">
            <v>0.25</v>
          </cell>
          <cell r="AP297">
            <v>0.25</v>
          </cell>
          <cell r="AQ297">
            <v>0.25</v>
          </cell>
          <cell r="AR297">
            <v>0.25</v>
          </cell>
          <cell r="AS297">
            <v>0.25</v>
          </cell>
          <cell r="AT297">
            <v>-0.04</v>
          </cell>
          <cell r="AU297">
            <v>0.92</v>
          </cell>
          <cell r="AV297">
            <v>20</v>
          </cell>
          <cell r="AY297" t="str">
            <v/>
          </cell>
          <cell r="AZ297">
            <v>0.25</v>
          </cell>
          <cell r="BA297">
            <v>0.25</v>
          </cell>
        </row>
        <row r="298">
          <cell r="A298" t="str">
            <v>BLINDA</v>
          </cell>
          <cell r="D298" t="str">
            <v>VIA BRONZINO 25/R</v>
          </cell>
          <cell r="E298" t="str">
            <v>50142</v>
          </cell>
          <cell r="F298" t="str">
            <v>FIRENZE</v>
          </cell>
          <cell r="G298" t="str">
            <v>FI</v>
          </cell>
          <cell r="H298" t="str">
            <v>ITALIA</v>
          </cell>
          <cell r="M298" t="str">
            <v>UFFICIO ACQUISTI</v>
          </cell>
          <cell r="N298" t="str">
            <v>055 707089</v>
          </cell>
          <cell r="P298" t="str">
            <v>info@blinda.it</v>
          </cell>
          <cell r="R298" t="str">
            <v>BONIFICO BANCARIO, ALLA DATA DELLA NOSTRA CONFERMA D'ORDINE</v>
          </cell>
          <cell r="X298">
            <v>0.25</v>
          </cell>
          <cell r="Y298">
            <v>-0.04</v>
          </cell>
          <cell r="AB298">
            <v>0.25</v>
          </cell>
          <cell r="AC298">
            <v>0.25</v>
          </cell>
          <cell r="AD298">
            <v>0.25</v>
          </cell>
          <cell r="AE298">
            <v>0.25</v>
          </cell>
          <cell r="AF298">
            <v>0.25</v>
          </cell>
          <cell r="AG298">
            <v>0.25</v>
          </cell>
          <cell r="AH298">
            <v>0.25</v>
          </cell>
          <cell r="AI298">
            <v>0.25</v>
          </cell>
          <cell r="AJ298">
            <v>0.25</v>
          </cell>
          <cell r="AK298">
            <v>0.25</v>
          </cell>
          <cell r="AL298">
            <v>0.25</v>
          </cell>
          <cell r="AM298">
            <v>0.25</v>
          </cell>
          <cell r="AN298">
            <v>0.25</v>
          </cell>
          <cell r="AO298">
            <v>0.25</v>
          </cell>
          <cell r="AP298">
            <v>0.25</v>
          </cell>
          <cell r="AQ298">
            <v>0.25</v>
          </cell>
          <cell r="AR298">
            <v>0.25</v>
          </cell>
          <cell r="AS298">
            <v>0.25</v>
          </cell>
          <cell r="AT298">
            <v>-0.04</v>
          </cell>
          <cell r="AU298">
            <v>0.92</v>
          </cell>
          <cell r="AV298">
            <v>20</v>
          </cell>
          <cell r="AY298" t="str">
            <v/>
          </cell>
          <cell r="AZ298">
            <v>0.25</v>
          </cell>
          <cell r="BA298">
            <v>0.25</v>
          </cell>
        </row>
        <row r="299">
          <cell r="A299" t="str">
            <v xml:space="preserve">BLINDO 2 SERRAMENTI </v>
          </cell>
          <cell r="D299" t="str">
            <v>VIA CA' DEI BAI 113</v>
          </cell>
          <cell r="E299" t="str">
            <v>27100</v>
          </cell>
          <cell r="F299" t="str">
            <v>PAVIA</v>
          </cell>
          <cell r="G299" t="str">
            <v>PV</v>
          </cell>
          <cell r="H299" t="str">
            <v>ITALIA</v>
          </cell>
          <cell r="M299" t="str">
            <v>UFFICIO ACQUISTI</v>
          </cell>
          <cell r="N299" t="str">
            <v>0382 483353</v>
          </cell>
          <cell r="O299" t="str">
            <v>339 2283775 PAGLIAI MORENO</v>
          </cell>
          <cell r="R299" t="str">
            <v>BONIFICO BANCARIO, ALLA DATA DELLA NOSTRA CONFERMA D'ORDINE</v>
          </cell>
          <cell r="X299">
            <v>0.25</v>
          </cell>
          <cell r="Y299">
            <v>-0.04</v>
          </cell>
          <cell r="AB299">
            <v>0.25</v>
          </cell>
          <cell r="AC299">
            <v>0.25</v>
          </cell>
          <cell r="AD299">
            <v>0.25</v>
          </cell>
          <cell r="AE299">
            <v>0.25</v>
          </cell>
          <cell r="AF299">
            <v>0.25</v>
          </cell>
          <cell r="AG299">
            <v>0.25</v>
          </cell>
          <cell r="AH299">
            <v>0.25</v>
          </cell>
          <cell r="AI299">
            <v>0.25</v>
          </cell>
          <cell r="AJ299">
            <v>0.25</v>
          </cell>
          <cell r="AK299">
            <v>0.25</v>
          </cell>
          <cell r="AL299">
            <v>0.25</v>
          </cell>
          <cell r="AM299">
            <v>0.25</v>
          </cell>
          <cell r="AN299">
            <v>0.25</v>
          </cell>
          <cell r="AO299">
            <v>0.25</v>
          </cell>
          <cell r="AP299">
            <v>0.25</v>
          </cell>
          <cell r="AQ299">
            <v>0.25</v>
          </cell>
          <cell r="AR299">
            <v>0.25</v>
          </cell>
          <cell r="AS299">
            <v>0.25</v>
          </cell>
          <cell r="AT299">
            <v>-0.04</v>
          </cell>
          <cell r="AU299">
            <v>0.92</v>
          </cell>
          <cell r="AV299">
            <v>20</v>
          </cell>
          <cell r="AY299" t="str">
            <v/>
          </cell>
          <cell r="AZ299">
            <v>0.25</v>
          </cell>
          <cell r="BA299">
            <v>0.25</v>
          </cell>
        </row>
        <row r="300">
          <cell r="A300" t="str">
            <v>BLINDOCASA SNC DI GRILLO RODOLFO</v>
          </cell>
          <cell r="D300" t="str">
            <v>VIA MATTEOTTI 39</v>
          </cell>
          <cell r="E300" t="str">
            <v>40055</v>
          </cell>
          <cell r="F300" t="str">
            <v>VILLANOVA DI CASTENASO</v>
          </cell>
          <cell r="G300" t="str">
            <v>BO</v>
          </cell>
          <cell r="H300" t="str">
            <v>ITALIA</v>
          </cell>
          <cell r="J300" t="str">
            <v>02169591209</v>
          </cell>
          <cell r="M300" t="str">
            <v>UFFICIO ACQUISTI</v>
          </cell>
          <cell r="N300" t="str">
            <v>051 780520</v>
          </cell>
          <cell r="O300" t="str">
            <v>333 3489742</v>
          </cell>
          <cell r="R300" t="str">
            <v>BONIFICO BANCARIO, ALLA DATA DELLA NOSTRA CONFERMA D'ORDINE</v>
          </cell>
          <cell r="X300">
            <v>0.25</v>
          </cell>
          <cell r="Y300">
            <v>-0.04</v>
          </cell>
          <cell r="AB300">
            <v>0.25</v>
          </cell>
          <cell r="AC300">
            <v>0.25</v>
          </cell>
          <cell r="AD300">
            <v>0.25</v>
          </cell>
          <cell r="AE300">
            <v>0.25</v>
          </cell>
          <cell r="AF300">
            <v>0.25</v>
          </cell>
          <cell r="AG300">
            <v>0.25</v>
          </cell>
          <cell r="AH300">
            <v>0.25</v>
          </cell>
          <cell r="AI300">
            <v>0.25</v>
          </cell>
          <cell r="AJ300">
            <v>0.25</v>
          </cell>
          <cell r="AK300">
            <v>0.25</v>
          </cell>
          <cell r="AL300">
            <v>0.25</v>
          </cell>
          <cell r="AM300">
            <v>0.25</v>
          </cell>
          <cell r="AN300">
            <v>0.25</v>
          </cell>
          <cell r="AO300">
            <v>0.25</v>
          </cell>
          <cell r="AP300">
            <v>0.25</v>
          </cell>
          <cell r="AQ300">
            <v>0.25</v>
          </cell>
          <cell r="AR300">
            <v>0.25</v>
          </cell>
          <cell r="AS300">
            <v>0.25</v>
          </cell>
          <cell r="AT300">
            <v>-0.04</v>
          </cell>
          <cell r="AU300">
            <v>0.92</v>
          </cell>
          <cell r="AV300">
            <v>20</v>
          </cell>
          <cell r="AY300" t="str">
            <v/>
          </cell>
          <cell r="AZ300">
            <v>0.25</v>
          </cell>
          <cell r="BA300">
            <v>0.25</v>
          </cell>
        </row>
        <row r="301">
          <cell r="A301" t="str">
            <v>BLONDETT SRL</v>
          </cell>
          <cell r="D301" t="str">
            <v>VIA CHIARAVAGNA, 90 R</v>
          </cell>
          <cell r="E301">
            <v>16153</v>
          </cell>
          <cell r="F301" t="str">
            <v>GENOVA SESTRI P.</v>
          </cell>
          <cell r="G301" t="str">
            <v>GE</v>
          </cell>
          <cell r="H301" t="str">
            <v>ITALIA</v>
          </cell>
          <cell r="M301" t="str">
            <v>UFFICIO ACQUISTI</v>
          </cell>
          <cell r="N301" t="str">
            <v>010 6519735</v>
          </cell>
          <cell r="P301" t="str">
            <v>info@blondett.it</v>
          </cell>
          <cell r="R301" t="str">
            <v>BONIFICO BANCARIO, ALLA DATA DELLA NOSTRA CONFERMA D'ORDINE</v>
          </cell>
          <cell r="X301">
            <v>0.25</v>
          </cell>
          <cell r="Y301">
            <v>-0.04</v>
          </cell>
          <cell r="AB301">
            <v>0.25</v>
          </cell>
          <cell r="AC301">
            <v>0.25</v>
          </cell>
          <cell r="AD301">
            <v>0.25</v>
          </cell>
          <cell r="AE301">
            <v>0.25</v>
          </cell>
          <cell r="AF301">
            <v>0.25</v>
          </cell>
          <cell r="AG301">
            <v>0.25</v>
          </cell>
          <cell r="AH301">
            <v>0.25</v>
          </cell>
          <cell r="AI301">
            <v>0.25</v>
          </cell>
          <cell r="AJ301">
            <v>0.25</v>
          </cell>
          <cell r="AK301">
            <v>0.25</v>
          </cell>
          <cell r="AL301">
            <v>0.25</v>
          </cell>
          <cell r="AM301">
            <v>0.25</v>
          </cell>
          <cell r="AN301">
            <v>0.25</v>
          </cell>
          <cell r="AO301">
            <v>0.25</v>
          </cell>
          <cell r="AP301">
            <v>0.25</v>
          </cell>
          <cell r="AQ301">
            <v>0.25</v>
          </cell>
          <cell r="AR301">
            <v>0.25</v>
          </cell>
          <cell r="AS301">
            <v>0.25</v>
          </cell>
          <cell r="AT301">
            <v>-0.04</v>
          </cell>
          <cell r="AU301">
            <v>0.92</v>
          </cell>
          <cell r="AV301">
            <v>20</v>
          </cell>
          <cell r="AZ301">
            <v>0.25</v>
          </cell>
          <cell r="BA301">
            <v>0.25</v>
          </cell>
        </row>
        <row r="302">
          <cell r="A302" t="str">
            <v>BLUA S.N.C. DI BLUA MARCO E RICCARDO &amp; C.</v>
          </cell>
          <cell r="D302" t="str">
            <v>VIA GRAMSCI, 38</v>
          </cell>
          <cell r="E302">
            <v>13048</v>
          </cell>
          <cell r="F302" t="str">
            <v>SANTHA'</v>
          </cell>
          <cell r="G302" t="str">
            <v>VC</v>
          </cell>
          <cell r="H302" t="str">
            <v>ITALIA</v>
          </cell>
          <cell r="I302" t="str">
            <v>02071830026</v>
          </cell>
          <cell r="J302" t="str">
            <v>02071830026</v>
          </cell>
          <cell r="M302" t="str">
            <v>UFFICIO ACQUISTI</v>
          </cell>
          <cell r="N302" t="str">
            <v>0161 930889</v>
          </cell>
          <cell r="O302" t="str">
            <v>340 2203234</v>
          </cell>
          <cell r="P302" t="str">
            <v>bluaserramenti@interfree.it</v>
          </cell>
          <cell r="R302" t="str">
            <v>BONIFICO BANCARIO, ALLA DATA DELLA NOSTRA CONFERMA D'ORDINE</v>
          </cell>
          <cell r="X302">
            <v>0.25</v>
          </cell>
          <cell r="Y302">
            <v>-0.04</v>
          </cell>
          <cell r="AB302">
            <v>0.25</v>
          </cell>
          <cell r="AC302">
            <v>0.25</v>
          </cell>
          <cell r="AD302">
            <v>0.25</v>
          </cell>
          <cell r="AE302">
            <v>0.25</v>
          </cell>
          <cell r="AF302">
            <v>0.25</v>
          </cell>
          <cell r="AG302">
            <v>0.25</v>
          </cell>
          <cell r="AH302">
            <v>0.25</v>
          </cell>
          <cell r="AI302">
            <v>0.25</v>
          </cell>
          <cell r="AJ302">
            <v>0.25</v>
          </cell>
          <cell r="AK302">
            <v>0.25</v>
          </cell>
          <cell r="AL302">
            <v>0.25</v>
          </cell>
          <cell r="AM302">
            <v>0.25</v>
          </cell>
          <cell r="AN302">
            <v>0.25</v>
          </cell>
          <cell r="AO302">
            <v>0.25</v>
          </cell>
          <cell r="AP302">
            <v>0.25</v>
          </cell>
          <cell r="AQ302">
            <v>0.25</v>
          </cell>
          <cell r="AR302">
            <v>0.25</v>
          </cell>
          <cell r="AS302">
            <v>0.25</v>
          </cell>
          <cell r="AT302">
            <v>-0.04</v>
          </cell>
          <cell r="AU302">
            <v>0.92</v>
          </cell>
          <cell r="AV302">
            <v>20</v>
          </cell>
          <cell r="AY302" t="str">
            <v/>
          </cell>
          <cell r="AZ302">
            <v>0.25</v>
          </cell>
          <cell r="BA302">
            <v>0.25</v>
          </cell>
        </row>
        <row r="303">
          <cell r="A303" t="str">
            <v>BM DI BOROTTO GIUSEPPE</v>
          </cell>
          <cell r="B303" t="str">
            <v>VIDEO DELLA PARATIA SU WHATSAPP</v>
          </cell>
          <cell r="D303" t="str">
            <v>VIA MANTOVA 35</v>
          </cell>
          <cell r="E303" t="str">
            <v>37053</v>
          </cell>
          <cell r="F303" t="str">
            <v>CEREA</v>
          </cell>
          <cell r="G303" t="str">
            <v>VR</v>
          </cell>
          <cell r="H303" t="str">
            <v>ITALIA</v>
          </cell>
          <cell r="J303" t="str">
            <v>02960840235</v>
          </cell>
          <cell r="M303" t="str">
            <v>UFFICIO ACQUISTI</v>
          </cell>
          <cell r="N303" t="str">
            <v>0442 82303</v>
          </cell>
          <cell r="O303" t="str">
            <v>334 1492387</v>
          </cell>
          <cell r="P303" t="str">
            <v>info@bmportepergarage.it</v>
          </cell>
          <cell r="R303" t="str">
            <v>BONIFICO BANCARIO, ALLA DATA DELLA NOSTRA CONFERMA D'ORDINE</v>
          </cell>
          <cell r="X303">
            <v>0.25</v>
          </cell>
          <cell r="Y303">
            <v>-0.04</v>
          </cell>
          <cell r="AB303">
            <v>0.25</v>
          </cell>
          <cell r="AC303">
            <v>0.25</v>
          </cell>
          <cell r="AD303">
            <v>0.25</v>
          </cell>
          <cell r="AE303">
            <v>0.25</v>
          </cell>
          <cell r="AF303">
            <v>0.25</v>
          </cell>
          <cell r="AG303">
            <v>0.25</v>
          </cell>
          <cell r="AH303">
            <v>0.25</v>
          </cell>
          <cell r="AI303">
            <v>0.25</v>
          </cell>
          <cell r="AJ303">
            <v>0.25</v>
          </cell>
          <cell r="AK303">
            <v>0.25</v>
          </cell>
          <cell r="AL303">
            <v>0.25</v>
          </cell>
          <cell r="AM303">
            <v>0.25</v>
          </cell>
          <cell r="AN303">
            <v>0.25</v>
          </cell>
          <cell r="AO303">
            <v>0.25</v>
          </cell>
          <cell r="AP303">
            <v>0.25</v>
          </cell>
          <cell r="AQ303">
            <v>0.25</v>
          </cell>
          <cell r="AR303">
            <v>0.25</v>
          </cell>
          <cell r="AS303">
            <v>0.25</v>
          </cell>
          <cell r="AT303">
            <v>-0.04</v>
          </cell>
          <cell r="AU303">
            <v>0.92</v>
          </cell>
          <cell r="AV303">
            <v>20</v>
          </cell>
          <cell r="AY303" t="str">
            <v/>
          </cell>
          <cell r="AZ303">
            <v>0.25</v>
          </cell>
          <cell r="BA303">
            <v>0.25</v>
          </cell>
        </row>
        <row r="304">
          <cell r="A304" t="str">
            <v>BM INFISSI SRL</v>
          </cell>
          <cell r="B304" t="str">
            <v>NO SCONTI</v>
          </cell>
          <cell r="D304" t="str">
            <v>VIA I. CASTELLARIN, 14</v>
          </cell>
          <cell r="E304" t="str">
            <v>33050</v>
          </cell>
          <cell r="F304" t="str">
            <v>RONCHIS</v>
          </cell>
          <cell r="G304" t="str">
            <v>UD</v>
          </cell>
          <cell r="H304" t="str">
            <v>ITALIA</v>
          </cell>
          <cell r="M304" t="str">
            <v>UFFICIO ACQUISTI</v>
          </cell>
          <cell r="N304" t="str">
            <v>0431 56145</v>
          </cell>
          <cell r="P304" t="str">
            <v>info@bminfissi.it</v>
          </cell>
          <cell r="R304" t="str">
            <v>BONIFICO BANCARIO, ALLA DATA DELLA NOSTRA CONFERMA D'ORDINE</v>
          </cell>
          <cell r="X304">
            <v>0.25</v>
          </cell>
          <cell r="Y304">
            <v>-0.04</v>
          </cell>
          <cell r="AB304">
            <v>0.25</v>
          </cell>
          <cell r="AC304">
            <v>0.25</v>
          </cell>
          <cell r="AD304">
            <v>0.25</v>
          </cell>
          <cell r="AE304">
            <v>0.25</v>
          </cell>
          <cell r="AF304">
            <v>0.25</v>
          </cell>
          <cell r="AG304">
            <v>0.25</v>
          </cell>
          <cell r="AH304">
            <v>0.25</v>
          </cell>
          <cell r="AI304">
            <v>0.25</v>
          </cell>
          <cell r="AJ304">
            <v>0.25</v>
          </cell>
          <cell r="AK304">
            <v>0.25</v>
          </cell>
          <cell r="AL304">
            <v>0.25</v>
          </cell>
          <cell r="AM304">
            <v>0.25</v>
          </cell>
          <cell r="AN304">
            <v>0.25</v>
          </cell>
          <cell r="AO304">
            <v>0.25</v>
          </cell>
          <cell r="AP304">
            <v>0.25</v>
          </cell>
          <cell r="AQ304">
            <v>0.25</v>
          </cell>
          <cell r="AR304">
            <v>0.25</v>
          </cell>
          <cell r="AS304">
            <v>0.25</v>
          </cell>
          <cell r="AT304">
            <v>-0.04</v>
          </cell>
          <cell r="AU304">
            <v>0.92</v>
          </cell>
          <cell r="AV304">
            <v>20</v>
          </cell>
          <cell r="AY304" t="str">
            <v/>
          </cell>
          <cell r="AZ304">
            <v>0.25</v>
          </cell>
          <cell r="BA304">
            <v>0.25</v>
          </cell>
        </row>
        <row r="305">
          <cell r="A305" t="str">
            <v>BM SERRAMENTI</v>
          </cell>
          <cell r="D305" t="str">
            <v>VIA SANTUARIO, 18</v>
          </cell>
          <cell r="E305">
            <v>12012</v>
          </cell>
          <cell r="F305" t="str">
            <v>BOVES</v>
          </cell>
          <cell r="G305" t="str">
            <v>CN</v>
          </cell>
          <cell r="H305" t="str">
            <v>ITALIA</v>
          </cell>
          <cell r="I305" t="str">
            <v>00925690042</v>
          </cell>
          <cell r="J305" t="str">
            <v>00925690042</v>
          </cell>
          <cell r="M305" t="str">
            <v>UFFICIO ACQUISTI</v>
          </cell>
          <cell r="N305" t="str">
            <v>0171 380879</v>
          </cell>
          <cell r="P305" t="str">
            <v>info@bmserramenti.com</v>
          </cell>
          <cell r="R305" t="str">
            <v>BONIFICO BANCARIO, ALLA DATA DELLA NOSTRA CONFERMA D'ORDINE</v>
          </cell>
          <cell r="X305">
            <v>0.25</v>
          </cell>
          <cell r="Y305">
            <v>-0.04</v>
          </cell>
          <cell r="AB305">
            <v>0.25</v>
          </cell>
          <cell r="AC305">
            <v>0.25</v>
          </cell>
          <cell r="AD305">
            <v>0.25</v>
          </cell>
          <cell r="AE305">
            <v>0.25</v>
          </cell>
          <cell r="AF305">
            <v>0.25</v>
          </cell>
          <cell r="AG305">
            <v>0.25</v>
          </cell>
          <cell r="AH305">
            <v>0.25</v>
          </cell>
          <cell r="AI305">
            <v>0.25</v>
          </cell>
          <cell r="AJ305">
            <v>0.25</v>
          </cell>
          <cell r="AK305">
            <v>0.25</v>
          </cell>
          <cell r="AL305">
            <v>0.25</v>
          </cell>
          <cell r="AM305">
            <v>0.25</v>
          </cell>
          <cell r="AN305">
            <v>0.25</v>
          </cell>
          <cell r="AO305">
            <v>0.25</v>
          </cell>
          <cell r="AP305">
            <v>0.25</v>
          </cell>
          <cell r="AQ305">
            <v>0.25</v>
          </cell>
          <cell r="AR305">
            <v>0.25</v>
          </cell>
          <cell r="AS305">
            <v>0.25</v>
          </cell>
          <cell r="AT305">
            <v>-0.04</v>
          </cell>
          <cell r="AU305">
            <v>0.92</v>
          </cell>
          <cell r="AV305">
            <v>20</v>
          </cell>
          <cell r="AY305" t="str">
            <v/>
          </cell>
          <cell r="AZ305">
            <v>0.25</v>
          </cell>
          <cell r="BA305">
            <v>0.25</v>
          </cell>
        </row>
        <row r="306">
          <cell r="A306" t="str">
            <v>BM SERRAMENTI IN PVC DI BONTEMPO VINCENZO</v>
          </cell>
          <cell r="D306" t="str">
            <v>VIA GALILEO GALILEI, 57</v>
          </cell>
          <cell r="E306" t="str">
            <v>45038</v>
          </cell>
          <cell r="F306" t="str">
            <v xml:space="preserve">POLESELLA </v>
          </cell>
          <cell r="G306" t="str">
            <v>RO</v>
          </cell>
          <cell r="H306" t="str">
            <v>ITALIA</v>
          </cell>
          <cell r="I306" t="str">
            <v>BNTVCN56M22A177E</v>
          </cell>
          <cell r="J306" t="str">
            <v>01490400296</v>
          </cell>
          <cell r="M306" t="str">
            <v>UFFICIO ACQUISTI</v>
          </cell>
          <cell r="N306" t="str">
            <v>0425 947498</v>
          </cell>
          <cell r="O306" t="str">
            <v>346 3712738  Bontempo Vincenzo</v>
          </cell>
          <cell r="P306" t="str">
            <v>vincenzobontempo_56@libero.it</v>
          </cell>
          <cell r="R306" t="str">
            <v>BONIFICO BANCARIO, ALLA DATA DELLA NOSTRA CONFERMA D'ORDINE</v>
          </cell>
          <cell r="X306">
            <v>0.25</v>
          </cell>
          <cell r="Y306">
            <v>-0.04</v>
          </cell>
          <cell r="AB306">
            <v>0.25</v>
          </cell>
          <cell r="AC306">
            <v>0.25</v>
          </cell>
          <cell r="AD306">
            <v>0.25</v>
          </cell>
          <cell r="AE306">
            <v>0.25</v>
          </cell>
          <cell r="AF306">
            <v>0.25</v>
          </cell>
          <cell r="AG306">
            <v>0.25</v>
          </cell>
          <cell r="AH306">
            <v>0.25</v>
          </cell>
          <cell r="AI306">
            <v>0.25</v>
          </cell>
          <cell r="AJ306">
            <v>0.25</v>
          </cell>
          <cell r="AK306">
            <v>0.25</v>
          </cell>
          <cell r="AL306">
            <v>0.25</v>
          </cell>
          <cell r="AM306">
            <v>0.25</v>
          </cell>
          <cell r="AN306">
            <v>0.25</v>
          </cell>
          <cell r="AO306">
            <v>0.25</v>
          </cell>
          <cell r="AP306">
            <v>0.25</v>
          </cell>
          <cell r="AQ306">
            <v>0.25</v>
          </cell>
          <cell r="AR306">
            <v>0.25</v>
          </cell>
          <cell r="AS306">
            <v>0.25</v>
          </cell>
          <cell r="AT306">
            <v>-0.04</v>
          </cell>
          <cell r="AU306">
            <v>0.92</v>
          </cell>
          <cell r="AV306">
            <v>20</v>
          </cell>
          <cell r="AY306" t="str">
            <v/>
          </cell>
          <cell r="AZ306">
            <v>0.25</v>
          </cell>
          <cell r="BA306">
            <v>0.25</v>
          </cell>
        </row>
        <row r="307">
          <cell r="A307" t="str">
            <v>BM SNC INFISSI</v>
          </cell>
          <cell r="D307" t="str">
            <v>C.SOS. IGNAZIO, 26</v>
          </cell>
          <cell r="E307">
            <v>13048</v>
          </cell>
          <cell r="F307" t="str">
            <v>SANTHIA'</v>
          </cell>
          <cell r="G307" t="str">
            <v>VC</v>
          </cell>
          <cell r="H307" t="str">
            <v>ITALIA</v>
          </cell>
          <cell r="M307" t="str">
            <v>UFFICIO ACQUISTI</v>
          </cell>
          <cell r="N307" t="str">
            <v>0161 94865</v>
          </cell>
          <cell r="O307" t="str">
            <v>Chiara pedrali 347 0751825</v>
          </cell>
          <cell r="P307" t="str">
            <v>info@bm-infissi.it</v>
          </cell>
          <cell r="R307" t="str">
            <v>BONIFICO BANCARIO, ALLA DATA DELLA NOSTRA CONFERMA D'ORDINE</v>
          </cell>
          <cell r="X307">
            <v>0.25</v>
          </cell>
          <cell r="Y307">
            <v>-0.04</v>
          </cell>
          <cell r="AB307">
            <v>0.25</v>
          </cell>
          <cell r="AC307">
            <v>0.25</v>
          </cell>
          <cell r="AD307">
            <v>0.25</v>
          </cell>
          <cell r="AE307">
            <v>0.25</v>
          </cell>
          <cell r="AF307">
            <v>0.25</v>
          </cell>
          <cell r="AG307">
            <v>0.25</v>
          </cell>
          <cell r="AH307">
            <v>0.25</v>
          </cell>
          <cell r="AI307">
            <v>0.25</v>
          </cell>
          <cell r="AJ307">
            <v>0.25</v>
          </cell>
          <cell r="AK307">
            <v>0.25</v>
          </cell>
          <cell r="AL307">
            <v>0.25</v>
          </cell>
          <cell r="AM307">
            <v>0.25</v>
          </cell>
          <cell r="AN307">
            <v>0.25</v>
          </cell>
          <cell r="AO307">
            <v>0.25</v>
          </cell>
          <cell r="AP307">
            <v>0.25</v>
          </cell>
          <cell r="AQ307">
            <v>0.25</v>
          </cell>
          <cell r="AR307">
            <v>0.25</v>
          </cell>
          <cell r="AS307">
            <v>0.25</v>
          </cell>
          <cell r="AT307">
            <v>-0.04</v>
          </cell>
          <cell r="AU307">
            <v>0.92</v>
          </cell>
          <cell r="AV307">
            <v>20</v>
          </cell>
          <cell r="AY307" t="str">
            <v/>
          </cell>
          <cell r="AZ307">
            <v>0.25</v>
          </cell>
          <cell r="BA307">
            <v>0.25</v>
          </cell>
        </row>
        <row r="308">
          <cell r="A308" t="str">
            <v>BOCCHIERI dott.Sabina</v>
          </cell>
          <cell r="D308" t="str">
            <v>VIA BUTERA, 172</v>
          </cell>
          <cell r="E308">
            <v>93012</v>
          </cell>
          <cell r="F308" t="str">
            <v>GELA</v>
          </cell>
          <cell r="G308" t="str">
            <v>CL</v>
          </cell>
          <cell r="H308" t="str">
            <v>ITALIA</v>
          </cell>
          <cell r="J308" t="str">
            <v>01539070852</v>
          </cell>
          <cell r="M308" t="str">
            <v>UFFICIO ACQUISTI</v>
          </cell>
          <cell r="N308" t="str">
            <v>0933 935588</v>
          </cell>
          <cell r="P308" t="str">
            <v>_bocchierisabina@yahoo.it</v>
          </cell>
          <cell r="R308" t="str">
            <v>BONIFICO BANCARIO, ALLA DATA DELLA NOSTRA CONFERMA D'ORDINE</v>
          </cell>
          <cell r="X308">
            <v>0.25</v>
          </cell>
          <cell r="Y308">
            <v>-0.04</v>
          </cell>
          <cell r="AB308">
            <v>0.25</v>
          </cell>
          <cell r="AC308">
            <v>0.25</v>
          </cell>
          <cell r="AD308">
            <v>0.25</v>
          </cell>
          <cell r="AE308">
            <v>0.25</v>
          </cell>
          <cell r="AF308">
            <v>0.25</v>
          </cell>
          <cell r="AG308">
            <v>0.25</v>
          </cell>
          <cell r="AH308">
            <v>0.25</v>
          </cell>
          <cell r="AI308">
            <v>0.25</v>
          </cell>
          <cell r="AJ308">
            <v>0.25</v>
          </cell>
          <cell r="AK308">
            <v>0.25</v>
          </cell>
          <cell r="AL308">
            <v>0.25</v>
          </cell>
          <cell r="AM308">
            <v>0.25</v>
          </cell>
          <cell r="AN308">
            <v>0.25</v>
          </cell>
          <cell r="AO308">
            <v>0.25</v>
          </cell>
          <cell r="AP308">
            <v>0.25</v>
          </cell>
          <cell r="AQ308">
            <v>0.25</v>
          </cell>
          <cell r="AR308">
            <v>0.25</v>
          </cell>
          <cell r="AS308">
            <v>0.25</v>
          </cell>
          <cell r="AT308">
            <v>-0.04</v>
          </cell>
          <cell r="AU308">
            <v>0.92</v>
          </cell>
          <cell r="AV308">
            <v>20</v>
          </cell>
          <cell r="AY308" t="str">
            <v/>
          </cell>
          <cell r="AZ308">
            <v>0.25</v>
          </cell>
          <cell r="BA308">
            <v>0.25</v>
          </cell>
        </row>
        <row r="309">
          <cell r="A309" t="str">
            <v>BOCCHIMPANI SRL</v>
          </cell>
          <cell r="B309" t="str">
            <v>ACQUISTA ANCHE DA FER-DOR - BELLA REALTA' MP 22/09/2022</v>
          </cell>
          <cell r="D309" t="str">
            <v>VIA S. MARGHERITA, 281</v>
          </cell>
          <cell r="E309" t="str">
            <v>44123</v>
          </cell>
          <cell r="F309" t="str">
            <v>MALBORGHETTO DI BOARA</v>
          </cell>
          <cell r="G309" t="str">
            <v>FE</v>
          </cell>
          <cell r="H309" t="str">
            <v>ITALIA</v>
          </cell>
          <cell r="J309" t="str">
            <v>01830540389</v>
          </cell>
          <cell r="M309" t="str">
            <v>UFFICIO ACQUISTI</v>
          </cell>
          <cell r="N309" t="str">
            <v>0532 757531</v>
          </cell>
          <cell r="P309" t="str">
            <v>info@bocchimpani.it</v>
          </cell>
          <cell r="R309" t="str">
            <v>BONIFICO BANCARIO, ALLA DATA DELLA NOSTRA CONFERMA D'ORDINE</v>
          </cell>
          <cell r="X309">
            <v>0.2</v>
          </cell>
          <cell r="Y309">
            <v>-0.04</v>
          </cell>
          <cell r="AB309">
            <v>0.2</v>
          </cell>
          <cell r="AC309">
            <v>0.2</v>
          </cell>
          <cell r="AD309">
            <v>0.2</v>
          </cell>
          <cell r="AE309">
            <v>0.2</v>
          </cell>
          <cell r="AF309">
            <v>0.2</v>
          </cell>
          <cell r="AG309">
            <v>0.2</v>
          </cell>
          <cell r="AH309">
            <v>0.2</v>
          </cell>
          <cell r="AI309">
            <v>0.2</v>
          </cell>
          <cell r="AJ309">
            <v>0.2</v>
          </cell>
          <cell r="AK309">
            <v>0.2</v>
          </cell>
          <cell r="AL309">
            <v>0.2</v>
          </cell>
          <cell r="AM309">
            <v>0.2</v>
          </cell>
          <cell r="AN309">
            <v>0.2</v>
          </cell>
          <cell r="AO309">
            <v>0.2</v>
          </cell>
          <cell r="AP309">
            <v>0.2</v>
          </cell>
          <cell r="AQ309">
            <v>0.2</v>
          </cell>
          <cell r="AR309">
            <v>0.2</v>
          </cell>
          <cell r="AS309">
            <v>0.2</v>
          </cell>
          <cell r="AT309">
            <v>-0.04</v>
          </cell>
          <cell r="AU309">
            <v>0.9</v>
          </cell>
          <cell r="AV309">
            <v>20</v>
          </cell>
          <cell r="AZ309">
            <v>0.2</v>
          </cell>
          <cell r="BA309">
            <v>0.2</v>
          </cell>
        </row>
        <row r="310">
          <cell r="A310" t="str">
            <v>BOCCHIO SERRAMENTI SRL</v>
          </cell>
          <cell r="B310" t="str">
            <v>MV</v>
          </cell>
          <cell r="D310" t="str">
            <v>VIA CENTENARO, 80</v>
          </cell>
          <cell r="E310" t="str">
            <v>25017</v>
          </cell>
          <cell r="F310" t="str">
            <v>LEONATO DEL GARDA</v>
          </cell>
          <cell r="G310" t="str">
            <v>BS</v>
          </cell>
          <cell r="H310" t="str">
            <v>ITALIA</v>
          </cell>
          <cell r="I310" t="str">
            <v>00279850176</v>
          </cell>
          <cell r="J310" t="str">
            <v>00548300987</v>
          </cell>
          <cell r="K310" t="str">
            <v>5RUO82D</v>
          </cell>
          <cell r="M310" t="str">
            <v>UFFICIO ACQUISTI</v>
          </cell>
          <cell r="N310" t="str">
            <v>0309 103028</v>
          </cell>
          <cell r="P310" t="str">
            <v>alessandro@bocchioserramenti.it</v>
          </cell>
          <cell r="R310" t="str">
            <v>BONIFICO BANCARIO, ALLA DATA DELLA NOSTRA CONFERMA D'ORDINE</v>
          </cell>
          <cell r="X310">
            <v>0.25</v>
          </cell>
          <cell r="Y310">
            <v>-0.04</v>
          </cell>
          <cell r="AB310">
            <v>0.25</v>
          </cell>
          <cell r="AC310">
            <v>0.25</v>
          </cell>
          <cell r="AD310">
            <v>0.25</v>
          </cell>
          <cell r="AE310">
            <v>0.25</v>
          </cell>
          <cell r="AF310">
            <v>0.25</v>
          </cell>
          <cell r="AG310">
            <v>0.25</v>
          </cell>
          <cell r="AH310">
            <v>0.25</v>
          </cell>
          <cell r="AI310">
            <v>0.25</v>
          </cell>
          <cell r="AJ310">
            <v>0.25</v>
          </cell>
          <cell r="AK310">
            <v>0.25</v>
          </cell>
          <cell r="AL310">
            <v>0.25</v>
          </cell>
          <cell r="AM310">
            <v>0.25</v>
          </cell>
          <cell r="AN310">
            <v>0.25</v>
          </cell>
          <cell r="AO310">
            <v>0.25</v>
          </cell>
          <cell r="AP310">
            <v>0.25</v>
          </cell>
          <cell r="AQ310">
            <v>0.25</v>
          </cell>
          <cell r="AR310">
            <v>0.25</v>
          </cell>
          <cell r="AS310">
            <v>0.25</v>
          </cell>
          <cell r="AT310">
            <v>-0.04</v>
          </cell>
          <cell r="AU310">
            <v>0.92</v>
          </cell>
          <cell r="AV310">
            <v>20</v>
          </cell>
          <cell r="AY310" t="str">
            <v/>
          </cell>
          <cell r="AZ310">
            <v>0.25</v>
          </cell>
          <cell r="BA310">
            <v>0.25</v>
          </cell>
        </row>
        <row r="311">
          <cell r="A311" t="str">
            <v>BOLDRINI GIUSEPPE</v>
          </cell>
          <cell r="B311" t="str">
            <v>MP 31/08/2022</v>
          </cell>
          <cell r="D311" t="str">
            <v>VIA V. WOOLF, 8</v>
          </cell>
          <cell r="E311" t="str">
            <v>44124</v>
          </cell>
          <cell r="F311" t="str">
            <v>FERRARA</v>
          </cell>
          <cell r="G311" t="str">
            <v>FE</v>
          </cell>
          <cell r="H311" t="str">
            <v>ITALIA</v>
          </cell>
          <cell r="I311" t="str">
            <v>BLDGPP50T30D548I</v>
          </cell>
          <cell r="J311" t="str">
            <v>00728610387</v>
          </cell>
          <cell r="K311" t="str">
            <v>SUBM70N</v>
          </cell>
          <cell r="M311" t="str">
            <v>UFFICIO ACQUISTI</v>
          </cell>
          <cell r="N311" t="str">
            <v>0532 741043</v>
          </cell>
          <cell r="P311" t="str">
            <v>serramenti.boldrinigiuseppe@gmail.com</v>
          </cell>
          <cell r="R311" t="str">
            <v>BONIFICO BANCARIO, ALLA DATA DELLA NOSTRA CONFERMA D'ORDINE</v>
          </cell>
          <cell r="X311">
            <v>0.2</v>
          </cell>
          <cell r="AB311">
            <v>0.2</v>
          </cell>
          <cell r="AC311">
            <v>0.2</v>
          </cell>
          <cell r="AD311">
            <v>0.2</v>
          </cell>
          <cell r="AE311">
            <v>0.2</v>
          </cell>
          <cell r="AF311">
            <v>0.2</v>
          </cell>
          <cell r="AG311">
            <v>0.2</v>
          </cell>
          <cell r="AH311">
            <v>0.2</v>
          </cell>
          <cell r="AI311">
            <v>0.2</v>
          </cell>
          <cell r="AJ311">
            <v>0.2</v>
          </cell>
          <cell r="AK311">
            <v>0.2</v>
          </cell>
          <cell r="AL311">
            <v>0.2</v>
          </cell>
          <cell r="AM311">
            <v>0.2</v>
          </cell>
          <cell r="AN311">
            <v>0.2</v>
          </cell>
          <cell r="AO311">
            <v>0.2</v>
          </cell>
          <cell r="AP311">
            <v>0.2</v>
          </cell>
          <cell r="AQ311">
            <v>0.2</v>
          </cell>
          <cell r="AR311">
            <v>0.2</v>
          </cell>
          <cell r="AS311">
            <v>0.2</v>
          </cell>
          <cell r="AU311">
            <v>0.9</v>
          </cell>
          <cell r="AV311">
            <v>20</v>
          </cell>
          <cell r="AZ311">
            <v>0.2</v>
          </cell>
          <cell r="BA311">
            <v>0.2</v>
          </cell>
        </row>
        <row r="312">
          <cell r="A312" t="str">
            <v>BOLELLI &amp; GRILLO S.N.C.</v>
          </cell>
          <cell r="D312" t="str">
            <v>VIA F.LLI CERVI, 29</v>
          </cell>
          <cell r="E312">
            <v>40054</v>
          </cell>
          <cell r="F312" t="str">
            <v>BUDRIO</v>
          </cell>
          <cell r="G312" t="str">
            <v>BO</v>
          </cell>
          <cell r="H312" t="str">
            <v>ITALIA</v>
          </cell>
          <cell r="M312" t="str">
            <v>UFFICIO ACQUISTI</v>
          </cell>
          <cell r="N312" t="str">
            <v>051 808270</v>
          </cell>
          <cell r="P312" t="str">
            <v>bolelliegrillo@libero.it</v>
          </cell>
          <cell r="R312" t="str">
            <v>BONIFICO BANCARIO, ALLA DATA DELLA NOSTRA CONFERMA D'ORDINE</v>
          </cell>
          <cell r="X312">
            <v>0.25</v>
          </cell>
          <cell r="Y312">
            <v>-0.04</v>
          </cell>
          <cell r="AB312">
            <v>0.25</v>
          </cell>
          <cell r="AC312">
            <v>0.25</v>
          </cell>
          <cell r="AD312">
            <v>0.25</v>
          </cell>
          <cell r="AE312">
            <v>0.25</v>
          </cell>
          <cell r="AF312">
            <v>0.25</v>
          </cell>
          <cell r="AG312">
            <v>0.25</v>
          </cell>
          <cell r="AH312">
            <v>0.25</v>
          </cell>
          <cell r="AI312">
            <v>0.25</v>
          </cell>
          <cell r="AJ312">
            <v>0.25</v>
          </cell>
          <cell r="AK312">
            <v>0.25</v>
          </cell>
          <cell r="AL312">
            <v>0.25</v>
          </cell>
          <cell r="AM312">
            <v>0.25</v>
          </cell>
          <cell r="AN312">
            <v>0.25</v>
          </cell>
          <cell r="AO312">
            <v>0.25</v>
          </cell>
          <cell r="AP312">
            <v>0.25</v>
          </cell>
          <cell r="AQ312">
            <v>0.25</v>
          </cell>
          <cell r="AR312">
            <v>0.25</v>
          </cell>
          <cell r="AS312">
            <v>0.25</v>
          </cell>
          <cell r="AT312">
            <v>-0.04</v>
          </cell>
          <cell r="AU312">
            <v>0.92</v>
          </cell>
          <cell r="AV312">
            <v>20</v>
          </cell>
          <cell r="AY312" t="str">
            <v/>
          </cell>
          <cell r="AZ312">
            <v>0.25</v>
          </cell>
          <cell r="BA312">
            <v>0.25</v>
          </cell>
        </row>
        <row r="313">
          <cell r="A313" t="str">
            <v>BONACCOLTA</v>
          </cell>
          <cell r="D313" t="str">
            <v>VIALE REGINA MARGHERITA, 5</v>
          </cell>
          <cell r="E313" t="str">
            <v>92020</v>
          </cell>
          <cell r="F313" t="str">
            <v>SAN GIOVANNI GEMINI</v>
          </cell>
          <cell r="G313" t="str">
            <v>AG</v>
          </cell>
          <cell r="H313" t="str">
            <v>ITALIA</v>
          </cell>
          <cell r="J313" t="str">
            <v>02595360849</v>
          </cell>
          <cell r="M313" t="str">
            <v>UFFICIO ACQUISTI</v>
          </cell>
          <cell r="N313" t="str">
            <v>0922 902957</v>
          </cell>
          <cell r="O313" t="str">
            <v>329 4908451</v>
          </cell>
          <cell r="P313" t="str">
            <v>mbonaccolta@gmail.com</v>
          </cell>
          <cell r="R313" t="str">
            <v>BONIFICO BANCARIO, ALLA DATA DELLA NOSTRA CONFERMA D'ORDINE</v>
          </cell>
          <cell r="X313">
            <v>0.25</v>
          </cell>
          <cell r="Y313">
            <v>-0.04</v>
          </cell>
          <cell r="AB313">
            <v>0.25</v>
          </cell>
          <cell r="AC313">
            <v>0.25</v>
          </cell>
          <cell r="AD313">
            <v>0.25</v>
          </cell>
          <cell r="AE313">
            <v>0.25</v>
          </cell>
          <cell r="AF313">
            <v>0.25</v>
          </cell>
          <cell r="AG313">
            <v>0.25</v>
          </cell>
          <cell r="AH313">
            <v>0.25</v>
          </cell>
          <cell r="AI313">
            <v>0.25</v>
          </cell>
          <cell r="AJ313">
            <v>0.25</v>
          </cell>
          <cell r="AK313">
            <v>0.25</v>
          </cell>
          <cell r="AL313">
            <v>0.25</v>
          </cell>
          <cell r="AM313">
            <v>0.25</v>
          </cell>
          <cell r="AN313">
            <v>0.25</v>
          </cell>
          <cell r="AO313">
            <v>0.25</v>
          </cell>
          <cell r="AP313">
            <v>0.25</v>
          </cell>
          <cell r="AQ313">
            <v>0.25</v>
          </cell>
          <cell r="AR313">
            <v>0.25</v>
          </cell>
          <cell r="AS313">
            <v>0.25</v>
          </cell>
          <cell r="AT313">
            <v>-0.04</v>
          </cell>
          <cell r="AU313">
            <v>0.92</v>
          </cell>
          <cell r="AV313">
            <v>20</v>
          </cell>
          <cell r="AY313" t="str">
            <v/>
          </cell>
          <cell r="AZ313">
            <v>0.25</v>
          </cell>
          <cell r="BA313">
            <v>0.25</v>
          </cell>
        </row>
        <row r="314">
          <cell r="A314" t="str">
            <v>BONARA GIANNI E GIANCARLO S.N.C.</v>
          </cell>
          <cell r="D314" t="str">
            <v>VIA DEL LAVORO, 16</v>
          </cell>
          <cell r="E314">
            <v>44049</v>
          </cell>
          <cell r="F314" t="str">
            <v>VIGARANO PIEVE</v>
          </cell>
          <cell r="G314" t="str">
            <v>FE</v>
          </cell>
          <cell r="H314" t="str">
            <v>ITALIA</v>
          </cell>
          <cell r="I314" t="str">
            <v>00871500385</v>
          </cell>
          <cell r="J314" t="str">
            <v>00871500385</v>
          </cell>
          <cell r="M314" t="str">
            <v>UFFICIO ACQUISTI</v>
          </cell>
          <cell r="N314" t="str">
            <v>0532 715370</v>
          </cell>
          <cell r="O314" t="str">
            <v>335 6534265</v>
          </cell>
          <cell r="R314" t="str">
            <v>BONIFICO BANCARIO, ALLA DATA DELLA NOSTRA CONFERMA D'ORDINE</v>
          </cell>
          <cell r="X314">
            <v>0.25</v>
          </cell>
          <cell r="Y314">
            <v>-0.04</v>
          </cell>
          <cell r="AB314">
            <v>0.25</v>
          </cell>
          <cell r="AC314">
            <v>0.25</v>
          </cell>
          <cell r="AD314">
            <v>0.25</v>
          </cell>
          <cell r="AE314">
            <v>0.25</v>
          </cell>
          <cell r="AF314">
            <v>0.25</v>
          </cell>
          <cell r="AG314">
            <v>0.25</v>
          </cell>
          <cell r="AH314">
            <v>0.25</v>
          </cell>
          <cell r="AI314">
            <v>0.25</v>
          </cell>
          <cell r="AJ314">
            <v>0.25</v>
          </cell>
          <cell r="AK314">
            <v>0.25</v>
          </cell>
          <cell r="AL314">
            <v>0.25</v>
          </cell>
          <cell r="AM314">
            <v>0.25</v>
          </cell>
          <cell r="AN314">
            <v>0.25</v>
          </cell>
          <cell r="AO314">
            <v>0.25</v>
          </cell>
          <cell r="AP314">
            <v>0.25</v>
          </cell>
          <cell r="AQ314">
            <v>0.25</v>
          </cell>
          <cell r="AR314">
            <v>0.25</v>
          </cell>
          <cell r="AS314">
            <v>0.25</v>
          </cell>
          <cell r="AT314">
            <v>-0.04</v>
          </cell>
          <cell r="AU314">
            <v>0.92</v>
          </cell>
          <cell r="AV314">
            <v>20</v>
          </cell>
          <cell r="AY314" t="str">
            <v/>
          </cell>
          <cell r="AZ314">
            <v>0.25</v>
          </cell>
          <cell r="BA314">
            <v>0.25</v>
          </cell>
        </row>
        <row r="315">
          <cell r="A315" t="str">
            <v xml:space="preserve">BONATTI CLAUDIO </v>
          </cell>
          <cell r="B315" t="str">
            <v>IL CAPO E' EMILIANO CHIAMATO E INTERESSATO</v>
          </cell>
          <cell r="D315" t="str">
            <v>LOC. CALAMAR DI RIVOLTELLA, 16</v>
          </cell>
          <cell r="E315">
            <v>25010</v>
          </cell>
          <cell r="F315" t="str">
            <v>DESENZANO D.G.</v>
          </cell>
          <cell r="G315" t="str">
            <v>BS</v>
          </cell>
          <cell r="H315" t="str">
            <v>ITALIA</v>
          </cell>
          <cell r="J315" t="str">
            <v>02308370986</v>
          </cell>
          <cell r="M315" t="str">
            <v>UFFICIO ACQUISTI</v>
          </cell>
          <cell r="N315" t="str">
            <v>030 9901649</v>
          </cell>
          <cell r="O315" t="str">
            <v>339 7758546</v>
          </cell>
          <cell r="P315" t="str">
            <v>claudiobonatti@legalmail.it</v>
          </cell>
          <cell r="R315" t="str">
            <v>BONIFICO BANCARIO, ALLA DATA DELLA NOSTRA CONFERMA D'ORDINE</v>
          </cell>
          <cell r="X315">
            <v>0.25</v>
          </cell>
          <cell r="Y315">
            <v>-0.04</v>
          </cell>
          <cell r="AB315">
            <v>0.25</v>
          </cell>
          <cell r="AC315">
            <v>0.25</v>
          </cell>
          <cell r="AD315">
            <v>0.25</v>
          </cell>
          <cell r="AE315">
            <v>0.25</v>
          </cell>
          <cell r="AF315">
            <v>0.25</v>
          </cell>
          <cell r="AG315">
            <v>0.25</v>
          </cell>
          <cell r="AH315">
            <v>0.25</v>
          </cell>
          <cell r="AI315">
            <v>0.25</v>
          </cell>
          <cell r="AJ315">
            <v>0.25</v>
          </cell>
          <cell r="AK315">
            <v>0.25</v>
          </cell>
          <cell r="AL315">
            <v>0.25</v>
          </cell>
          <cell r="AM315">
            <v>0.25</v>
          </cell>
          <cell r="AN315">
            <v>0.25</v>
          </cell>
          <cell r="AO315">
            <v>0.25</v>
          </cell>
          <cell r="AP315">
            <v>0.25</v>
          </cell>
          <cell r="AQ315">
            <v>0.25</v>
          </cell>
          <cell r="AR315">
            <v>0.25</v>
          </cell>
          <cell r="AS315">
            <v>0.25</v>
          </cell>
          <cell r="AT315">
            <v>-0.04</v>
          </cell>
          <cell r="AU315">
            <v>0.92</v>
          </cell>
          <cell r="AV315">
            <v>20</v>
          </cell>
          <cell r="AY315" t="str">
            <v/>
          </cell>
          <cell r="AZ315">
            <v>0.25</v>
          </cell>
          <cell r="BA315">
            <v>0.25</v>
          </cell>
        </row>
        <row r="316">
          <cell r="A316" t="str">
            <v xml:space="preserve">BONELLI Serramenti srl </v>
          </cell>
          <cell r="D316" t="str">
            <v>VIA S. ROCCHETTO, 45</v>
          </cell>
          <cell r="E316">
            <v>12084</v>
          </cell>
          <cell r="F316" t="str">
            <v>MONDOVI'</v>
          </cell>
          <cell r="G316" t="str">
            <v>CN</v>
          </cell>
          <cell r="H316" t="str">
            <v>ITALIA</v>
          </cell>
          <cell r="I316" t="str">
            <v>03188960045</v>
          </cell>
          <cell r="J316" t="str">
            <v>03188960045</v>
          </cell>
          <cell r="M316" t="str">
            <v>UFFICIO ACQUISTI</v>
          </cell>
          <cell r="N316" t="str">
            <v>0174 40260</v>
          </cell>
          <cell r="O316" t="str">
            <v>338 6296113 Bruno Federico</v>
          </cell>
          <cell r="P316" t="str">
            <v>vendita@bonelliserramenti.it</v>
          </cell>
          <cell r="R316" t="str">
            <v>BONIFICO BANCARIO, ALLA DATA DELLA NOSTRA CONFERMA D'ORDINE</v>
          </cell>
          <cell r="X316">
            <v>0.25</v>
          </cell>
          <cell r="Y316">
            <v>-0.04</v>
          </cell>
          <cell r="AB316">
            <v>0.25</v>
          </cell>
          <cell r="AC316">
            <v>0.25</v>
          </cell>
          <cell r="AD316">
            <v>0.25</v>
          </cell>
          <cell r="AE316">
            <v>0.25</v>
          </cell>
          <cell r="AF316">
            <v>0.25</v>
          </cell>
          <cell r="AG316">
            <v>0.25</v>
          </cell>
          <cell r="AH316">
            <v>0.25</v>
          </cell>
          <cell r="AI316">
            <v>0.25</v>
          </cell>
          <cell r="AJ316">
            <v>0.25</v>
          </cell>
          <cell r="AK316">
            <v>0.25</v>
          </cell>
          <cell r="AL316">
            <v>0.25</v>
          </cell>
          <cell r="AM316">
            <v>0.25</v>
          </cell>
          <cell r="AN316">
            <v>0.25</v>
          </cell>
          <cell r="AO316">
            <v>0.25</v>
          </cell>
          <cell r="AP316">
            <v>0.25</v>
          </cell>
          <cell r="AQ316">
            <v>0.25</v>
          </cell>
          <cell r="AR316">
            <v>0.25</v>
          </cell>
          <cell r="AS316">
            <v>0.25</v>
          </cell>
          <cell r="AT316">
            <v>-0.04</v>
          </cell>
          <cell r="AU316">
            <v>0.92</v>
          </cell>
          <cell r="AV316">
            <v>20</v>
          </cell>
          <cell r="AZ316">
            <v>0.25</v>
          </cell>
          <cell r="BA316">
            <v>0.25</v>
          </cell>
        </row>
        <row r="317">
          <cell r="A317" t="str">
            <v>BONFORTE DOOR SRL</v>
          </cell>
          <cell r="D317" t="str">
            <v>VIA A. DI SAN GIULIANO CATANIA, 10 12 18</v>
          </cell>
          <cell r="E317" t="str">
            <v>95131</v>
          </cell>
          <cell r="F317" t="str">
            <v>CATANIA</v>
          </cell>
          <cell r="G317" t="str">
            <v>CT</v>
          </cell>
          <cell r="H317" t="str">
            <v>ITALIA</v>
          </cell>
          <cell r="M317" t="str">
            <v>UFFICIO ACQUISTI</v>
          </cell>
          <cell r="N317" t="str">
            <v>095 531615</v>
          </cell>
          <cell r="P317" t="str">
            <v>info@bonfortedoor.it</v>
          </cell>
          <cell r="R317" t="str">
            <v>BONIFICO BANCARIO, ALLA DATA DELLA NOSTRA CONFERMA D'ORDINE</v>
          </cell>
          <cell r="X317">
            <v>0.25</v>
          </cell>
          <cell r="Y317">
            <v>-0.04</v>
          </cell>
          <cell r="AB317">
            <v>0.25</v>
          </cell>
          <cell r="AC317">
            <v>0.25</v>
          </cell>
          <cell r="AD317">
            <v>0.25</v>
          </cell>
          <cell r="AE317">
            <v>0.25</v>
          </cell>
          <cell r="AF317">
            <v>0.25</v>
          </cell>
          <cell r="AG317">
            <v>0.25</v>
          </cell>
          <cell r="AH317">
            <v>0.25</v>
          </cell>
          <cell r="AI317">
            <v>0.25</v>
          </cell>
          <cell r="AJ317">
            <v>0.25</v>
          </cell>
          <cell r="AK317">
            <v>0.25</v>
          </cell>
          <cell r="AL317">
            <v>0.25</v>
          </cell>
          <cell r="AM317">
            <v>0.25</v>
          </cell>
          <cell r="AN317">
            <v>0.25</v>
          </cell>
          <cell r="AO317">
            <v>0.25</v>
          </cell>
          <cell r="AP317">
            <v>0.25</v>
          </cell>
          <cell r="AQ317">
            <v>0.25</v>
          </cell>
          <cell r="AR317">
            <v>0.25</v>
          </cell>
          <cell r="AS317">
            <v>0.25</v>
          </cell>
          <cell r="AT317">
            <v>-0.04</v>
          </cell>
          <cell r="AU317">
            <v>0.92</v>
          </cell>
          <cell r="AV317">
            <v>20</v>
          </cell>
          <cell r="AZ317">
            <v>0.25</v>
          </cell>
          <cell r="BA317">
            <v>0.25</v>
          </cell>
        </row>
        <row r="318">
          <cell r="A318" t="str">
            <v>BONINI GIANNI SERRAMENTI &amp; PORTE</v>
          </cell>
          <cell r="D318" t="str">
            <v>VIA DANUBIO, 3  A</v>
          </cell>
          <cell r="E318">
            <v>42100</v>
          </cell>
          <cell r="F318" t="str">
            <v>REGGIO EMILIA</v>
          </cell>
          <cell r="G318" t="str">
            <v>RE</v>
          </cell>
          <cell r="H318" t="str">
            <v>ITALIA</v>
          </cell>
          <cell r="M318" t="str">
            <v>UFFICIO ACQUISTI</v>
          </cell>
          <cell r="N318" t="str">
            <v>0522 512339</v>
          </cell>
          <cell r="O318" t="str">
            <v>335 5381229</v>
          </cell>
          <cell r="P318" t="str">
            <v>boninigiannisnc@gmail.com</v>
          </cell>
          <cell r="R318" t="str">
            <v>BONIFICO BANCARIO, ALLA DATA DELLA NOSTRA CONFERMA D'ORDINE</v>
          </cell>
          <cell r="X318">
            <v>0.25</v>
          </cell>
          <cell r="Y318">
            <v>-0.04</v>
          </cell>
          <cell r="AB318">
            <v>0.25</v>
          </cell>
          <cell r="AC318">
            <v>0.25</v>
          </cell>
          <cell r="AD318">
            <v>0.25</v>
          </cell>
          <cell r="AE318">
            <v>0.25</v>
          </cell>
          <cell r="AF318">
            <v>0.25</v>
          </cell>
          <cell r="AG318">
            <v>0.25</v>
          </cell>
          <cell r="AH318">
            <v>0.25</v>
          </cell>
          <cell r="AI318">
            <v>0.25</v>
          </cell>
          <cell r="AJ318">
            <v>0.25</v>
          </cell>
          <cell r="AK318">
            <v>0.25</v>
          </cell>
          <cell r="AL318">
            <v>0.25</v>
          </cell>
          <cell r="AM318">
            <v>0.25</v>
          </cell>
          <cell r="AN318">
            <v>0.25</v>
          </cell>
          <cell r="AO318">
            <v>0.25</v>
          </cell>
          <cell r="AP318">
            <v>0.25</v>
          </cell>
          <cell r="AQ318">
            <v>0.25</v>
          </cell>
          <cell r="AR318">
            <v>0.25</v>
          </cell>
          <cell r="AS318">
            <v>0.25</v>
          </cell>
          <cell r="AT318">
            <v>-0.04</v>
          </cell>
          <cell r="AU318">
            <v>0.92</v>
          </cell>
          <cell r="AV318">
            <v>20</v>
          </cell>
          <cell r="AZ318">
            <v>0.25</v>
          </cell>
          <cell r="BA318">
            <v>0.25</v>
          </cell>
        </row>
        <row r="319">
          <cell r="A319" t="str">
            <v>BONOMETTI SRL</v>
          </cell>
          <cell r="D319" t="str">
            <v>VIA SAN GIUSEPPE ARTIGIANO, 13</v>
          </cell>
          <cell r="E319" t="str">
            <v>37010</v>
          </cell>
          <cell r="F319" t="str">
            <v>COSTERMANO</v>
          </cell>
          <cell r="G319" t="str">
            <v>VR</v>
          </cell>
          <cell r="H319" t="str">
            <v>ITALIA</v>
          </cell>
          <cell r="J319" t="str">
            <v>04136800234</v>
          </cell>
          <cell r="K319" t="str">
            <v>5RUO82D</v>
          </cell>
          <cell r="M319" t="str">
            <v>UFFICIO ACQUISTI</v>
          </cell>
          <cell r="N319" t="str">
            <v>045 7200014</v>
          </cell>
          <cell r="P319" t="str">
            <v>info@bonometti-tm.it</v>
          </cell>
          <cell r="R319" t="str">
            <v>BONIFICO BANCARIO, ALLA DATA DELLA NOSTRA CONFERMA D'ORDINE</v>
          </cell>
          <cell r="X319">
            <v>0.25</v>
          </cell>
          <cell r="Y319">
            <v>-0.04</v>
          </cell>
          <cell r="AB319">
            <v>0.25</v>
          </cell>
          <cell r="AC319">
            <v>0.25</v>
          </cell>
          <cell r="AD319">
            <v>0.25</v>
          </cell>
          <cell r="AE319">
            <v>0.25</v>
          </cell>
          <cell r="AF319">
            <v>0.25</v>
          </cell>
          <cell r="AG319">
            <v>0.25</v>
          </cell>
          <cell r="AH319">
            <v>0.25</v>
          </cell>
          <cell r="AI319">
            <v>0.25</v>
          </cell>
          <cell r="AJ319">
            <v>0.25</v>
          </cell>
          <cell r="AK319">
            <v>0.25</v>
          </cell>
          <cell r="AL319">
            <v>0.25</v>
          </cell>
          <cell r="AM319">
            <v>0.25</v>
          </cell>
          <cell r="AN319">
            <v>0.25</v>
          </cell>
          <cell r="AO319">
            <v>0.25</v>
          </cell>
          <cell r="AP319">
            <v>0.25</v>
          </cell>
          <cell r="AQ319">
            <v>0.25</v>
          </cell>
          <cell r="AR319">
            <v>0.25</v>
          </cell>
          <cell r="AS319">
            <v>0.25</v>
          </cell>
          <cell r="AT319">
            <v>-0.04</v>
          </cell>
          <cell r="AU319">
            <v>0.92</v>
          </cell>
          <cell r="AV319">
            <v>20</v>
          </cell>
          <cell r="AZ319">
            <v>0.25</v>
          </cell>
          <cell r="BA319">
            <v>0.25</v>
          </cell>
        </row>
        <row r="320">
          <cell r="A320" t="str">
            <v xml:space="preserve">BORDONI </v>
          </cell>
          <cell r="D320" t="str">
            <v>VIA SIENA 2</v>
          </cell>
          <cell r="E320">
            <v>37051</v>
          </cell>
          <cell r="F320" t="str">
            <v>BOVOLONE</v>
          </cell>
          <cell r="G320" t="str">
            <v>VR</v>
          </cell>
          <cell r="H320" t="str">
            <v>ITALIA</v>
          </cell>
          <cell r="I320" t="str">
            <v>03768370235</v>
          </cell>
          <cell r="J320" t="str">
            <v>03768370235</v>
          </cell>
          <cell r="M320" t="str">
            <v>UFFICIO ACQUISTI</v>
          </cell>
          <cell r="N320" t="str">
            <v>045 567725</v>
          </cell>
          <cell r="P320" t="str">
            <v>info@bordonivr.it</v>
          </cell>
          <cell r="R320" t="str">
            <v>BONIFICO BANCARIO, ALLA DATA DELLA NOSTRA CONFERMA D'ORDINE</v>
          </cell>
          <cell r="X320">
            <v>0.25</v>
          </cell>
          <cell r="Y320">
            <v>-0.04</v>
          </cell>
          <cell r="AB320">
            <v>0.25</v>
          </cell>
          <cell r="AC320">
            <v>0.25</v>
          </cell>
          <cell r="AD320">
            <v>0.25</v>
          </cell>
          <cell r="AE320">
            <v>0.25</v>
          </cell>
          <cell r="AF320">
            <v>0.25</v>
          </cell>
          <cell r="AG320">
            <v>0.25</v>
          </cell>
          <cell r="AH320">
            <v>0.25</v>
          </cell>
          <cell r="AI320">
            <v>0.25</v>
          </cell>
          <cell r="AJ320">
            <v>0.25</v>
          </cell>
          <cell r="AK320">
            <v>0.25</v>
          </cell>
          <cell r="AL320">
            <v>0.25</v>
          </cell>
          <cell r="AM320">
            <v>0.25</v>
          </cell>
          <cell r="AN320">
            <v>0.25</v>
          </cell>
          <cell r="AO320">
            <v>0.25</v>
          </cell>
          <cell r="AP320">
            <v>0.25</v>
          </cell>
          <cell r="AQ320">
            <v>0.25</v>
          </cell>
          <cell r="AR320">
            <v>0.25</v>
          </cell>
          <cell r="AS320">
            <v>0.25</v>
          </cell>
          <cell r="AT320">
            <v>-0.04</v>
          </cell>
          <cell r="AU320">
            <v>0.92</v>
          </cell>
          <cell r="AV320">
            <v>20</v>
          </cell>
          <cell r="AZ320">
            <v>0.25</v>
          </cell>
          <cell r="BA320">
            <v>0.25</v>
          </cell>
        </row>
        <row r="321">
          <cell r="A321" t="str">
            <v>BORGAL di Giordano Marco &amp; C. sas</v>
          </cell>
          <cell r="D321" t="str">
            <v>VIA ROCCHIUSE, 26</v>
          </cell>
          <cell r="E321">
            <v>12011</v>
          </cell>
          <cell r="F321" t="str">
            <v>BORGO S. DALMAZZO</v>
          </cell>
          <cell r="G321" t="str">
            <v>CN</v>
          </cell>
          <cell r="H321" t="str">
            <v>ITALIA</v>
          </cell>
          <cell r="I321" t="str">
            <v>02349930046</v>
          </cell>
          <cell r="J321" t="str">
            <v>02349930046</v>
          </cell>
          <cell r="M321" t="str">
            <v>UFFICIO ACQUISTI</v>
          </cell>
          <cell r="N321" t="str">
            <v>0171 269014</v>
          </cell>
          <cell r="R321" t="str">
            <v>BONIFICO BANCARIO, ALLA DATA DELLA NOSTRA CONFERMA D'ORDINE</v>
          </cell>
          <cell r="X321">
            <v>0.25</v>
          </cell>
          <cell r="Y321">
            <v>-0.04</v>
          </cell>
          <cell r="AB321">
            <v>0.25</v>
          </cell>
          <cell r="AC321">
            <v>0.25</v>
          </cell>
          <cell r="AD321">
            <v>0.25</v>
          </cell>
          <cell r="AE321">
            <v>0.25</v>
          </cell>
          <cell r="AF321">
            <v>0.25</v>
          </cell>
          <cell r="AG321">
            <v>0.25</v>
          </cell>
          <cell r="AH321">
            <v>0.25</v>
          </cell>
          <cell r="AI321">
            <v>0.25</v>
          </cell>
          <cell r="AJ321">
            <v>0.25</v>
          </cell>
          <cell r="AK321">
            <v>0.25</v>
          </cell>
          <cell r="AL321">
            <v>0.25</v>
          </cell>
          <cell r="AM321">
            <v>0.25</v>
          </cell>
          <cell r="AN321">
            <v>0.25</v>
          </cell>
          <cell r="AO321">
            <v>0.25</v>
          </cell>
          <cell r="AP321">
            <v>0.25</v>
          </cell>
          <cell r="AQ321">
            <v>0.25</v>
          </cell>
          <cell r="AR321">
            <v>0.25</v>
          </cell>
          <cell r="AS321">
            <v>0.25</v>
          </cell>
          <cell r="AT321">
            <v>-0.04</v>
          </cell>
          <cell r="AU321">
            <v>0.92</v>
          </cell>
          <cell r="AV321">
            <v>20</v>
          </cell>
          <cell r="AY321" t="str">
            <v/>
          </cell>
          <cell r="AZ321">
            <v>0.25</v>
          </cell>
          <cell r="BA321">
            <v>0.25</v>
          </cell>
        </row>
        <row r="322">
          <cell r="A322" t="str">
            <v>BORSARI SNC DI BORSARI STEFANO E ROBERTO</v>
          </cell>
          <cell r="D322" t="str">
            <v>VIA MONTECASSINO 37</v>
          </cell>
          <cell r="E322" t="str">
            <v>40050</v>
          </cell>
          <cell r="F322" t="str">
            <v>FUNO DI ARGELATO</v>
          </cell>
          <cell r="G322" t="str">
            <v>BO</v>
          </cell>
          <cell r="H322" t="str">
            <v>ITALIA</v>
          </cell>
          <cell r="J322" t="str">
            <v>00697491207</v>
          </cell>
          <cell r="M322" t="str">
            <v>UFFICIO ACQUISTI</v>
          </cell>
          <cell r="N322" t="str">
            <v>051 861185</v>
          </cell>
          <cell r="P322" t="str">
            <v>borsari@eur.it</v>
          </cell>
          <cell r="R322" t="str">
            <v>BONIFICO BANCARIO, ALLA DATA DELLA NOSTRA CONFERMA D'ORDINE</v>
          </cell>
          <cell r="X322">
            <v>0.25</v>
          </cell>
          <cell r="Y322">
            <v>-0.04</v>
          </cell>
          <cell r="AB322">
            <v>0.25</v>
          </cell>
          <cell r="AC322">
            <v>0.25</v>
          </cell>
          <cell r="AD322">
            <v>0.25</v>
          </cell>
          <cell r="AE322">
            <v>0.25</v>
          </cell>
          <cell r="AF322">
            <v>0.25</v>
          </cell>
          <cell r="AG322">
            <v>0.25</v>
          </cell>
          <cell r="AH322">
            <v>0.25</v>
          </cell>
          <cell r="AI322">
            <v>0.25</v>
          </cell>
          <cell r="AJ322">
            <v>0.25</v>
          </cell>
          <cell r="AK322">
            <v>0.25</v>
          </cell>
          <cell r="AL322">
            <v>0.25</v>
          </cell>
          <cell r="AM322">
            <v>0.25</v>
          </cell>
          <cell r="AN322">
            <v>0.25</v>
          </cell>
          <cell r="AO322">
            <v>0.25</v>
          </cell>
          <cell r="AP322">
            <v>0.25</v>
          </cell>
          <cell r="AQ322">
            <v>0.25</v>
          </cell>
          <cell r="AR322">
            <v>0.25</v>
          </cell>
          <cell r="AS322">
            <v>0.25</v>
          </cell>
          <cell r="AT322">
            <v>-0.04</v>
          </cell>
          <cell r="AU322">
            <v>0.92</v>
          </cell>
          <cell r="AV322">
            <v>20</v>
          </cell>
          <cell r="AY322" t="str">
            <v/>
          </cell>
          <cell r="AZ322">
            <v>0.25</v>
          </cell>
          <cell r="BA322">
            <v>0.25</v>
          </cell>
        </row>
        <row r="323">
          <cell r="A323" t="str">
            <v>BORTOLAMI PORTE E FINESTRE</v>
          </cell>
          <cell r="D323" t="str">
            <v>VIA DELLA CANNUCCIA 127-129</v>
          </cell>
          <cell r="F323" t="str">
            <v>ANZIO</v>
          </cell>
          <cell r="G323" t="str">
            <v>RM</v>
          </cell>
          <cell r="H323" t="str">
            <v>ITALIA</v>
          </cell>
          <cell r="M323" t="str">
            <v>UFFICIO ACQUISTI</v>
          </cell>
          <cell r="N323" t="str">
            <v>06 9871195</v>
          </cell>
          <cell r="O323" t="str">
            <v>335 7145389              335 7145388            346 2372217</v>
          </cell>
          <cell r="P323" t="str">
            <v>infissi@infissibortolami.it</v>
          </cell>
          <cell r="R323" t="str">
            <v>BONIFICO BANCARIO, ALLA DATA DELLA NOSTRA CONFERMA D'ORDINE</v>
          </cell>
          <cell r="X323">
            <v>0.25</v>
          </cell>
          <cell r="Y323">
            <v>-0.04</v>
          </cell>
          <cell r="AB323">
            <v>0.25</v>
          </cell>
          <cell r="AC323">
            <v>0.25</v>
          </cell>
          <cell r="AD323">
            <v>0.25</v>
          </cell>
          <cell r="AE323">
            <v>0.25</v>
          </cell>
          <cell r="AF323">
            <v>0.25</v>
          </cell>
          <cell r="AG323">
            <v>0.25</v>
          </cell>
          <cell r="AH323">
            <v>0.25</v>
          </cell>
          <cell r="AI323">
            <v>0.25</v>
          </cell>
          <cell r="AJ323">
            <v>0.25</v>
          </cell>
          <cell r="AK323">
            <v>0.25</v>
          </cell>
          <cell r="AL323">
            <v>0.25</v>
          </cell>
          <cell r="AM323">
            <v>0.25</v>
          </cell>
          <cell r="AN323">
            <v>0.25</v>
          </cell>
          <cell r="AO323">
            <v>0.25</v>
          </cell>
          <cell r="AP323">
            <v>0.25</v>
          </cell>
          <cell r="AQ323">
            <v>0.25</v>
          </cell>
          <cell r="AR323">
            <v>0.25</v>
          </cell>
          <cell r="AS323">
            <v>0.25</v>
          </cell>
          <cell r="AT323">
            <v>-0.04</v>
          </cell>
          <cell r="AU323">
            <v>0.92</v>
          </cell>
          <cell r="AV323">
            <v>20</v>
          </cell>
          <cell r="AY323" t="str">
            <v/>
          </cell>
          <cell r="AZ323">
            <v>0.25</v>
          </cell>
          <cell r="BA323">
            <v>0.25</v>
          </cell>
        </row>
        <row r="324">
          <cell r="A324" t="str">
            <v>BORTOLETTO SERRAMENTI IN LEGNO SRL</v>
          </cell>
          <cell r="D324" t="str">
            <v>VIA LUSSEMBURGO, 11</v>
          </cell>
          <cell r="E324">
            <v>35127</v>
          </cell>
          <cell r="F324" t="str">
            <v>PADOVA</v>
          </cell>
          <cell r="G324" t="str">
            <v>PD</v>
          </cell>
          <cell r="H324" t="str">
            <v>ITALIA</v>
          </cell>
          <cell r="I324" t="str">
            <v>00062240288</v>
          </cell>
          <cell r="J324" t="str">
            <v>00062240288</v>
          </cell>
          <cell r="M324" t="str">
            <v>UFFICIO ACQUISTI</v>
          </cell>
          <cell r="N324" t="str">
            <v>049 760988</v>
          </cell>
          <cell r="P324" t="str">
            <v>fiorenzo@bortolettoserramenti.it</v>
          </cell>
          <cell r="R324" t="str">
            <v>BONIFICO BANCARIO, ALLA DATA DELLA NOSTRA CONFERMA D'ORDINE</v>
          </cell>
          <cell r="X324">
            <v>0.25</v>
          </cell>
          <cell r="Y324">
            <v>-0.04</v>
          </cell>
          <cell r="AB324">
            <v>0.25</v>
          </cell>
          <cell r="AC324">
            <v>0.25</v>
          </cell>
          <cell r="AD324">
            <v>0.25</v>
          </cell>
          <cell r="AE324">
            <v>0.25</v>
          </cell>
          <cell r="AF324">
            <v>0.25</v>
          </cell>
          <cell r="AG324">
            <v>0.25</v>
          </cell>
          <cell r="AH324">
            <v>0.25</v>
          </cell>
          <cell r="AI324">
            <v>0.25</v>
          </cell>
          <cell r="AJ324">
            <v>0.25</v>
          </cell>
          <cell r="AK324">
            <v>0.25</v>
          </cell>
          <cell r="AL324">
            <v>0.25</v>
          </cell>
          <cell r="AM324">
            <v>0.25</v>
          </cell>
          <cell r="AN324">
            <v>0.25</v>
          </cell>
          <cell r="AO324">
            <v>0.25</v>
          </cell>
          <cell r="AP324">
            <v>0.25</v>
          </cell>
          <cell r="AQ324">
            <v>0.25</v>
          </cell>
          <cell r="AR324">
            <v>0.25</v>
          </cell>
          <cell r="AS324">
            <v>0.25</v>
          </cell>
          <cell r="AT324">
            <v>-0.04</v>
          </cell>
          <cell r="AU324">
            <v>0.92</v>
          </cell>
          <cell r="AV324">
            <v>20</v>
          </cell>
          <cell r="AY324" t="str">
            <v/>
          </cell>
          <cell r="AZ324">
            <v>0.25</v>
          </cell>
          <cell r="BA324">
            <v>0.25</v>
          </cell>
        </row>
        <row r="325">
          <cell r="A325" t="str">
            <v>BORTOLOTTI SANDRO</v>
          </cell>
          <cell r="D325" t="str">
            <v>VIA DONATORE DI SANDE, 1</v>
          </cell>
          <cell r="E325" t="str">
            <v>44015</v>
          </cell>
          <cell r="F325" t="str">
            <v>PORTOMAGGIORE</v>
          </cell>
          <cell r="G325" t="str">
            <v>FE</v>
          </cell>
          <cell r="H325" t="str">
            <v>ITALIA</v>
          </cell>
          <cell r="J325" t="str">
            <v>01242350385</v>
          </cell>
          <cell r="M325" t="str">
            <v>UFFICIO ACQUISTI</v>
          </cell>
          <cell r="N325" t="str">
            <v>0532 811961</v>
          </cell>
          <cell r="O325" t="str">
            <v>338 4949188</v>
          </cell>
          <cell r="P325" t="str">
            <v>finestrebortolotti@gmail.com</v>
          </cell>
          <cell r="R325" t="str">
            <v>BONIFICO BANCARIO, ALLA DATA DELLA NOSTRA CONFERMA D'ORDINE</v>
          </cell>
          <cell r="X325">
            <v>0.25</v>
          </cell>
          <cell r="Y325">
            <v>-0.04</v>
          </cell>
          <cell r="AB325">
            <v>0.25</v>
          </cell>
          <cell r="AC325">
            <v>0.25</v>
          </cell>
          <cell r="AD325">
            <v>0.25</v>
          </cell>
          <cell r="AE325">
            <v>0.25</v>
          </cell>
          <cell r="AF325">
            <v>0.25</v>
          </cell>
          <cell r="AG325">
            <v>0.25</v>
          </cell>
          <cell r="AH325">
            <v>0.25</v>
          </cell>
          <cell r="AI325">
            <v>0.25</v>
          </cell>
          <cell r="AJ325">
            <v>0.25</v>
          </cell>
          <cell r="AK325">
            <v>0.25</v>
          </cell>
          <cell r="AL325">
            <v>0.25</v>
          </cell>
          <cell r="AM325">
            <v>0.25</v>
          </cell>
          <cell r="AN325">
            <v>0.25</v>
          </cell>
          <cell r="AO325">
            <v>0.25</v>
          </cell>
          <cell r="AP325">
            <v>0.25</v>
          </cell>
          <cell r="AQ325">
            <v>0.25</v>
          </cell>
          <cell r="AR325">
            <v>0.25</v>
          </cell>
          <cell r="AS325">
            <v>0.25</v>
          </cell>
          <cell r="AT325">
            <v>-0.04</v>
          </cell>
          <cell r="AU325">
            <v>0.92</v>
          </cell>
          <cell r="AV325">
            <v>20</v>
          </cell>
          <cell r="AZ325">
            <v>0.25</v>
          </cell>
          <cell r="BA325">
            <v>0.25</v>
          </cell>
        </row>
        <row r="326">
          <cell r="A326" t="str">
            <v xml:space="preserve">BOTTON LAURO SERRAMENTI </v>
          </cell>
          <cell r="D326" t="str">
            <v>VIA DELL'ARTIGIANATO, 101</v>
          </cell>
          <cell r="F326" t="str">
            <v>ARQUA POLESINE</v>
          </cell>
          <cell r="G326" t="str">
            <v>RO</v>
          </cell>
          <cell r="H326" t="str">
            <v>ITALIA</v>
          </cell>
          <cell r="M326" t="str">
            <v>UFFICIO ACQUISTI</v>
          </cell>
          <cell r="N326" t="str">
            <v>0425 91331</v>
          </cell>
          <cell r="O326" t="str">
            <v>Lauro 328 8738627</v>
          </cell>
          <cell r="R326" t="str">
            <v>BONIFICO BANCARIO, ALLA DATA DELLA NOSTRA CONFERMA D'ORDINE</v>
          </cell>
          <cell r="X326">
            <v>0.25</v>
          </cell>
          <cell r="Y326">
            <v>-0.04</v>
          </cell>
          <cell r="AB326">
            <v>0.25</v>
          </cell>
          <cell r="AC326">
            <v>0.25</v>
          </cell>
          <cell r="AD326">
            <v>0.25</v>
          </cell>
          <cell r="AE326">
            <v>0.25</v>
          </cell>
          <cell r="AF326">
            <v>0.25</v>
          </cell>
          <cell r="AG326">
            <v>0.25</v>
          </cell>
          <cell r="AH326">
            <v>0.25</v>
          </cell>
          <cell r="AI326">
            <v>0.25</v>
          </cell>
          <cell r="AJ326">
            <v>0.25</v>
          </cell>
          <cell r="AK326">
            <v>0.25</v>
          </cell>
          <cell r="AL326">
            <v>0.25</v>
          </cell>
          <cell r="AM326">
            <v>0.25</v>
          </cell>
          <cell r="AN326">
            <v>0.25</v>
          </cell>
          <cell r="AO326">
            <v>0.25</v>
          </cell>
          <cell r="AP326">
            <v>0.25</v>
          </cell>
          <cell r="AQ326">
            <v>0.25</v>
          </cell>
          <cell r="AR326">
            <v>0.25</v>
          </cell>
          <cell r="AS326">
            <v>0.25</v>
          </cell>
          <cell r="AT326">
            <v>-0.04</v>
          </cell>
          <cell r="AU326">
            <v>0.92</v>
          </cell>
          <cell r="AV326">
            <v>20</v>
          </cell>
          <cell r="AY326" t="str">
            <v/>
          </cell>
          <cell r="AZ326">
            <v>0.25</v>
          </cell>
          <cell r="BA326">
            <v>0.25</v>
          </cell>
        </row>
        <row r="327">
          <cell r="A327" t="str">
            <v>BOUTIQUE DEL SERRAMENTO DI PICCININI P &amp; C SNC</v>
          </cell>
          <cell r="D327" t="str">
            <v>VIA PISACANE 7</v>
          </cell>
          <cell r="E327" t="str">
            <v>57013</v>
          </cell>
          <cell r="F327" t="str">
            <v>ROSIGNANO SOLVAY</v>
          </cell>
          <cell r="G327" t="str">
            <v>LI</v>
          </cell>
          <cell r="H327" t="str">
            <v>ITALIA</v>
          </cell>
          <cell r="J327" t="str">
            <v>00900830498</v>
          </cell>
          <cell r="M327" t="str">
            <v>UFFICIO ACQUISTI</v>
          </cell>
          <cell r="N327" t="str">
            <v>0586 760677</v>
          </cell>
          <cell r="P327" t="str">
            <v>info@boutiquedelserramento.it</v>
          </cell>
          <cell r="R327" t="str">
            <v>BONIFICO BANCARIO, ALLA DATA DELLA NOSTRA CONFERMA D'ORDINE</v>
          </cell>
          <cell r="X327">
            <v>0.25</v>
          </cell>
          <cell r="Y327">
            <v>-0.04</v>
          </cell>
          <cell r="AB327">
            <v>0.25</v>
          </cell>
          <cell r="AC327">
            <v>0.25</v>
          </cell>
          <cell r="AD327">
            <v>0.25</v>
          </cell>
          <cell r="AE327">
            <v>0.25</v>
          </cell>
          <cell r="AF327">
            <v>0.25</v>
          </cell>
          <cell r="AG327">
            <v>0.25</v>
          </cell>
          <cell r="AH327">
            <v>0.25</v>
          </cell>
          <cell r="AI327">
            <v>0.25</v>
          </cell>
          <cell r="AJ327">
            <v>0.25</v>
          </cell>
          <cell r="AK327">
            <v>0.25</v>
          </cell>
          <cell r="AL327">
            <v>0.25</v>
          </cell>
          <cell r="AM327">
            <v>0.25</v>
          </cell>
          <cell r="AN327">
            <v>0.25</v>
          </cell>
          <cell r="AO327">
            <v>0.25</v>
          </cell>
          <cell r="AP327">
            <v>0.25</v>
          </cell>
          <cell r="AQ327">
            <v>0.25</v>
          </cell>
          <cell r="AR327">
            <v>0.25</v>
          </cell>
          <cell r="AS327">
            <v>0.25</v>
          </cell>
          <cell r="AT327">
            <v>-0.04</v>
          </cell>
          <cell r="AU327">
            <v>0.92</v>
          </cell>
          <cell r="AV327">
            <v>20</v>
          </cell>
          <cell r="AY327" t="str">
            <v/>
          </cell>
          <cell r="AZ327">
            <v>0.25</v>
          </cell>
          <cell r="BA327">
            <v>0.25</v>
          </cell>
        </row>
        <row r="328">
          <cell r="A328" t="str">
            <v>BOVOLON SERRAMENTI E CARPENTERIA SRL</v>
          </cell>
          <cell r="D328" t="str">
            <v>VIA VALERIA MORATELLO, 1</v>
          </cell>
          <cell r="E328" t="str">
            <v>37048</v>
          </cell>
          <cell r="F328" t="str">
            <v>S.PIETRO DI LEGNANO</v>
          </cell>
          <cell r="G328" t="str">
            <v>VR</v>
          </cell>
          <cell r="H328" t="str">
            <v>ITALIA</v>
          </cell>
          <cell r="I328" t="str">
            <v>0345718O234</v>
          </cell>
          <cell r="J328" t="str">
            <v>0345718O234</v>
          </cell>
          <cell r="M328" t="str">
            <v>UFFICIO ACQUISTI</v>
          </cell>
          <cell r="N328" t="str">
            <v>0442 20601</v>
          </cell>
          <cell r="P328" t="str">
            <v>f.bovolon@tiscali.it</v>
          </cell>
          <cell r="R328" t="str">
            <v>BONIFICO BANCARIO, ALLA DATA DELLA NOSTRA CONFERMA D'ORDINE</v>
          </cell>
          <cell r="X328">
            <v>0.25</v>
          </cell>
          <cell r="Y328">
            <v>-0.04</v>
          </cell>
          <cell r="AB328">
            <v>0.25</v>
          </cell>
          <cell r="AC328">
            <v>0.25</v>
          </cell>
          <cell r="AD328">
            <v>0.25</v>
          </cell>
          <cell r="AE328">
            <v>0.25</v>
          </cell>
          <cell r="AF328">
            <v>0.25</v>
          </cell>
          <cell r="AG328">
            <v>0.25</v>
          </cell>
          <cell r="AH328">
            <v>0.25</v>
          </cell>
          <cell r="AI328">
            <v>0.25</v>
          </cell>
          <cell r="AJ328">
            <v>0.25</v>
          </cell>
          <cell r="AK328">
            <v>0.25</v>
          </cell>
          <cell r="AL328">
            <v>0.25</v>
          </cell>
          <cell r="AM328">
            <v>0.25</v>
          </cell>
          <cell r="AN328">
            <v>0.25</v>
          </cell>
          <cell r="AO328">
            <v>0.25</v>
          </cell>
          <cell r="AP328">
            <v>0.25</v>
          </cell>
          <cell r="AQ328">
            <v>0.25</v>
          </cell>
          <cell r="AR328">
            <v>0.25</v>
          </cell>
          <cell r="AS328">
            <v>0.25</v>
          </cell>
          <cell r="AT328">
            <v>-0.04</v>
          </cell>
          <cell r="AU328">
            <v>0.92</v>
          </cell>
          <cell r="AV328">
            <v>20</v>
          </cell>
          <cell r="AY328" t="str">
            <v/>
          </cell>
          <cell r="AZ328">
            <v>0.25</v>
          </cell>
          <cell r="BA328">
            <v>0.25</v>
          </cell>
        </row>
        <row r="329">
          <cell r="A329" t="str">
            <v>BOZ SNC</v>
          </cell>
          <cell r="D329" t="str">
            <v>LOC. PONTE DI VEXINA 41</v>
          </cell>
          <cell r="E329" t="str">
            <v>16036</v>
          </cell>
          <cell r="F329" t="str">
            <v>RECCO</v>
          </cell>
          <cell r="G329" t="str">
            <v>GE</v>
          </cell>
          <cell r="H329" t="str">
            <v>ITALIA</v>
          </cell>
          <cell r="J329" t="str">
            <v>00946860103</v>
          </cell>
          <cell r="M329" t="str">
            <v>UFFICIO ACQUISTI</v>
          </cell>
          <cell r="N329" t="str">
            <v>0185 79671</v>
          </cell>
          <cell r="R329" t="str">
            <v>BONIFICO BANCARIO, ALLA DATA DELLA NOSTRA CONFERMA D'ORDINE</v>
          </cell>
          <cell r="X329">
            <v>0.25</v>
          </cell>
          <cell r="Y329">
            <v>-0.04</v>
          </cell>
          <cell r="AB329">
            <v>0.25</v>
          </cell>
          <cell r="AC329">
            <v>0.25</v>
          </cell>
          <cell r="AD329">
            <v>0.25</v>
          </cell>
          <cell r="AE329">
            <v>0.25</v>
          </cell>
          <cell r="AF329">
            <v>0.25</v>
          </cell>
          <cell r="AG329">
            <v>0.25</v>
          </cell>
          <cell r="AH329">
            <v>0.25</v>
          </cell>
          <cell r="AI329">
            <v>0.25</v>
          </cell>
          <cell r="AJ329">
            <v>0.25</v>
          </cell>
          <cell r="AK329">
            <v>0.25</v>
          </cell>
          <cell r="AL329">
            <v>0.25</v>
          </cell>
          <cell r="AM329">
            <v>0.25</v>
          </cell>
          <cell r="AN329">
            <v>0.25</v>
          </cell>
          <cell r="AO329">
            <v>0.25</v>
          </cell>
          <cell r="AP329">
            <v>0.25</v>
          </cell>
          <cell r="AQ329">
            <v>0.25</v>
          </cell>
          <cell r="AR329">
            <v>0.25</v>
          </cell>
          <cell r="AS329">
            <v>0.25</v>
          </cell>
          <cell r="AT329">
            <v>-0.04</v>
          </cell>
          <cell r="AU329">
            <v>0.92</v>
          </cell>
          <cell r="AV329">
            <v>20</v>
          </cell>
          <cell r="AY329" t="str">
            <v/>
          </cell>
          <cell r="AZ329">
            <v>0.25</v>
          </cell>
          <cell r="BA329">
            <v>0.25</v>
          </cell>
        </row>
        <row r="330">
          <cell r="A330" t="str">
            <v>BP DI ZANONI BRUNO E C. SAS</v>
          </cell>
          <cell r="D330" t="str">
            <v>VIALE MILANO 89</v>
          </cell>
          <cell r="F330" t="str">
            <v>LODI</v>
          </cell>
          <cell r="G330" t="str">
            <v>LO</v>
          </cell>
          <cell r="H330" t="str">
            <v>ITALIA</v>
          </cell>
          <cell r="J330" t="str">
            <v>01436920159</v>
          </cell>
          <cell r="M330" t="str">
            <v>UFFICIO ACQUISTI</v>
          </cell>
          <cell r="N330" t="str">
            <v>0371 610331</v>
          </cell>
          <cell r="O330" t="str">
            <v>0371 410701</v>
          </cell>
          <cell r="R330" t="str">
            <v>BONIFICO BANCARIO, ALLA DATA DELLA NOSTRA CONFERMA D'ORDINE</v>
          </cell>
          <cell r="X330">
            <v>0.25</v>
          </cell>
          <cell r="Y330">
            <v>-0.04</v>
          </cell>
          <cell r="AB330">
            <v>0.25</v>
          </cell>
          <cell r="AC330">
            <v>0.25</v>
          </cell>
          <cell r="AD330">
            <v>0.25</v>
          </cell>
          <cell r="AE330">
            <v>0.25</v>
          </cell>
          <cell r="AF330">
            <v>0.25</v>
          </cell>
          <cell r="AG330">
            <v>0.25</v>
          </cell>
          <cell r="AH330">
            <v>0.25</v>
          </cell>
          <cell r="AI330">
            <v>0.25</v>
          </cell>
          <cell r="AJ330">
            <v>0.25</v>
          </cell>
          <cell r="AK330">
            <v>0.25</v>
          </cell>
          <cell r="AL330">
            <v>0.25</v>
          </cell>
          <cell r="AM330">
            <v>0.25</v>
          </cell>
          <cell r="AN330">
            <v>0.25</v>
          </cell>
          <cell r="AO330">
            <v>0.25</v>
          </cell>
          <cell r="AP330">
            <v>0.25</v>
          </cell>
          <cell r="AQ330">
            <v>0.25</v>
          </cell>
          <cell r="AR330">
            <v>0.25</v>
          </cell>
          <cell r="AS330">
            <v>0.25</v>
          </cell>
          <cell r="AT330">
            <v>-0.04</v>
          </cell>
          <cell r="AU330">
            <v>0.92</v>
          </cell>
          <cell r="AV330">
            <v>20</v>
          </cell>
          <cell r="AY330" t="str">
            <v/>
          </cell>
          <cell r="AZ330">
            <v>0.25</v>
          </cell>
          <cell r="BA330">
            <v>0.25</v>
          </cell>
        </row>
        <row r="331">
          <cell r="A331" t="str">
            <v>BRACCHI G &amp; C.</v>
          </cell>
          <cell r="D331" t="str">
            <v>VIA SANDRO PERTINI, 1  3</v>
          </cell>
          <cell r="E331">
            <v>25050</v>
          </cell>
          <cell r="F331" t="str">
            <v>PROVAGLIO D'ISEO</v>
          </cell>
          <cell r="G331" t="str">
            <v>BS</v>
          </cell>
          <cell r="H331" t="str">
            <v>ITALIA</v>
          </cell>
          <cell r="J331" t="str">
            <v>00700480171</v>
          </cell>
          <cell r="M331" t="str">
            <v>UFFICIO ACQUISTI</v>
          </cell>
          <cell r="N331" t="str">
            <v>030 983360</v>
          </cell>
          <cell r="R331" t="str">
            <v>BONIFICO BANCARIO, ALLA DATA DELLA NOSTRA CONFERMA D'ORDINE</v>
          </cell>
          <cell r="X331">
            <v>0.25</v>
          </cell>
          <cell r="Y331">
            <v>-0.04</v>
          </cell>
          <cell r="AB331">
            <v>0.25</v>
          </cell>
          <cell r="AC331">
            <v>0.25</v>
          </cell>
          <cell r="AD331">
            <v>0.25</v>
          </cell>
          <cell r="AE331">
            <v>0.25</v>
          </cell>
          <cell r="AF331">
            <v>0.25</v>
          </cell>
          <cell r="AG331">
            <v>0.25</v>
          </cell>
          <cell r="AH331">
            <v>0.25</v>
          </cell>
          <cell r="AI331">
            <v>0.25</v>
          </cell>
          <cell r="AJ331">
            <v>0.25</v>
          </cell>
          <cell r="AK331">
            <v>0.25</v>
          </cell>
          <cell r="AL331">
            <v>0.25</v>
          </cell>
          <cell r="AM331">
            <v>0.25</v>
          </cell>
          <cell r="AN331">
            <v>0.25</v>
          </cell>
          <cell r="AO331">
            <v>0.25</v>
          </cell>
          <cell r="AP331">
            <v>0.25</v>
          </cell>
          <cell r="AQ331">
            <v>0.25</v>
          </cell>
          <cell r="AR331">
            <v>0.25</v>
          </cell>
          <cell r="AS331">
            <v>0.25</v>
          </cell>
          <cell r="AT331">
            <v>-0.04</v>
          </cell>
          <cell r="AU331">
            <v>0.92</v>
          </cell>
          <cell r="AV331">
            <v>20</v>
          </cell>
          <cell r="AZ331">
            <v>0.25</v>
          </cell>
          <cell r="BA331">
            <v>0.25</v>
          </cell>
        </row>
        <row r="332">
          <cell r="A332" t="str">
            <v>BRACCHI G. E C. SNC</v>
          </cell>
          <cell r="D332" t="str">
            <v>VIA SANDRO PERTINI, 1/3</v>
          </cell>
          <cell r="E332" t="str">
            <v>25050</v>
          </cell>
          <cell r="F332" t="str">
            <v>PROVAGLIO D'ISEO</v>
          </cell>
          <cell r="G332" t="str">
            <v>BS</v>
          </cell>
          <cell r="H332" t="str">
            <v>ITALIA</v>
          </cell>
          <cell r="J332" t="str">
            <v>00700480171</v>
          </cell>
          <cell r="M332" t="str">
            <v>UFFICIO ACQUISTI</v>
          </cell>
          <cell r="N332" t="str">
            <v>030 983360</v>
          </cell>
          <cell r="R332" t="str">
            <v>BONIFICO BANCARIO, ALLA DATA DELLA NOSTRA CONFERMA D'ORDINE</v>
          </cell>
          <cell r="Y332">
            <v>-0.04</v>
          </cell>
          <cell r="AT332">
            <v>-0.04</v>
          </cell>
          <cell r="AV332">
            <v>20</v>
          </cell>
          <cell r="AZ332">
            <v>0</v>
          </cell>
          <cell r="BA332">
            <v>0</v>
          </cell>
        </row>
        <row r="333">
          <cell r="A333" t="str">
            <v>BRAMA CHIUSURE DI QUALITA'</v>
          </cell>
          <cell r="D333" t="str">
            <v xml:space="preserve">VIA CORRIDONI 15 </v>
          </cell>
          <cell r="E333">
            <v>33097</v>
          </cell>
          <cell r="F333" t="str">
            <v>SPILIMBERGO</v>
          </cell>
          <cell r="G333" t="str">
            <v>PN</v>
          </cell>
          <cell r="H333" t="str">
            <v>ITALIA</v>
          </cell>
          <cell r="J333" t="str">
            <v>01755500939</v>
          </cell>
          <cell r="M333" t="str">
            <v>UFFICIO ACQUISTI</v>
          </cell>
          <cell r="O333" t="str">
            <v>333 7939354</v>
          </cell>
          <cell r="P333" t="str">
            <v>brama.chiusure@gmail.com</v>
          </cell>
          <cell r="R333" t="str">
            <v>BONIFICO BANCARIO, ALLA DATA DELLA NOSTRA CONFERMA D'ORDINE</v>
          </cell>
          <cell r="X333">
            <v>0.25</v>
          </cell>
          <cell r="Y333">
            <v>-0.04</v>
          </cell>
          <cell r="AB333">
            <v>0.25</v>
          </cell>
          <cell r="AC333">
            <v>0.25</v>
          </cell>
          <cell r="AD333">
            <v>0.25</v>
          </cell>
          <cell r="AE333">
            <v>0.25</v>
          </cell>
          <cell r="AF333">
            <v>0.25</v>
          </cell>
          <cell r="AG333">
            <v>0.25</v>
          </cell>
          <cell r="AH333">
            <v>0.25</v>
          </cell>
          <cell r="AI333">
            <v>0.25</v>
          </cell>
          <cell r="AJ333">
            <v>0.25</v>
          </cell>
          <cell r="AK333">
            <v>0.25</v>
          </cell>
          <cell r="AL333">
            <v>0.25</v>
          </cell>
          <cell r="AM333">
            <v>0.25</v>
          </cell>
          <cell r="AN333">
            <v>0.25</v>
          </cell>
          <cell r="AO333">
            <v>0.25</v>
          </cell>
          <cell r="AP333">
            <v>0.25</v>
          </cell>
          <cell r="AQ333">
            <v>0.25</v>
          </cell>
          <cell r="AR333">
            <v>0.25</v>
          </cell>
          <cell r="AS333">
            <v>0.25</v>
          </cell>
          <cell r="AT333">
            <v>-0.04</v>
          </cell>
          <cell r="AU333">
            <v>0.92</v>
          </cell>
          <cell r="AV333">
            <v>20</v>
          </cell>
          <cell r="AY333" t="str">
            <v/>
          </cell>
          <cell r="AZ333">
            <v>0.25</v>
          </cell>
          <cell r="BA333">
            <v>0.25</v>
          </cell>
        </row>
        <row r="334">
          <cell r="A334" t="str">
            <v>BRC SYSTEM</v>
          </cell>
          <cell r="D334" t="str">
            <v>VIA CASTELLAZZO, 16</v>
          </cell>
          <cell r="E334">
            <v>28845</v>
          </cell>
          <cell r="F334" t="str">
            <v>DOMODOSSOLA</v>
          </cell>
          <cell r="G334" t="str">
            <v>VB</v>
          </cell>
          <cell r="H334" t="str">
            <v>ITALIA</v>
          </cell>
          <cell r="J334" t="str">
            <v>02087030033</v>
          </cell>
          <cell r="M334" t="str">
            <v>UFFICIO ACQUISTI</v>
          </cell>
          <cell r="N334" t="str">
            <v>0324 243349</v>
          </cell>
          <cell r="P334" t="str">
            <v>info@brcsystem.it</v>
          </cell>
          <cell r="R334" t="str">
            <v>BONIFICO BANCARIO, ALLA DATA DELLA NOSTRA CONFERMA D'ORDINE</v>
          </cell>
          <cell r="X334">
            <v>0.25</v>
          </cell>
          <cell r="Y334">
            <v>-0.04</v>
          </cell>
          <cell r="AB334">
            <v>0.25</v>
          </cell>
          <cell r="AC334">
            <v>0.25</v>
          </cell>
          <cell r="AD334">
            <v>0.25</v>
          </cell>
          <cell r="AE334">
            <v>0.25</v>
          </cell>
          <cell r="AF334">
            <v>0.25</v>
          </cell>
          <cell r="AG334">
            <v>0.25</v>
          </cell>
          <cell r="AH334">
            <v>0.25</v>
          </cell>
          <cell r="AI334">
            <v>0.25</v>
          </cell>
          <cell r="AJ334">
            <v>0.25</v>
          </cell>
          <cell r="AK334">
            <v>0.25</v>
          </cell>
          <cell r="AL334">
            <v>0.25</v>
          </cell>
          <cell r="AM334">
            <v>0.25</v>
          </cell>
          <cell r="AN334">
            <v>0.25</v>
          </cell>
          <cell r="AO334">
            <v>0.25</v>
          </cell>
          <cell r="AP334">
            <v>0.25</v>
          </cell>
          <cell r="AQ334">
            <v>0.25</v>
          </cell>
          <cell r="AR334">
            <v>0.25</v>
          </cell>
          <cell r="AS334">
            <v>0.25</v>
          </cell>
          <cell r="AT334">
            <v>-0.04</v>
          </cell>
          <cell r="AU334">
            <v>0.92</v>
          </cell>
          <cell r="AV334">
            <v>20</v>
          </cell>
          <cell r="AZ334">
            <v>0.25</v>
          </cell>
          <cell r="BA334">
            <v>0.25</v>
          </cell>
        </row>
        <row r="335">
          <cell r="A335" t="str">
            <v>BRENTEGANI F.LLI</v>
          </cell>
          <cell r="B335" t="str">
            <v>BUONO</v>
          </cell>
          <cell r="D335" t="str">
            <v>VIA VALEGGIO, 36</v>
          </cell>
          <cell r="E335">
            <v>46040</v>
          </cell>
          <cell r="F335" t="str">
            <v>MONZAMBANO</v>
          </cell>
          <cell r="G335" t="str">
            <v>MN</v>
          </cell>
          <cell r="H335" t="str">
            <v>ITALIA</v>
          </cell>
          <cell r="J335" t="str">
            <v>01990880203</v>
          </cell>
          <cell r="M335" t="str">
            <v>UFFICIO ACQUISTI</v>
          </cell>
          <cell r="N335" t="str">
            <v>0376 800439</v>
          </cell>
          <cell r="P335" t="str">
            <v>info@brenteganiflli.it</v>
          </cell>
          <cell r="R335" t="str">
            <v>BONIFICO BANCARIO, ALLA DATA DELLA NOSTRA CONFERMA D'ORDINE</v>
          </cell>
          <cell r="X335">
            <v>0.25</v>
          </cell>
          <cell r="Y335">
            <v>-0.04</v>
          </cell>
          <cell r="AB335">
            <v>0.25</v>
          </cell>
          <cell r="AC335">
            <v>0.25</v>
          </cell>
          <cell r="AD335">
            <v>0.25</v>
          </cell>
          <cell r="AE335">
            <v>0.25</v>
          </cell>
          <cell r="AF335">
            <v>0.25</v>
          </cell>
          <cell r="AG335">
            <v>0.25</v>
          </cell>
          <cell r="AH335">
            <v>0.25</v>
          </cell>
          <cell r="AI335">
            <v>0.25</v>
          </cell>
          <cell r="AJ335">
            <v>0.25</v>
          </cell>
          <cell r="AK335">
            <v>0.25</v>
          </cell>
          <cell r="AL335">
            <v>0.25</v>
          </cell>
          <cell r="AM335">
            <v>0.25</v>
          </cell>
          <cell r="AN335">
            <v>0.25</v>
          </cell>
          <cell r="AO335">
            <v>0.25</v>
          </cell>
          <cell r="AP335">
            <v>0.25</v>
          </cell>
          <cell r="AQ335">
            <v>0.25</v>
          </cell>
          <cell r="AR335">
            <v>0.25</v>
          </cell>
          <cell r="AS335">
            <v>0.25</v>
          </cell>
          <cell r="AT335">
            <v>-0.04</v>
          </cell>
          <cell r="AU335">
            <v>0.92</v>
          </cell>
          <cell r="AV335">
            <v>20</v>
          </cell>
          <cell r="AY335" t="str">
            <v/>
          </cell>
          <cell r="AZ335">
            <v>0.25</v>
          </cell>
          <cell r="BA335">
            <v>0.25</v>
          </cell>
        </row>
        <row r="336">
          <cell r="A336" t="str">
            <v>BRESCIA PORTE SNC</v>
          </cell>
          <cell r="B336" t="str">
            <v>TISI SERGIO</v>
          </cell>
          <cell r="D336" t="str">
            <v xml:space="preserve">VIA ZANARDELLI, 187 </v>
          </cell>
          <cell r="E336" t="str">
            <v xml:space="preserve">25060 </v>
          </cell>
          <cell r="F336" t="str">
            <v>MARCHENO</v>
          </cell>
          <cell r="G336" t="str">
            <v>BS</v>
          </cell>
          <cell r="H336" t="str">
            <v>ITALIA</v>
          </cell>
          <cell r="M336" t="str">
            <v>UFFICIO ACQUISTI</v>
          </cell>
          <cell r="N336" t="str">
            <v>030 8610030</v>
          </cell>
          <cell r="O336" t="str">
            <v>333 4445406 TISI SERGIO</v>
          </cell>
          <cell r="P336" t="str">
            <v>info@bresciaporte.com</v>
          </cell>
          <cell r="R336" t="str">
            <v>BONIFICO BANCARIO, ALLA DATA DELLA NOSTRA CONFERMA D'ORDINE</v>
          </cell>
          <cell r="X336">
            <v>0.2</v>
          </cell>
          <cell r="Y336">
            <v>-0.04</v>
          </cell>
          <cell r="AB336">
            <v>0.2</v>
          </cell>
          <cell r="AC336">
            <v>0.2</v>
          </cell>
          <cell r="AD336">
            <v>0.2</v>
          </cell>
          <cell r="AE336">
            <v>0.2</v>
          </cell>
          <cell r="AF336">
            <v>0.2</v>
          </cell>
          <cell r="AG336">
            <v>0.2</v>
          </cell>
          <cell r="AH336">
            <v>0.2</v>
          </cell>
          <cell r="AI336">
            <v>0.2</v>
          </cell>
          <cell r="AJ336">
            <v>0.2</v>
          </cell>
          <cell r="AK336">
            <v>0.2</v>
          </cell>
          <cell r="AL336">
            <v>0.2</v>
          </cell>
          <cell r="AM336">
            <v>0.2</v>
          </cell>
          <cell r="AN336">
            <v>0.2</v>
          </cell>
          <cell r="AO336">
            <v>0.2</v>
          </cell>
          <cell r="AP336">
            <v>0.2</v>
          </cell>
          <cell r="AQ336">
            <v>0.2</v>
          </cell>
          <cell r="AR336">
            <v>0.2</v>
          </cell>
          <cell r="AS336">
            <v>0.2</v>
          </cell>
          <cell r="AT336">
            <v>-0.04</v>
          </cell>
          <cell r="AU336">
            <v>0.92</v>
          </cell>
          <cell r="AV336">
            <v>20</v>
          </cell>
          <cell r="AZ336">
            <v>0.2</v>
          </cell>
          <cell r="BA336">
            <v>0.2</v>
          </cell>
        </row>
        <row r="337">
          <cell r="A337" t="str">
            <v xml:space="preserve">BRESCIANA SERRAMENTI </v>
          </cell>
          <cell r="D337" t="str">
            <v>VIA VASCO DE GAMA</v>
          </cell>
          <cell r="E337" t="str">
            <v>25024</v>
          </cell>
          <cell r="F337" t="str">
            <v>LENO</v>
          </cell>
          <cell r="G337" t="str">
            <v>BS</v>
          </cell>
          <cell r="H337" t="str">
            <v>ITALIA</v>
          </cell>
          <cell r="J337" t="str">
            <v>02488450988</v>
          </cell>
          <cell r="M337" t="str">
            <v>UFFICIO ACQUISTI</v>
          </cell>
          <cell r="N337" t="str">
            <v>030 9048671</v>
          </cell>
          <cell r="P337" t="str">
            <v>info@brescianaserramenti.it</v>
          </cell>
          <cell r="R337" t="str">
            <v>BONIFICO BANCARIO, ALLA DATA DELLA NOSTRA CONFERMA D'ORDINE</v>
          </cell>
          <cell r="Y337">
            <v>-0.04</v>
          </cell>
          <cell r="AT337">
            <v>-0.04</v>
          </cell>
          <cell r="AV337">
            <v>20</v>
          </cell>
          <cell r="AZ337">
            <v>0</v>
          </cell>
          <cell r="BA337">
            <v>0</v>
          </cell>
        </row>
        <row r="338">
          <cell r="A338" t="str">
            <v>BRICCA GIOVANNI E FIGLI s.n.c</v>
          </cell>
          <cell r="B338" t="str">
            <v>Negozio a Lavagna, CHIAMARE la sede di TARSOGNO 23/03/23 HANNO AVUTO UNARICHIESTA ULTIMAMENTE. MANDATA MAIL SOTTOPONE SOLUZIONE A CLIENTE</v>
          </cell>
          <cell r="D338" t="str">
            <v xml:space="preserve">VIA MAGLIE, 5 </v>
          </cell>
          <cell r="E338">
            <v>43050</v>
          </cell>
          <cell r="F338" t="str">
            <v>TARSOGNO</v>
          </cell>
          <cell r="G338" t="str">
            <v>PR</v>
          </cell>
          <cell r="H338" t="str">
            <v>ITALIA</v>
          </cell>
          <cell r="J338" t="str">
            <v>02007550342</v>
          </cell>
          <cell r="M338" t="str">
            <v>SIG. DAVIDE</v>
          </cell>
          <cell r="N338" t="str">
            <v>052589146</v>
          </cell>
          <cell r="P338" t="str">
            <v>info@bricca.it</v>
          </cell>
          <cell r="R338" t="str">
            <v>BONIFICO BANCARIO, ALLA DATA DELLA NOSTRA CONFERMA D'ORDINE</v>
          </cell>
          <cell r="X338">
            <v>0.25</v>
          </cell>
          <cell r="Y338">
            <v>-0.04</v>
          </cell>
          <cell r="AB338">
            <v>0.25</v>
          </cell>
          <cell r="AC338">
            <v>0.25</v>
          </cell>
          <cell r="AD338">
            <v>0.25</v>
          </cell>
          <cell r="AE338">
            <v>0.25</v>
          </cell>
          <cell r="AF338">
            <v>0.25</v>
          </cell>
          <cell r="AG338">
            <v>0.25</v>
          </cell>
          <cell r="AH338">
            <v>0.25</v>
          </cell>
          <cell r="AI338">
            <v>0.25</v>
          </cell>
          <cell r="AJ338">
            <v>0.25</v>
          </cell>
          <cell r="AK338">
            <v>0.25</v>
          </cell>
          <cell r="AL338">
            <v>0.25</v>
          </cell>
          <cell r="AM338">
            <v>0.25</v>
          </cell>
          <cell r="AN338">
            <v>0.25</v>
          </cell>
          <cell r="AO338">
            <v>0.25</v>
          </cell>
          <cell r="AP338">
            <v>0.25</v>
          </cell>
          <cell r="AQ338">
            <v>0.25</v>
          </cell>
          <cell r="AR338">
            <v>0.25</v>
          </cell>
          <cell r="AS338">
            <v>0.25</v>
          </cell>
          <cell r="AT338">
            <v>-0.04</v>
          </cell>
          <cell r="AU338">
            <v>0.92</v>
          </cell>
          <cell r="AV338">
            <v>20</v>
          </cell>
          <cell r="AY338" t="str">
            <v/>
          </cell>
          <cell r="AZ338">
            <v>0.25</v>
          </cell>
          <cell r="BA338">
            <v>0.25</v>
          </cell>
        </row>
        <row r="339">
          <cell r="A339" t="str">
            <v>BRICOINFISSI</v>
          </cell>
          <cell r="D339" t="str">
            <v>SR 148 PONTINA, KM.91,300</v>
          </cell>
          <cell r="E339" t="str">
            <v>04016</v>
          </cell>
          <cell r="F339" t="str">
            <v>SABAUDIA</v>
          </cell>
          <cell r="G339" t="str">
            <v>LT</v>
          </cell>
          <cell r="H339" t="str">
            <v>ITALIA</v>
          </cell>
          <cell r="J339" t="str">
            <v>02966490597</v>
          </cell>
          <cell r="M339" t="str">
            <v>UFFICIO ACQUISTI</v>
          </cell>
          <cell r="N339" t="str">
            <v>0773 531160</v>
          </cell>
          <cell r="P339" t="str">
            <v>bricoinfissi@gmail.com</v>
          </cell>
          <cell r="R339" t="str">
            <v>BONIFICO BANCARIO, ALLA DATA DELLA NOSTRA CONFERMA D'ORDINE</v>
          </cell>
          <cell r="X339">
            <v>0.2</v>
          </cell>
          <cell r="Y339">
            <v>-0.04</v>
          </cell>
          <cell r="AB339">
            <v>0.2</v>
          </cell>
          <cell r="AC339">
            <v>0.2</v>
          </cell>
          <cell r="AD339">
            <v>0.2</v>
          </cell>
          <cell r="AE339">
            <v>0.2</v>
          </cell>
          <cell r="AF339">
            <v>0.2</v>
          </cell>
          <cell r="AG339">
            <v>0.2</v>
          </cell>
          <cell r="AH339">
            <v>0.2</v>
          </cell>
          <cell r="AI339">
            <v>0.2</v>
          </cell>
          <cell r="AJ339">
            <v>0.2</v>
          </cell>
          <cell r="AK339">
            <v>0.2</v>
          </cell>
          <cell r="AL339">
            <v>0.2</v>
          </cell>
          <cell r="AM339">
            <v>0.2</v>
          </cell>
          <cell r="AN339">
            <v>0.2</v>
          </cell>
          <cell r="AO339">
            <v>0.2</v>
          </cell>
          <cell r="AP339">
            <v>0.2</v>
          </cell>
          <cell r="AQ339">
            <v>0.2</v>
          </cell>
          <cell r="AR339">
            <v>0.2</v>
          </cell>
          <cell r="AS339">
            <v>0.2</v>
          </cell>
          <cell r="AT339">
            <v>-0.04</v>
          </cell>
          <cell r="AU339">
            <v>0.92</v>
          </cell>
          <cell r="AV339">
            <v>20</v>
          </cell>
          <cell r="AZ339">
            <v>0.2</v>
          </cell>
          <cell r="BA339">
            <v>0.2</v>
          </cell>
        </row>
        <row r="340">
          <cell r="A340" t="str">
            <v>BROGGIAN SERRAMENTI DI NELLO BROGGIAN</v>
          </cell>
          <cell r="D340" t="str">
            <v>VIA TRIESTE 113</v>
          </cell>
          <cell r="E340" t="str">
            <v>34079</v>
          </cell>
          <cell r="F340" t="str">
            <v>STARANZANO</v>
          </cell>
          <cell r="G340" t="str">
            <v>GO</v>
          </cell>
          <cell r="H340" t="str">
            <v>ITALIA</v>
          </cell>
          <cell r="J340" t="str">
            <v>01003930318</v>
          </cell>
          <cell r="M340" t="str">
            <v>UFFICIO ACQUISTI</v>
          </cell>
          <cell r="N340" t="str">
            <v>0481 481139</v>
          </cell>
          <cell r="O340" t="str">
            <v>335 348121</v>
          </cell>
          <cell r="P340" t="str">
            <v>idea.serramenti@libero.it</v>
          </cell>
          <cell r="R340" t="str">
            <v>BONIFICO BANCARIO, ALLA DATA DELLA NOSTRA CONFERMA D'ORDINE</v>
          </cell>
          <cell r="X340">
            <v>0.25</v>
          </cell>
          <cell r="Y340">
            <v>-0.04</v>
          </cell>
          <cell r="AB340">
            <v>0.25</v>
          </cell>
          <cell r="AC340">
            <v>0.25</v>
          </cell>
          <cell r="AD340">
            <v>0.25</v>
          </cell>
          <cell r="AE340">
            <v>0.25</v>
          </cell>
          <cell r="AF340">
            <v>0.25</v>
          </cell>
          <cell r="AG340">
            <v>0.25</v>
          </cell>
          <cell r="AH340">
            <v>0.25</v>
          </cell>
          <cell r="AI340">
            <v>0.25</v>
          </cell>
          <cell r="AJ340">
            <v>0.25</v>
          </cell>
          <cell r="AK340">
            <v>0.25</v>
          </cell>
          <cell r="AL340">
            <v>0.25</v>
          </cell>
          <cell r="AM340">
            <v>0.25</v>
          </cell>
          <cell r="AN340">
            <v>0.25</v>
          </cell>
          <cell r="AO340">
            <v>0.25</v>
          </cell>
          <cell r="AP340">
            <v>0.25</v>
          </cell>
          <cell r="AQ340">
            <v>0.25</v>
          </cell>
          <cell r="AR340">
            <v>0.25</v>
          </cell>
          <cell r="AS340">
            <v>0.25</v>
          </cell>
          <cell r="AT340">
            <v>-0.04</v>
          </cell>
          <cell r="AU340">
            <v>0.92</v>
          </cell>
          <cell r="AV340">
            <v>20</v>
          </cell>
          <cell r="AY340" t="str">
            <v/>
          </cell>
          <cell r="AZ340">
            <v>0.25</v>
          </cell>
          <cell r="BA340">
            <v>0.25</v>
          </cell>
        </row>
        <row r="341">
          <cell r="A341" t="str">
            <v>BRS SNC DEI F.LLI BELLOSTA</v>
          </cell>
          <cell r="D341" t="str">
            <v>VIA MAGGIORA, 31</v>
          </cell>
          <cell r="E341">
            <v>28021</v>
          </cell>
          <cell r="F341" t="str">
            <v>BORGOMANERO</v>
          </cell>
          <cell r="G341" t="str">
            <v>NO</v>
          </cell>
          <cell r="H341" t="str">
            <v>ITALIA</v>
          </cell>
          <cell r="I341" t="str">
            <v>0497780039</v>
          </cell>
          <cell r="J341" t="str">
            <v>0497780039</v>
          </cell>
          <cell r="M341" t="str">
            <v>UFFICIO ACQUISTI</v>
          </cell>
          <cell r="N341" t="str">
            <v>0322 835977</v>
          </cell>
          <cell r="P341" t="str">
            <v>info@serramentibrs.net</v>
          </cell>
          <cell r="R341" t="str">
            <v>BONIFICO BANCARIO, ALLA DATA DELLA NOSTRA CONFERMA D'ORDINE</v>
          </cell>
          <cell r="X341">
            <v>0.25</v>
          </cell>
          <cell r="Y341">
            <v>-0.04</v>
          </cell>
          <cell r="AB341">
            <v>0.25</v>
          </cell>
          <cell r="AC341">
            <v>0.25</v>
          </cell>
          <cell r="AD341">
            <v>0.25</v>
          </cell>
          <cell r="AE341">
            <v>0.25</v>
          </cell>
          <cell r="AF341">
            <v>0.25</v>
          </cell>
          <cell r="AG341">
            <v>0.25</v>
          </cell>
          <cell r="AH341">
            <v>0.25</v>
          </cell>
          <cell r="AI341">
            <v>0.25</v>
          </cell>
          <cell r="AJ341">
            <v>0.25</v>
          </cell>
          <cell r="AK341">
            <v>0.25</v>
          </cell>
          <cell r="AL341">
            <v>0.25</v>
          </cell>
          <cell r="AM341">
            <v>0.25</v>
          </cell>
          <cell r="AN341">
            <v>0.25</v>
          </cell>
          <cell r="AO341">
            <v>0.25</v>
          </cell>
          <cell r="AP341">
            <v>0.25</v>
          </cell>
          <cell r="AQ341">
            <v>0.25</v>
          </cell>
          <cell r="AR341">
            <v>0.25</v>
          </cell>
          <cell r="AS341">
            <v>0.25</v>
          </cell>
          <cell r="AT341">
            <v>-0.04</v>
          </cell>
          <cell r="AU341">
            <v>0.92</v>
          </cell>
          <cell r="AV341">
            <v>20</v>
          </cell>
          <cell r="AZ341">
            <v>0.25</v>
          </cell>
          <cell r="BA341">
            <v>0.25</v>
          </cell>
        </row>
        <row r="342">
          <cell r="A342" t="str">
            <v>BRUNDU EDILI SAS</v>
          </cell>
          <cell r="B342" t="str">
            <v xml:space="preserve">C.SO GARIBALDI, 152 - ORANI </v>
          </cell>
          <cell r="D342" t="str">
            <v>VIA MANNIRONI, 92</v>
          </cell>
          <cell r="E342" t="str">
            <v>08100</v>
          </cell>
          <cell r="F342" t="str">
            <v>NUORO</v>
          </cell>
          <cell r="G342" t="str">
            <v>NU</v>
          </cell>
          <cell r="H342" t="str">
            <v>ITALIA</v>
          </cell>
          <cell r="J342" t="str">
            <v>01142810918</v>
          </cell>
          <cell r="M342" t="str">
            <v>UFFICIO ACQUISTI</v>
          </cell>
          <cell r="N342" t="str">
            <v>0784 37617</v>
          </cell>
          <cell r="P342" t="str">
            <v>brunduedili@tiscali.it</v>
          </cell>
          <cell r="R342" t="str">
            <v>BONIFICO BANCARIO, ALLA DATA DELLA NOSTRA CONFERMA D'ORDINE</v>
          </cell>
          <cell r="X342">
            <v>0.2</v>
          </cell>
          <cell r="Y342">
            <v>-0.04</v>
          </cell>
          <cell r="AB342">
            <v>0.2</v>
          </cell>
          <cell r="AC342">
            <v>0.2</v>
          </cell>
          <cell r="AD342">
            <v>0.2</v>
          </cell>
          <cell r="AE342">
            <v>0.2</v>
          </cell>
          <cell r="AF342">
            <v>0.2</v>
          </cell>
          <cell r="AG342">
            <v>0.2</v>
          </cell>
          <cell r="AH342">
            <v>0.2</v>
          </cell>
          <cell r="AI342">
            <v>0.2</v>
          </cell>
          <cell r="AJ342">
            <v>0.2</v>
          </cell>
          <cell r="AK342">
            <v>0.2</v>
          </cell>
          <cell r="AL342">
            <v>0.2</v>
          </cell>
          <cell r="AM342">
            <v>0.2</v>
          </cell>
          <cell r="AN342">
            <v>0.2</v>
          </cell>
          <cell r="AO342">
            <v>0.2</v>
          </cell>
          <cell r="AP342">
            <v>0.2</v>
          </cell>
          <cell r="AQ342">
            <v>0.2</v>
          </cell>
          <cell r="AR342">
            <v>0.2</v>
          </cell>
          <cell r="AS342">
            <v>0.2</v>
          </cell>
          <cell r="AT342">
            <v>-0.04</v>
          </cell>
          <cell r="AU342">
            <v>0.92</v>
          </cell>
          <cell r="AV342">
            <v>20</v>
          </cell>
          <cell r="AZ342">
            <v>0.2</v>
          </cell>
          <cell r="BA342">
            <v>0.2</v>
          </cell>
        </row>
        <row r="343">
          <cell r="A343" t="str">
            <v>BRUNETTI FRANCESCO LAVORAZIONI IN FERRO</v>
          </cell>
          <cell r="D343" t="str">
            <v>VIA CANALETTO, 46C</v>
          </cell>
          <cell r="E343" t="str">
            <v xml:space="preserve">60019 </v>
          </cell>
          <cell r="F343" t="str">
            <v>SENIGALLIA</v>
          </cell>
          <cell r="G343" t="str">
            <v>AN</v>
          </cell>
          <cell r="H343" t="str">
            <v>ITALIA</v>
          </cell>
          <cell r="I343" t="str">
            <v>BRNFNC84E29I608F</v>
          </cell>
          <cell r="J343" t="str">
            <v>02664750425</v>
          </cell>
          <cell r="K343" t="str">
            <v>BA6ET11</v>
          </cell>
          <cell r="M343" t="str">
            <v>UFFICIO ACQUISTI</v>
          </cell>
          <cell r="N343" t="str">
            <v>071 7924130</v>
          </cell>
          <cell r="O343" t="str">
            <v>345 6912248</v>
          </cell>
          <cell r="P343" t="str">
            <v>francescobrunettifabbro@gmail.com</v>
          </cell>
          <cell r="R343" t="str">
            <v>BONIFICO BANCARIO, ALLA DATA DELLA NOSTRA CONFERMA D'ORDINE</v>
          </cell>
          <cell r="X343">
            <v>0.25</v>
          </cell>
          <cell r="Y343">
            <v>-0.04</v>
          </cell>
          <cell r="AB343">
            <v>0.25</v>
          </cell>
          <cell r="AC343">
            <v>0.25</v>
          </cell>
          <cell r="AD343">
            <v>0.25</v>
          </cell>
          <cell r="AE343">
            <v>0.25</v>
          </cell>
          <cell r="AF343">
            <v>0.25</v>
          </cell>
          <cell r="AG343">
            <v>0.25</v>
          </cell>
          <cell r="AH343">
            <v>0.25</v>
          </cell>
          <cell r="AI343">
            <v>0.25</v>
          </cell>
          <cell r="AJ343">
            <v>0.25</v>
          </cell>
          <cell r="AK343">
            <v>0.25</v>
          </cell>
          <cell r="AL343">
            <v>0.25</v>
          </cell>
          <cell r="AM343">
            <v>0.25</v>
          </cell>
          <cell r="AN343">
            <v>0.25</v>
          </cell>
          <cell r="AO343">
            <v>0.25</v>
          </cell>
          <cell r="AP343">
            <v>0.25</v>
          </cell>
          <cell r="AQ343">
            <v>0.25</v>
          </cell>
          <cell r="AR343">
            <v>0.25</v>
          </cell>
          <cell r="AS343">
            <v>0.25</v>
          </cell>
          <cell r="AT343">
            <v>-0.04</v>
          </cell>
          <cell r="AU343">
            <v>0.9</v>
          </cell>
          <cell r="AV343">
            <v>20</v>
          </cell>
          <cell r="AY343" t="str">
            <v/>
          </cell>
          <cell r="AZ343">
            <v>0.25</v>
          </cell>
          <cell r="BA343">
            <v>0.25</v>
          </cell>
          <cell r="BF343" t="str">
            <v>CLICK RAPID con espositore 28/09/2022 - MODERNA con espositore 28/09/2022</v>
          </cell>
        </row>
        <row r="344">
          <cell r="A344" t="str">
            <v>BRUNETTO GIAN BRUNO E C. SNC</v>
          </cell>
          <cell r="D344" t="str">
            <v>VIA DELL'ARTIGIANATO 10</v>
          </cell>
          <cell r="E344" t="str">
            <v>17024</v>
          </cell>
          <cell r="F344" t="str">
            <v xml:space="preserve">FINALE LIGURE </v>
          </cell>
          <cell r="G344" t="str">
            <v>SV</v>
          </cell>
          <cell r="H344" t="str">
            <v>ITALIA</v>
          </cell>
          <cell r="I344" t="str">
            <v>00629890096</v>
          </cell>
          <cell r="J344" t="str">
            <v>00629890096</v>
          </cell>
          <cell r="M344" t="str">
            <v>UFFICIO ACQUISTI</v>
          </cell>
          <cell r="N344" t="str">
            <v>019 680252 - 2215719</v>
          </cell>
          <cell r="R344" t="str">
            <v>BONIFICO BANCARIO, ALLA DATA DELLA NOSTRA CONFERMA D'ORDINE</v>
          </cell>
          <cell r="X344">
            <v>0.25</v>
          </cell>
          <cell r="Y344">
            <v>-0.04</v>
          </cell>
          <cell r="AB344">
            <v>0.25</v>
          </cell>
          <cell r="AC344">
            <v>0.25</v>
          </cell>
          <cell r="AD344">
            <v>0.25</v>
          </cell>
          <cell r="AE344">
            <v>0.25</v>
          </cell>
          <cell r="AF344">
            <v>0.25</v>
          </cell>
          <cell r="AG344">
            <v>0.25</v>
          </cell>
          <cell r="AH344">
            <v>0.25</v>
          </cell>
          <cell r="AI344">
            <v>0.25</v>
          </cell>
          <cell r="AJ344">
            <v>0.25</v>
          </cell>
          <cell r="AK344">
            <v>0.25</v>
          </cell>
          <cell r="AL344">
            <v>0.25</v>
          </cell>
          <cell r="AM344">
            <v>0.25</v>
          </cell>
          <cell r="AN344">
            <v>0.25</v>
          </cell>
          <cell r="AO344">
            <v>0.25</v>
          </cell>
          <cell r="AP344">
            <v>0.25</v>
          </cell>
          <cell r="AQ344">
            <v>0.25</v>
          </cell>
          <cell r="AR344">
            <v>0.25</v>
          </cell>
          <cell r="AS344">
            <v>0.25</v>
          </cell>
          <cell r="AT344">
            <v>-0.04</v>
          </cell>
          <cell r="AU344">
            <v>0.92</v>
          </cell>
          <cell r="AV344">
            <v>20</v>
          </cell>
          <cell r="AY344" t="str">
            <v/>
          </cell>
          <cell r="AZ344">
            <v>0.25</v>
          </cell>
          <cell r="BA344">
            <v>0.25</v>
          </cell>
        </row>
        <row r="345">
          <cell r="A345" t="str">
            <v>BRUTTI SERRAMENTI</v>
          </cell>
          <cell r="B345" t="str">
            <v>PAOLO PIETRO VIA BETLEMME, 21</v>
          </cell>
          <cell r="D345" t="str">
            <v>VIA MANCALACQUA, 6</v>
          </cell>
          <cell r="E345" t="str">
            <v>37060</v>
          </cell>
          <cell r="F345" t="str">
            <v>LUGAGNANO</v>
          </cell>
          <cell r="G345" t="str">
            <v>VR</v>
          </cell>
          <cell r="H345" t="str">
            <v>ITALIA</v>
          </cell>
          <cell r="J345" t="str">
            <v>02392330235</v>
          </cell>
          <cell r="M345" t="str">
            <v>UFFICIO ACQUISTI</v>
          </cell>
          <cell r="N345" t="str">
            <v>045 514111</v>
          </cell>
          <cell r="P345" t="str">
            <v>brutti@bruttiserramenti.it</v>
          </cell>
          <cell r="R345" t="str">
            <v>BONIFICO BANCARIO, ALLA DATA DELLA NOSTRA CONFERMA D'ORDINE</v>
          </cell>
          <cell r="X345">
            <v>0.25</v>
          </cell>
          <cell r="Y345">
            <v>-0.04</v>
          </cell>
          <cell r="AB345">
            <v>0.25</v>
          </cell>
          <cell r="AC345">
            <v>0.25</v>
          </cell>
          <cell r="AD345">
            <v>0.25</v>
          </cell>
          <cell r="AE345">
            <v>0.25</v>
          </cell>
          <cell r="AF345">
            <v>0.25</v>
          </cell>
          <cell r="AG345">
            <v>0.25</v>
          </cell>
          <cell r="AH345">
            <v>0.25</v>
          </cell>
          <cell r="AI345">
            <v>0.25</v>
          </cell>
          <cell r="AJ345">
            <v>0.25</v>
          </cell>
          <cell r="AK345">
            <v>0.25</v>
          </cell>
          <cell r="AL345">
            <v>0.25</v>
          </cell>
          <cell r="AM345">
            <v>0.25</v>
          </cell>
          <cell r="AN345">
            <v>0.25</v>
          </cell>
          <cell r="AO345">
            <v>0.25</v>
          </cell>
          <cell r="AP345">
            <v>0.25</v>
          </cell>
          <cell r="AQ345">
            <v>0.25</v>
          </cell>
          <cell r="AR345">
            <v>0.25</v>
          </cell>
          <cell r="AS345">
            <v>0.25</v>
          </cell>
          <cell r="AT345">
            <v>-0.04</v>
          </cell>
          <cell r="AU345">
            <v>0.92</v>
          </cell>
          <cell r="AV345">
            <v>20</v>
          </cell>
          <cell r="AY345" t="str">
            <v/>
          </cell>
          <cell r="AZ345">
            <v>0.25</v>
          </cell>
          <cell r="BA345">
            <v>0.25</v>
          </cell>
        </row>
        <row r="346">
          <cell r="A346" t="str">
            <v>BS INFISSI SRL</v>
          </cell>
          <cell r="B346" t="str">
            <v>NON C'ERA VITTORIO, DA RISENTIRE. INTERESSATI</v>
          </cell>
          <cell r="D346" t="str">
            <v>VIA CARLO MARX 107</v>
          </cell>
          <cell r="E346" t="str">
            <v>60022</v>
          </cell>
          <cell r="F346" t="str">
            <v>CASTELFIDARDO</v>
          </cell>
          <cell r="G346" t="str">
            <v>AN</v>
          </cell>
          <cell r="H346" t="str">
            <v>ITALIA</v>
          </cell>
          <cell r="J346" t="str">
            <v>01266640422</v>
          </cell>
          <cell r="M346" t="str">
            <v>UFFICIO ACQUISTI</v>
          </cell>
          <cell r="N346" t="str">
            <v>071 7820788</v>
          </cell>
          <cell r="O346" t="str">
            <v>336 329679</v>
          </cell>
          <cell r="P346" t="str">
            <v>info@bsinfissi.it</v>
          </cell>
          <cell r="R346" t="str">
            <v>BONIFICO BANCARIO, ALLA DATA DELLA NOSTRA CONFERMA D'ORDINE</v>
          </cell>
          <cell r="X346">
            <v>0.25</v>
          </cell>
          <cell r="Y346">
            <v>-0.04</v>
          </cell>
          <cell r="AB346">
            <v>0.25</v>
          </cell>
          <cell r="AC346">
            <v>0.25</v>
          </cell>
          <cell r="AD346">
            <v>0.25</v>
          </cell>
          <cell r="AE346">
            <v>0.25</v>
          </cell>
          <cell r="AF346">
            <v>0.25</v>
          </cell>
          <cell r="AG346">
            <v>0.25</v>
          </cell>
          <cell r="AH346">
            <v>0.25</v>
          </cell>
          <cell r="AI346">
            <v>0.25</v>
          </cell>
          <cell r="AJ346">
            <v>0.25</v>
          </cell>
          <cell r="AK346">
            <v>0.25</v>
          </cell>
          <cell r="AL346">
            <v>0.25</v>
          </cell>
          <cell r="AM346">
            <v>0.25</v>
          </cell>
          <cell r="AN346">
            <v>0.25</v>
          </cell>
          <cell r="AO346">
            <v>0.25</v>
          </cell>
          <cell r="AP346">
            <v>0.25</v>
          </cell>
          <cell r="AQ346">
            <v>0.25</v>
          </cell>
          <cell r="AR346">
            <v>0.25</v>
          </cell>
          <cell r="AS346">
            <v>0.25</v>
          </cell>
          <cell r="AT346">
            <v>-0.04</v>
          </cell>
          <cell r="AU346">
            <v>0.92</v>
          </cell>
          <cell r="AV346">
            <v>20</v>
          </cell>
          <cell r="AY346" t="str">
            <v/>
          </cell>
          <cell r="AZ346">
            <v>0.25</v>
          </cell>
          <cell r="BA346">
            <v>0.25</v>
          </cell>
        </row>
        <row r="347">
          <cell r="A347" t="str">
            <v>BUGLIANI GIOVANNI &amp; C. SAS</v>
          </cell>
          <cell r="D347" t="str">
            <v>VIA CATAGNINA 7</v>
          </cell>
          <cell r="E347" t="str">
            <v>54100</v>
          </cell>
          <cell r="F347" t="str">
            <v>MASSA</v>
          </cell>
          <cell r="G347" t="str">
            <v>MS</v>
          </cell>
          <cell r="H347" t="str">
            <v>ITALIA</v>
          </cell>
          <cell r="J347" t="str">
            <v>01043450459</v>
          </cell>
          <cell r="M347" t="str">
            <v>UFFICIO ACQUISTI</v>
          </cell>
          <cell r="N347" t="str">
            <v>0585 831038</v>
          </cell>
          <cell r="P347" t="str">
            <v>buglianiserramenti@gmail.com</v>
          </cell>
          <cell r="R347" t="str">
            <v>BONIFICO BANCARIO, ALLA DATA DELLA NOSTRA CONFERMA D'ORDINE</v>
          </cell>
          <cell r="X347">
            <v>0.25</v>
          </cell>
          <cell r="Y347">
            <v>-0.04</v>
          </cell>
          <cell r="AB347">
            <v>0.25</v>
          </cell>
          <cell r="AC347">
            <v>0.25</v>
          </cell>
          <cell r="AD347">
            <v>0.25</v>
          </cell>
          <cell r="AE347">
            <v>0.25</v>
          </cell>
          <cell r="AF347">
            <v>0.25</v>
          </cell>
          <cell r="AG347">
            <v>0.25</v>
          </cell>
          <cell r="AH347">
            <v>0.25</v>
          </cell>
          <cell r="AI347">
            <v>0.25</v>
          </cell>
          <cell r="AJ347">
            <v>0.25</v>
          </cell>
          <cell r="AK347">
            <v>0.25</v>
          </cell>
          <cell r="AL347">
            <v>0.25</v>
          </cell>
          <cell r="AM347">
            <v>0.25</v>
          </cell>
          <cell r="AN347">
            <v>0.25</v>
          </cell>
          <cell r="AO347">
            <v>0.25</v>
          </cell>
          <cell r="AP347">
            <v>0.25</v>
          </cell>
          <cell r="AQ347">
            <v>0.25</v>
          </cell>
          <cell r="AR347">
            <v>0.25</v>
          </cell>
          <cell r="AS347">
            <v>0.25</v>
          </cell>
          <cell r="AT347">
            <v>-0.04</v>
          </cell>
          <cell r="AU347">
            <v>0.92</v>
          </cell>
          <cell r="AV347">
            <v>20</v>
          </cell>
          <cell r="AY347" t="str">
            <v/>
          </cell>
          <cell r="AZ347">
            <v>0.25</v>
          </cell>
          <cell r="BA347">
            <v>0.25</v>
          </cell>
        </row>
        <row r="348">
          <cell r="A348" t="str">
            <v>BUTTARELLO LEONARDO</v>
          </cell>
          <cell r="D348" t="str">
            <v>VIA ROMA 78</v>
          </cell>
          <cell r="E348">
            <v>35040</v>
          </cell>
          <cell r="F348" t="str">
            <v xml:space="preserve">PADOVA </v>
          </cell>
          <cell r="G348" t="str">
            <v>PD</v>
          </cell>
          <cell r="H348" t="str">
            <v>ITALIA</v>
          </cell>
          <cell r="J348" t="str">
            <v>04040370282</v>
          </cell>
          <cell r="M348" t="str">
            <v>UFFICIO ACQUISTI</v>
          </cell>
          <cell r="N348" t="str">
            <v>0429 656621</v>
          </cell>
          <cell r="O348" t="str">
            <v>338 9226443</v>
          </cell>
          <cell r="P348" t="str">
            <v>leonardo.buttarello@virgilio.it</v>
          </cell>
          <cell r="R348" t="str">
            <v>BONIFICO BANCARIO, ALLA DATA DELLA NOSTRA CONFERMA D'ORDINE</v>
          </cell>
          <cell r="X348">
            <v>0.25</v>
          </cell>
          <cell r="Y348">
            <v>-0.04</v>
          </cell>
          <cell r="AB348">
            <v>0.25</v>
          </cell>
          <cell r="AC348">
            <v>0.25</v>
          </cell>
          <cell r="AD348">
            <v>0.25</v>
          </cell>
          <cell r="AE348">
            <v>0.25</v>
          </cell>
          <cell r="AF348">
            <v>0.25</v>
          </cell>
          <cell r="AG348">
            <v>0.25</v>
          </cell>
          <cell r="AH348">
            <v>0.25</v>
          </cell>
          <cell r="AI348">
            <v>0.25</v>
          </cell>
          <cell r="AJ348">
            <v>0.25</v>
          </cell>
          <cell r="AK348">
            <v>0.25</v>
          </cell>
          <cell r="AL348">
            <v>0.25</v>
          </cell>
          <cell r="AM348">
            <v>0.25</v>
          </cell>
          <cell r="AN348">
            <v>0.25</v>
          </cell>
          <cell r="AO348">
            <v>0.25</v>
          </cell>
          <cell r="AP348">
            <v>0.25</v>
          </cell>
          <cell r="AQ348">
            <v>0.25</v>
          </cell>
          <cell r="AR348">
            <v>0.25</v>
          </cell>
          <cell r="AS348">
            <v>0.25</v>
          </cell>
          <cell r="AT348">
            <v>-0.04</v>
          </cell>
          <cell r="AU348">
            <v>0.92</v>
          </cell>
          <cell r="AV348">
            <v>20</v>
          </cell>
          <cell r="AY348" t="str">
            <v/>
          </cell>
          <cell r="AZ348">
            <v>0.25</v>
          </cell>
          <cell r="BA348">
            <v>0.25</v>
          </cell>
        </row>
        <row r="349">
          <cell r="A349" t="str">
            <v xml:space="preserve">C G CARRLINO GIUSEPPE </v>
          </cell>
          <cell r="B349" t="str">
            <v>CAMPIONE + VOLANTINI + LETTERA</v>
          </cell>
          <cell r="D349" t="str">
            <v>VIA VALLEAMENA, 102</v>
          </cell>
          <cell r="E349">
            <v>89013</v>
          </cell>
          <cell r="F349" t="str">
            <v xml:space="preserve">GIOIA TAURO </v>
          </cell>
          <cell r="G349" t="str">
            <v>RC</v>
          </cell>
          <cell r="H349" t="str">
            <v>ITALIA</v>
          </cell>
          <cell r="J349" t="str">
            <v>0147869081</v>
          </cell>
          <cell r="K349" t="str">
            <v>T9K4ZH0</v>
          </cell>
          <cell r="M349" t="str">
            <v>UFFICIO ACQUISTI</v>
          </cell>
          <cell r="N349" t="str">
            <v>0966 55715</v>
          </cell>
          <cell r="O349" t="str">
            <v>338 6274419</v>
          </cell>
          <cell r="P349" t="str">
            <v>info@cxarlinoferramenti.it</v>
          </cell>
          <cell r="R349" t="str">
            <v>BONIFICO BANCARIO, ALLA DATA DELLA NOSTRA CONFERMA D'ORDINE</v>
          </cell>
          <cell r="X349">
            <v>0.25</v>
          </cell>
          <cell r="Y349">
            <v>-0.04</v>
          </cell>
          <cell r="AB349">
            <v>0.25</v>
          </cell>
          <cell r="AC349">
            <v>0.25</v>
          </cell>
          <cell r="AD349">
            <v>0.25</v>
          </cell>
          <cell r="AE349">
            <v>0.25</v>
          </cell>
          <cell r="AF349">
            <v>0.25</v>
          </cell>
          <cell r="AG349">
            <v>0.25</v>
          </cell>
          <cell r="AH349">
            <v>0.25</v>
          </cell>
          <cell r="AI349">
            <v>0.25</v>
          </cell>
          <cell r="AJ349">
            <v>0.25</v>
          </cell>
          <cell r="AK349">
            <v>0.25</v>
          </cell>
          <cell r="AL349">
            <v>0.25</v>
          </cell>
          <cell r="AM349">
            <v>0.25</v>
          </cell>
          <cell r="AN349">
            <v>0.25</v>
          </cell>
          <cell r="AO349">
            <v>0.25</v>
          </cell>
          <cell r="AP349">
            <v>0.25</v>
          </cell>
          <cell r="AQ349">
            <v>0.25</v>
          </cell>
          <cell r="AR349">
            <v>0.25</v>
          </cell>
          <cell r="AS349">
            <v>0.25</v>
          </cell>
          <cell r="AT349">
            <v>-0.04</v>
          </cell>
          <cell r="AU349">
            <v>0.92</v>
          </cell>
          <cell r="AV349">
            <v>20</v>
          </cell>
          <cell r="AW349" t="str">
            <v>PIETRO OLIVADOTI</v>
          </cell>
          <cell r="AX349">
            <v>0.95</v>
          </cell>
          <cell r="AZ349">
            <v>0.25</v>
          </cell>
          <cell r="BA349">
            <v>0.25</v>
          </cell>
        </row>
        <row r="350">
          <cell r="A350" t="str">
            <v>C. E G. SERRAMENTI SNC</v>
          </cell>
          <cell r="D350" t="str">
            <v>VIA DELFINO TERAMO 38/A</v>
          </cell>
          <cell r="E350" t="str">
            <v>16038</v>
          </cell>
          <cell r="F350" t="str">
            <v>SANTA MARGHERITA LIGURE</v>
          </cell>
          <cell r="G350" t="str">
            <v>GE</v>
          </cell>
          <cell r="H350" t="str">
            <v>ITALIA</v>
          </cell>
          <cell r="M350" t="str">
            <v>UFFICIO ACQUISTI</v>
          </cell>
          <cell r="N350" t="str">
            <v>0185 280917</v>
          </cell>
          <cell r="O350" t="str">
            <v>338 4242780 MASSIMO CASTRUCCIO - 348 7954109 PAOLO GRILLO</v>
          </cell>
          <cell r="R350" t="str">
            <v>BONIFICO BANCARIO, ALLA DATA DELLA NOSTRA CONFERMA D'ORDINE</v>
          </cell>
          <cell r="X350">
            <v>0.25</v>
          </cell>
          <cell r="Y350">
            <v>-0.04</v>
          </cell>
          <cell r="AB350">
            <v>0.25</v>
          </cell>
          <cell r="AC350">
            <v>0.25</v>
          </cell>
          <cell r="AD350">
            <v>0.25</v>
          </cell>
          <cell r="AE350">
            <v>0.25</v>
          </cell>
          <cell r="AF350">
            <v>0.25</v>
          </cell>
          <cell r="AG350">
            <v>0.25</v>
          </cell>
          <cell r="AH350">
            <v>0.25</v>
          </cell>
          <cell r="AI350">
            <v>0.25</v>
          </cell>
          <cell r="AJ350">
            <v>0.25</v>
          </cell>
          <cell r="AK350">
            <v>0.25</v>
          </cell>
          <cell r="AL350">
            <v>0.25</v>
          </cell>
          <cell r="AM350">
            <v>0.25</v>
          </cell>
          <cell r="AN350">
            <v>0.25</v>
          </cell>
          <cell r="AO350">
            <v>0.25</v>
          </cell>
          <cell r="AP350">
            <v>0.25</v>
          </cell>
          <cell r="AQ350">
            <v>0.25</v>
          </cell>
          <cell r="AR350">
            <v>0.25</v>
          </cell>
          <cell r="AS350">
            <v>0.25</v>
          </cell>
          <cell r="AT350">
            <v>-0.04</v>
          </cell>
          <cell r="AU350">
            <v>0.92</v>
          </cell>
          <cell r="AV350">
            <v>20</v>
          </cell>
          <cell r="AY350" t="str">
            <v/>
          </cell>
          <cell r="AZ350">
            <v>0.25</v>
          </cell>
          <cell r="BA350">
            <v>0.25</v>
          </cell>
        </row>
        <row r="351">
          <cell r="A351" t="str">
            <v>C.A.F. S.N.C.</v>
          </cell>
          <cell r="D351" t="str">
            <v>STRADA NAZIONALE DEL SEMPIONE, 64 A</v>
          </cell>
          <cell r="E351">
            <v>28831</v>
          </cell>
          <cell r="F351" t="str">
            <v>FERIOLO DI BAVENO</v>
          </cell>
          <cell r="G351" t="str">
            <v>VB</v>
          </cell>
          <cell r="H351" t="str">
            <v>ITALIA</v>
          </cell>
          <cell r="M351" t="str">
            <v>UFFICIO ACQUISTI</v>
          </cell>
          <cell r="N351" t="str">
            <v>0323 280002</v>
          </cell>
          <cell r="P351" t="str">
            <v>caf-snc@tiscali.it</v>
          </cell>
          <cell r="R351" t="str">
            <v>BONIFICO BANCARIO, ALLA DATA DELLA NOSTRA CONFERMA D'ORDINE</v>
          </cell>
          <cell r="X351">
            <v>0.25</v>
          </cell>
          <cell r="Y351">
            <v>-0.04</v>
          </cell>
          <cell r="AB351">
            <v>0.25</v>
          </cell>
          <cell r="AC351">
            <v>0.25</v>
          </cell>
          <cell r="AD351">
            <v>0.25</v>
          </cell>
          <cell r="AE351">
            <v>0.25</v>
          </cell>
          <cell r="AF351">
            <v>0.25</v>
          </cell>
          <cell r="AG351">
            <v>0.25</v>
          </cell>
          <cell r="AH351">
            <v>0.25</v>
          </cell>
          <cell r="AI351">
            <v>0.25</v>
          </cell>
          <cell r="AJ351">
            <v>0.25</v>
          </cell>
          <cell r="AK351">
            <v>0.25</v>
          </cell>
          <cell r="AL351">
            <v>0.25</v>
          </cell>
          <cell r="AM351">
            <v>0.25</v>
          </cell>
          <cell r="AN351">
            <v>0.25</v>
          </cell>
          <cell r="AO351">
            <v>0.25</v>
          </cell>
          <cell r="AP351">
            <v>0.25</v>
          </cell>
          <cell r="AQ351">
            <v>0.25</v>
          </cell>
          <cell r="AR351">
            <v>0.25</v>
          </cell>
          <cell r="AS351">
            <v>0.25</v>
          </cell>
          <cell r="AT351">
            <v>-0.04</v>
          </cell>
          <cell r="AU351">
            <v>0.92</v>
          </cell>
          <cell r="AV351">
            <v>20</v>
          </cell>
          <cell r="AZ351">
            <v>0.25</v>
          </cell>
          <cell r="BA351">
            <v>0.25</v>
          </cell>
        </row>
        <row r="352">
          <cell r="A352" t="str">
            <v>C.B.SRL DI CONSOLI BRGAMASCHI FESTA VITALI</v>
          </cell>
          <cell r="D352" t="str">
            <v>VIA DEI TINTORI, 1</v>
          </cell>
          <cell r="E352" t="str">
            <v>25032</v>
          </cell>
          <cell r="F352" t="str">
            <v>CHIARI</v>
          </cell>
          <cell r="G352" t="str">
            <v>BS</v>
          </cell>
          <cell r="H352" t="str">
            <v>ITALIA</v>
          </cell>
          <cell r="M352" t="str">
            <v>UFFICIO ACQUISTI</v>
          </cell>
          <cell r="N352" t="str">
            <v>030 7100065</v>
          </cell>
          <cell r="P352" t="str">
            <v>info@cbsrl.eu</v>
          </cell>
          <cell r="R352" t="str">
            <v>BONIFICO BANCARIO, ALLA DATA DELLA NOSTRA CONFERMA D'ORDINE</v>
          </cell>
          <cell r="X352">
            <v>0.2</v>
          </cell>
          <cell r="Y352">
            <v>-0.04</v>
          </cell>
          <cell r="AB352">
            <v>0.2</v>
          </cell>
          <cell r="AC352">
            <v>0.2</v>
          </cell>
          <cell r="AD352">
            <v>0.2</v>
          </cell>
          <cell r="AE352">
            <v>0.2</v>
          </cell>
          <cell r="AF352">
            <v>0.2</v>
          </cell>
          <cell r="AG352">
            <v>0.2</v>
          </cell>
          <cell r="AH352">
            <v>0.2</v>
          </cell>
          <cell r="AI352">
            <v>0.2</v>
          </cell>
          <cell r="AJ352">
            <v>0.2</v>
          </cell>
          <cell r="AK352">
            <v>0.2</v>
          </cell>
          <cell r="AL352">
            <v>0.2</v>
          </cell>
          <cell r="AM352">
            <v>0.2</v>
          </cell>
          <cell r="AN352">
            <v>0.2</v>
          </cell>
          <cell r="AO352">
            <v>0.2</v>
          </cell>
          <cell r="AP352">
            <v>0.2</v>
          </cell>
          <cell r="AQ352">
            <v>0.2</v>
          </cell>
          <cell r="AR352">
            <v>0.2</v>
          </cell>
          <cell r="AS352">
            <v>0.2</v>
          </cell>
          <cell r="AT352">
            <v>-0.04</v>
          </cell>
          <cell r="AU352">
            <v>0.92</v>
          </cell>
          <cell r="AV352">
            <v>20</v>
          </cell>
          <cell r="AZ352">
            <v>0.2</v>
          </cell>
          <cell r="BA352">
            <v>0.2</v>
          </cell>
        </row>
        <row r="353">
          <cell r="A353" t="str">
            <v>C.D.A. INFISSI SNC</v>
          </cell>
          <cell r="D353" t="str">
            <v>VIA T.N. BRIGANTI</v>
          </cell>
          <cell r="E353">
            <v>73043</v>
          </cell>
          <cell r="F353" t="str">
            <v>COPERTINO</v>
          </cell>
          <cell r="G353" t="str">
            <v>LE</v>
          </cell>
          <cell r="H353" t="str">
            <v>ITALIA</v>
          </cell>
          <cell r="J353" t="str">
            <v>04225650755</v>
          </cell>
          <cell r="M353" t="str">
            <v>UFFICIO ACQUISTI</v>
          </cell>
          <cell r="O353" t="str">
            <v>388 6528040 - 339 3614285</v>
          </cell>
          <cell r="P353" t="str">
            <v>cda.infissi@libero.it</v>
          </cell>
          <cell r="R353" t="str">
            <v>BONIFICO BANCARIO, ALLA DATA DELLA NOSTRA CONFERMA D'ORDINE</v>
          </cell>
          <cell r="X353">
            <v>0.25</v>
          </cell>
          <cell r="Y353">
            <v>-0.04</v>
          </cell>
          <cell r="AB353">
            <v>0.25</v>
          </cell>
          <cell r="AC353">
            <v>0.25</v>
          </cell>
          <cell r="AD353">
            <v>0.25</v>
          </cell>
          <cell r="AE353">
            <v>0.25</v>
          </cell>
          <cell r="AF353">
            <v>0.25</v>
          </cell>
          <cell r="AG353">
            <v>0.25</v>
          </cell>
          <cell r="AH353">
            <v>0.25</v>
          </cell>
          <cell r="AI353">
            <v>0.25</v>
          </cell>
          <cell r="AJ353">
            <v>0.25</v>
          </cell>
          <cell r="AK353">
            <v>0.25</v>
          </cell>
          <cell r="AL353">
            <v>0.25</v>
          </cell>
          <cell r="AM353">
            <v>0.25</v>
          </cell>
          <cell r="AN353">
            <v>0.25</v>
          </cell>
          <cell r="AO353">
            <v>0.25</v>
          </cell>
          <cell r="AP353">
            <v>0.25</v>
          </cell>
          <cell r="AQ353">
            <v>0.25</v>
          </cell>
          <cell r="AR353">
            <v>0.25</v>
          </cell>
          <cell r="AS353">
            <v>0.25</v>
          </cell>
          <cell r="AT353">
            <v>-0.04</v>
          </cell>
          <cell r="AU353">
            <v>0.92</v>
          </cell>
          <cell r="AV353">
            <v>20</v>
          </cell>
          <cell r="AY353" t="str">
            <v/>
          </cell>
          <cell r="AZ353">
            <v>0.25</v>
          </cell>
          <cell r="BA353">
            <v>0.25</v>
          </cell>
        </row>
        <row r="354">
          <cell r="A354" t="str">
            <v>C.D.F PROFESSIONAL</v>
          </cell>
          <cell r="B354" t="str">
            <v>FABIO PARLATO CON ENRICO</v>
          </cell>
          <cell r="D354" t="str">
            <v>STRADA DELLE CAMPORE, 23</v>
          </cell>
          <cell r="E354" t="str">
            <v>05100</v>
          </cell>
          <cell r="F354" t="str">
            <v>TERNI</v>
          </cell>
          <cell r="G354" t="str">
            <v>TR</v>
          </cell>
          <cell r="H354" t="str">
            <v>ITALIA</v>
          </cell>
          <cell r="J354" t="str">
            <v>01137420574</v>
          </cell>
          <cell r="M354" t="str">
            <v>UFFICIO ACQUISTI</v>
          </cell>
          <cell r="N354" t="str">
            <v>0744 031426</v>
          </cell>
          <cell r="P354" t="str">
            <v>info@cdfpro.it</v>
          </cell>
          <cell r="R354" t="str">
            <v>BONIFICO BANCARIO, ALLA DATA DELLA NOSTRA CONFERMA D'ORDINE</v>
          </cell>
          <cell r="Y354">
            <v>-0.04</v>
          </cell>
          <cell r="AT354">
            <v>-0.04</v>
          </cell>
          <cell r="AV354">
            <v>20</v>
          </cell>
          <cell r="AZ354">
            <v>0</v>
          </cell>
          <cell r="BA354">
            <v>0</v>
          </cell>
        </row>
        <row r="355">
          <cell r="A355" t="str">
            <v>C.F. INFISSI</v>
          </cell>
          <cell r="D355" t="str">
            <v>STRADA N.A.S., 5</v>
          </cell>
          <cell r="E355">
            <v>61032</v>
          </cell>
          <cell r="F355" t="str">
            <v>FANO</v>
          </cell>
          <cell r="G355" t="str">
            <v>PU</v>
          </cell>
          <cell r="H355" t="str">
            <v>ITALIA</v>
          </cell>
          <cell r="M355" t="str">
            <v>UFFICIO ACQUISTI</v>
          </cell>
          <cell r="O355" t="str">
            <v>380 32110701  349 8457884</v>
          </cell>
          <cell r="P355" t="str">
            <v>cfinfissi@libero.it</v>
          </cell>
          <cell r="R355" t="str">
            <v>BONIFICO BANCARIO, ALLA DATA DELLA NOSTRA CONFERMA D'ORDINE</v>
          </cell>
          <cell r="X355">
            <v>0.25</v>
          </cell>
          <cell r="Y355">
            <v>-0.04</v>
          </cell>
          <cell r="AB355">
            <v>0.25</v>
          </cell>
          <cell r="AC355">
            <v>0.25</v>
          </cell>
          <cell r="AD355">
            <v>0.25</v>
          </cell>
          <cell r="AE355">
            <v>0.25</v>
          </cell>
          <cell r="AF355">
            <v>0.25</v>
          </cell>
          <cell r="AG355">
            <v>0.25</v>
          </cell>
          <cell r="AH355">
            <v>0.25</v>
          </cell>
          <cell r="AI355">
            <v>0.25</v>
          </cell>
          <cell r="AJ355">
            <v>0.25</v>
          </cell>
          <cell r="AK355">
            <v>0.25</v>
          </cell>
          <cell r="AL355">
            <v>0.25</v>
          </cell>
          <cell r="AM355">
            <v>0.25</v>
          </cell>
          <cell r="AN355">
            <v>0.25</v>
          </cell>
          <cell r="AO355">
            <v>0.25</v>
          </cell>
          <cell r="AP355">
            <v>0.25</v>
          </cell>
          <cell r="AQ355">
            <v>0.25</v>
          </cell>
          <cell r="AR355">
            <v>0.25</v>
          </cell>
          <cell r="AS355">
            <v>0.25</v>
          </cell>
          <cell r="AT355">
            <v>-0.04</v>
          </cell>
          <cell r="AU355">
            <v>0.92</v>
          </cell>
          <cell r="AV355">
            <v>20</v>
          </cell>
          <cell r="AY355" t="str">
            <v/>
          </cell>
          <cell r="AZ355">
            <v>0.25</v>
          </cell>
          <cell r="BA355">
            <v>0.25</v>
          </cell>
        </row>
        <row r="356">
          <cell r="A356" t="str">
            <v>C.I.F.A. PIERELLA  &amp; MONTAPPONI S.N.C.</v>
          </cell>
          <cell r="D356" t="str">
            <v>VIA E. ROSSI, 58/B</v>
          </cell>
          <cell r="E356">
            <v>60035</v>
          </cell>
          <cell r="F356" t="str">
            <v>JESI</v>
          </cell>
          <cell r="G356" t="str">
            <v>AN</v>
          </cell>
          <cell r="H356" t="str">
            <v>ITALIA</v>
          </cell>
          <cell r="J356" t="str">
            <v>00707590428</v>
          </cell>
          <cell r="K356" t="str">
            <v>SUBM70N</v>
          </cell>
          <cell r="M356" t="str">
            <v>UFFICIO ACQUISTI</v>
          </cell>
          <cell r="N356" t="str">
            <v>0731 201891</v>
          </cell>
          <cell r="P356" t="str">
            <v>info@cifapm.it</v>
          </cell>
          <cell r="R356" t="str">
            <v>BONIFICO BANCARIO, ALLA DATA DELLA NOSTRA CONFERMA D'ORDINE</v>
          </cell>
          <cell r="X356">
            <v>0.25</v>
          </cell>
          <cell r="Y356">
            <v>-0.04</v>
          </cell>
          <cell r="AB356">
            <v>0.25</v>
          </cell>
          <cell r="AC356">
            <v>0.25</v>
          </cell>
          <cell r="AD356">
            <v>0.25</v>
          </cell>
          <cell r="AE356">
            <v>0.25</v>
          </cell>
          <cell r="AF356">
            <v>0.25</v>
          </cell>
          <cell r="AG356">
            <v>0.25</v>
          </cell>
          <cell r="AH356">
            <v>0.25</v>
          </cell>
          <cell r="AI356">
            <v>0.25</v>
          </cell>
          <cell r="AJ356">
            <v>0.25</v>
          </cell>
          <cell r="AK356">
            <v>0.25</v>
          </cell>
          <cell r="AL356">
            <v>0.25</v>
          </cell>
          <cell r="AM356">
            <v>0.25</v>
          </cell>
          <cell r="AN356">
            <v>0.25</v>
          </cell>
          <cell r="AO356">
            <v>0.25</v>
          </cell>
          <cell r="AP356">
            <v>0.25</v>
          </cell>
          <cell r="AQ356">
            <v>0.25</v>
          </cell>
          <cell r="AR356">
            <v>0.25</v>
          </cell>
          <cell r="AS356">
            <v>0.25</v>
          </cell>
          <cell r="AT356">
            <v>-0.04</v>
          </cell>
          <cell r="AU356">
            <v>0.92</v>
          </cell>
          <cell r="AV356">
            <v>20</v>
          </cell>
          <cell r="AY356" t="str">
            <v/>
          </cell>
          <cell r="AZ356">
            <v>0.25</v>
          </cell>
          <cell r="BA356">
            <v>0.25</v>
          </cell>
          <cell r="BF356" t="str">
            <v>CLICK RAPID con carpenteria03/11/2020</v>
          </cell>
        </row>
        <row r="357">
          <cell r="A357" t="str">
            <v>C.I.S.ME.R.SNC DI RUFO A.&amp;C.</v>
          </cell>
          <cell r="D357" t="str">
            <v>VIA NETTUNO, KM.1,250</v>
          </cell>
          <cell r="E357" t="str">
            <v>04012</v>
          </cell>
          <cell r="F357" t="str">
            <v>CISTERNA DI LATINA</v>
          </cell>
          <cell r="G357" t="str">
            <v>LT</v>
          </cell>
          <cell r="H357" t="str">
            <v>ITALIA</v>
          </cell>
          <cell r="J357" t="str">
            <v>013682430591</v>
          </cell>
          <cell r="M357" t="str">
            <v>UFFICIO ACQUISTI</v>
          </cell>
          <cell r="N357" t="str">
            <v>06 9695486</v>
          </cell>
          <cell r="P357" t="str">
            <v>www.cismer.it</v>
          </cell>
          <cell r="R357" t="str">
            <v>BONIFICO BANCARIO, ALLA DATA DELLA NOSTRA CONFERMA D'ORDINE</v>
          </cell>
          <cell r="X357">
            <v>0.2</v>
          </cell>
          <cell r="Y357">
            <v>-0.04</v>
          </cell>
          <cell r="AB357">
            <v>0.2</v>
          </cell>
          <cell r="AC357">
            <v>0.2</v>
          </cell>
          <cell r="AD357">
            <v>0.2</v>
          </cell>
          <cell r="AE357">
            <v>0.2</v>
          </cell>
          <cell r="AF357">
            <v>0.2</v>
          </cell>
          <cell r="AG357">
            <v>0.2</v>
          </cell>
          <cell r="AH357">
            <v>0.2</v>
          </cell>
          <cell r="AI357">
            <v>0.2</v>
          </cell>
          <cell r="AJ357">
            <v>0.2</v>
          </cell>
          <cell r="AK357">
            <v>0.2</v>
          </cell>
          <cell r="AL357">
            <v>0.2</v>
          </cell>
          <cell r="AM357">
            <v>0.2</v>
          </cell>
          <cell r="AN357">
            <v>0.2</v>
          </cell>
          <cell r="AO357">
            <v>0.2</v>
          </cell>
          <cell r="AP357">
            <v>0.2</v>
          </cell>
          <cell r="AQ357">
            <v>0.2</v>
          </cell>
          <cell r="AR357">
            <v>0.2</v>
          </cell>
          <cell r="AS357">
            <v>0.2</v>
          </cell>
          <cell r="AT357">
            <v>-0.04</v>
          </cell>
          <cell r="AU357">
            <v>0.92</v>
          </cell>
          <cell r="AV357">
            <v>20</v>
          </cell>
          <cell r="AZ357">
            <v>0.2</v>
          </cell>
          <cell r="BA357">
            <v>0.2</v>
          </cell>
        </row>
        <row r="358">
          <cell r="A358" t="str">
            <v>C.L. SERRAMENTI</v>
          </cell>
          <cell r="D358" t="str">
            <v>VIA GARIBALDI, 142</v>
          </cell>
          <cell r="E358">
            <v>25086</v>
          </cell>
          <cell r="F358" t="str">
            <v>REZZATO</v>
          </cell>
          <cell r="G358" t="str">
            <v>BS</v>
          </cell>
          <cell r="H358" t="str">
            <v>ITALIA</v>
          </cell>
          <cell r="M358" t="str">
            <v>UFFICIO ACQUISTI</v>
          </cell>
          <cell r="N358" t="str">
            <v>030 2793494</v>
          </cell>
          <cell r="O358" t="str">
            <v>335 6648765</v>
          </cell>
          <cell r="P358" t="str">
            <v>clserramenti@virgilio.it</v>
          </cell>
          <cell r="R358" t="str">
            <v>BONIFICO BANCARIO, ALLA DATA DELLA NOSTRA CONFERMA D'ORDINE</v>
          </cell>
          <cell r="X358">
            <v>0.25</v>
          </cell>
          <cell r="Y358">
            <v>-0.04</v>
          </cell>
          <cell r="AB358">
            <v>0.25</v>
          </cell>
          <cell r="AC358">
            <v>0.25</v>
          </cell>
          <cell r="AD358">
            <v>0.25</v>
          </cell>
          <cell r="AE358">
            <v>0.25</v>
          </cell>
          <cell r="AF358">
            <v>0.25</v>
          </cell>
          <cell r="AG358">
            <v>0.25</v>
          </cell>
          <cell r="AH358">
            <v>0.25</v>
          </cell>
          <cell r="AI358">
            <v>0.25</v>
          </cell>
          <cell r="AJ358">
            <v>0.25</v>
          </cell>
          <cell r="AK358">
            <v>0.25</v>
          </cell>
          <cell r="AL358">
            <v>0.25</v>
          </cell>
          <cell r="AM358">
            <v>0.25</v>
          </cell>
          <cell r="AN358">
            <v>0.25</v>
          </cell>
          <cell r="AO358">
            <v>0.25</v>
          </cell>
          <cell r="AP358">
            <v>0.25</v>
          </cell>
          <cell r="AQ358">
            <v>0.25</v>
          </cell>
          <cell r="AR358">
            <v>0.25</v>
          </cell>
          <cell r="AS358">
            <v>0.25</v>
          </cell>
          <cell r="AT358">
            <v>-0.04</v>
          </cell>
          <cell r="AU358">
            <v>0.92</v>
          </cell>
          <cell r="AV358">
            <v>20</v>
          </cell>
          <cell r="AZ358">
            <v>0.25</v>
          </cell>
          <cell r="BA358">
            <v>0.25</v>
          </cell>
        </row>
        <row r="359">
          <cell r="A359" t="str">
            <v>C.L.B. MET. DI CLARA BIANCO</v>
          </cell>
          <cell r="D359" t="str">
            <v>LOC. MULTEDDU</v>
          </cell>
          <cell r="E359" t="str">
            <v>07031</v>
          </cell>
          <cell r="F359" t="str">
            <v>CASTELSARDO</v>
          </cell>
          <cell r="G359" t="str">
            <v>SS</v>
          </cell>
          <cell r="H359" t="str">
            <v>ITALIA</v>
          </cell>
          <cell r="I359" t="str">
            <v>BNCCLR61R56L604Q</v>
          </cell>
          <cell r="J359" t="str">
            <v>02435160904</v>
          </cell>
          <cell r="K359" t="str">
            <v>SU9YNJA</v>
          </cell>
          <cell r="M359" t="str">
            <v>UFFICIO ACQUISTI</v>
          </cell>
          <cell r="O359" t="str">
            <v>347 336 9209</v>
          </cell>
          <cell r="P359" t="str">
            <v>tinoinfissi@gmail.com</v>
          </cell>
          <cell r="R359" t="str">
            <v>BONIFICO BANCARIO, ALLA DATA DELLA NOSTRA CONFERMA D'ORDINE</v>
          </cell>
          <cell r="X359">
            <v>0.25</v>
          </cell>
          <cell r="Y359">
            <v>-0.04</v>
          </cell>
          <cell r="AB359">
            <v>0.25</v>
          </cell>
          <cell r="AC359">
            <v>0.25</v>
          </cell>
          <cell r="AD359">
            <v>0.25</v>
          </cell>
          <cell r="AE359">
            <v>0.25</v>
          </cell>
          <cell r="AF359">
            <v>0.25</v>
          </cell>
          <cell r="AG359">
            <v>0.25</v>
          </cell>
          <cell r="AH359">
            <v>0.25</v>
          </cell>
          <cell r="AI359">
            <v>0.25</v>
          </cell>
          <cell r="AJ359">
            <v>0.25</v>
          </cell>
          <cell r="AK359">
            <v>0.25</v>
          </cell>
          <cell r="AL359">
            <v>0.25</v>
          </cell>
          <cell r="AM359">
            <v>0.25</v>
          </cell>
          <cell r="AN359">
            <v>0.25</v>
          </cell>
          <cell r="AO359">
            <v>0.25</v>
          </cell>
          <cell r="AP359">
            <v>0.25</v>
          </cell>
          <cell r="AQ359">
            <v>0.25</v>
          </cell>
          <cell r="AR359">
            <v>0.25</v>
          </cell>
          <cell r="AS359">
            <v>0.25</v>
          </cell>
          <cell r="AT359">
            <v>-0.04</v>
          </cell>
          <cell r="AU359">
            <v>0.92</v>
          </cell>
          <cell r="AV359">
            <v>20</v>
          </cell>
          <cell r="AZ359">
            <v>0.25</v>
          </cell>
          <cell r="BA359">
            <v>0.25</v>
          </cell>
          <cell r="BF359" t="str">
            <v>CLICK RAPID con carpenteria14/04/2021</v>
          </cell>
        </row>
        <row r="360">
          <cell r="A360" t="str">
            <v>C.L.M. DI LUCHESE MAURO</v>
          </cell>
          <cell r="D360" t="str">
            <v>VIA DALMAZA, 157</v>
          </cell>
          <cell r="E360" t="str">
            <v>17031</v>
          </cell>
          <cell r="F360" t="str">
            <v>ALBENGA</v>
          </cell>
          <cell r="G360" t="str">
            <v>SV</v>
          </cell>
          <cell r="H360" t="str">
            <v>ITALIA</v>
          </cell>
          <cell r="J360" t="str">
            <v>01478130097</v>
          </cell>
          <cell r="M360" t="str">
            <v>UFFICIO ACQUISTI</v>
          </cell>
          <cell r="O360" t="str">
            <v>333 2554581</v>
          </cell>
          <cell r="P360" t="str">
            <v>clmalbenga@gmail.com</v>
          </cell>
          <cell r="R360" t="str">
            <v>BONIFICO BANCARIO, ALLA DATA DELLA NOSTRA CONFERMA D'ORDINE</v>
          </cell>
          <cell r="X360">
            <v>0.2</v>
          </cell>
          <cell r="Y360">
            <v>-0.04</v>
          </cell>
          <cell r="AB360">
            <v>0.2</v>
          </cell>
          <cell r="AC360">
            <v>0.2</v>
          </cell>
          <cell r="AD360">
            <v>0.2</v>
          </cell>
          <cell r="AE360">
            <v>0.2</v>
          </cell>
          <cell r="AF360">
            <v>0.2</v>
          </cell>
          <cell r="AG360">
            <v>0.2</v>
          </cell>
          <cell r="AH360">
            <v>0.2</v>
          </cell>
          <cell r="AI360">
            <v>0.2</v>
          </cell>
          <cell r="AJ360">
            <v>0.2</v>
          </cell>
          <cell r="AK360">
            <v>0.2</v>
          </cell>
          <cell r="AL360">
            <v>0.2</v>
          </cell>
          <cell r="AM360">
            <v>0.2</v>
          </cell>
          <cell r="AN360">
            <v>0.2</v>
          </cell>
          <cell r="AO360">
            <v>0.2</v>
          </cell>
          <cell r="AP360">
            <v>0.2</v>
          </cell>
          <cell r="AQ360">
            <v>0.2</v>
          </cell>
          <cell r="AR360">
            <v>0.2</v>
          </cell>
          <cell r="AS360">
            <v>0.2</v>
          </cell>
          <cell r="AT360">
            <v>-0.04</v>
          </cell>
          <cell r="AU360">
            <v>0.92</v>
          </cell>
          <cell r="AV360">
            <v>20</v>
          </cell>
          <cell r="AZ360">
            <v>0.2</v>
          </cell>
          <cell r="BA360">
            <v>0.2</v>
          </cell>
        </row>
        <row r="361">
          <cell r="A361" t="str">
            <v>C.M. S.R.L.S. SECURITY &amp; DESIGN</v>
          </cell>
          <cell r="D361" t="str">
            <v>VIA 1° TRAV. POZZILLO, 2</v>
          </cell>
          <cell r="E361">
            <v>80053</v>
          </cell>
          <cell r="F361" t="str">
            <v>CASTELL. DI STABIA</v>
          </cell>
          <cell r="G361" t="str">
            <v>NA</v>
          </cell>
          <cell r="H361" t="str">
            <v>ITALIA</v>
          </cell>
          <cell r="J361" t="str">
            <v>09073671217</v>
          </cell>
          <cell r="M361" t="str">
            <v>UFFICIO ACQUISTI</v>
          </cell>
          <cell r="N361" t="str">
            <v>081 4242988</v>
          </cell>
          <cell r="O361" t="str">
            <v>Pasquale Cariello 334 6282835</v>
          </cell>
          <cell r="P361" t="str">
            <v>cmsrls2018@gmail.com</v>
          </cell>
          <cell r="R361" t="str">
            <v>BONIFICO BANCARIO, ALLA DATA DELLA NOSTRA CONFERMA D'ORDINE</v>
          </cell>
          <cell r="X361">
            <v>0.25</v>
          </cell>
          <cell r="Y361">
            <v>-0.04</v>
          </cell>
          <cell r="AB361">
            <v>0.25</v>
          </cell>
          <cell r="AC361">
            <v>0.25</v>
          </cell>
          <cell r="AD361">
            <v>0.25</v>
          </cell>
          <cell r="AE361">
            <v>0.25</v>
          </cell>
          <cell r="AF361">
            <v>0.25</v>
          </cell>
          <cell r="AG361">
            <v>0.25</v>
          </cell>
          <cell r="AH361">
            <v>0.25</v>
          </cell>
          <cell r="AI361">
            <v>0.25</v>
          </cell>
          <cell r="AJ361">
            <v>0.25</v>
          </cell>
          <cell r="AK361">
            <v>0.25</v>
          </cell>
          <cell r="AL361">
            <v>0.25</v>
          </cell>
          <cell r="AM361">
            <v>0.25</v>
          </cell>
          <cell r="AN361">
            <v>0.25</v>
          </cell>
          <cell r="AO361">
            <v>0.25</v>
          </cell>
          <cell r="AP361">
            <v>0.25</v>
          </cell>
          <cell r="AQ361">
            <v>0.25</v>
          </cell>
          <cell r="AR361">
            <v>0.25</v>
          </cell>
          <cell r="AS361">
            <v>0.25</v>
          </cell>
          <cell r="AT361">
            <v>-0.04</v>
          </cell>
          <cell r="AU361">
            <v>0.92</v>
          </cell>
          <cell r="AV361">
            <v>20</v>
          </cell>
          <cell r="AY361" t="str">
            <v/>
          </cell>
          <cell r="AZ361">
            <v>0.25</v>
          </cell>
          <cell r="BA361">
            <v>0.25</v>
          </cell>
        </row>
        <row r="362">
          <cell r="A362" t="str">
            <v>C.M. SRL DI CARLO MISTRONI</v>
          </cell>
          <cell r="D362" t="str">
            <v>VIALE OLANDA, 37</v>
          </cell>
          <cell r="E362" t="str">
            <v>44123</v>
          </cell>
          <cell r="F362" t="str">
            <v>FERRARA</v>
          </cell>
          <cell r="G362" t="str">
            <v>FE</v>
          </cell>
          <cell r="H362" t="str">
            <v>ITALIA</v>
          </cell>
          <cell r="J362" t="str">
            <v>01630670386</v>
          </cell>
          <cell r="K362" t="str">
            <v>X2PH38J</v>
          </cell>
          <cell r="M362" t="str">
            <v>UFFICIO ACQUISTI</v>
          </cell>
          <cell r="O362" t="str">
            <v>346 4901049</v>
          </cell>
          <cell r="P362" t="str">
            <v>carlo@infissicm.com</v>
          </cell>
          <cell r="R362" t="str">
            <v>BONIFICO BANCARIO, ALLA DATA DELLA NOSTRA CONFERMA D'ORDINE</v>
          </cell>
          <cell r="X362">
            <v>0.25</v>
          </cell>
          <cell r="Y362">
            <v>-0.04</v>
          </cell>
          <cell r="AB362">
            <v>0.25</v>
          </cell>
          <cell r="AC362">
            <v>0.25</v>
          </cell>
          <cell r="AD362">
            <v>0.25</v>
          </cell>
          <cell r="AE362">
            <v>0.25</v>
          </cell>
          <cell r="AF362">
            <v>0.25</v>
          </cell>
          <cell r="AG362">
            <v>0.25</v>
          </cell>
          <cell r="AH362">
            <v>0.25</v>
          </cell>
          <cell r="AI362">
            <v>0.25</v>
          </cell>
          <cell r="AJ362">
            <v>0.25</v>
          </cell>
          <cell r="AK362">
            <v>0.25</v>
          </cell>
          <cell r="AL362">
            <v>0.25</v>
          </cell>
          <cell r="AM362">
            <v>0.25</v>
          </cell>
          <cell r="AN362">
            <v>0.25</v>
          </cell>
          <cell r="AO362">
            <v>0.25</v>
          </cell>
          <cell r="AP362">
            <v>0.25</v>
          </cell>
          <cell r="AQ362">
            <v>0.25</v>
          </cell>
          <cell r="AR362">
            <v>0.25</v>
          </cell>
          <cell r="AS362">
            <v>0.25</v>
          </cell>
          <cell r="AT362">
            <v>-0.04</v>
          </cell>
          <cell r="AU362">
            <v>0.9</v>
          </cell>
          <cell r="AV362">
            <v>20</v>
          </cell>
          <cell r="AZ362">
            <v>0.25</v>
          </cell>
          <cell r="BA362">
            <v>0.25</v>
          </cell>
          <cell r="BF362" t="str">
            <v>CLICK RAPID con espositore 14/09/2022 - MODERNA con espositore 14/09/2022</v>
          </cell>
        </row>
        <row r="363">
          <cell r="A363" t="str">
            <v xml:space="preserve">C.M.3 S.N.C. </v>
          </cell>
          <cell r="D363" t="str">
            <v>VIA DON GUIDO MANESSO, 32/8</v>
          </cell>
          <cell r="E363">
            <v>35015</v>
          </cell>
          <cell r="F363" t="str">
            <v>GALLIERA VENETA</v>
          </cell>
          <cell r="G363" t="str">
            <v>PD</v>
          </cell>
          <cell r="H363" t="str">
            <v>ITALIA</v>
          </cell>
          <cell r="I363" t="str">
            <v>03738860281</v>
          </cell>
          <cell r="J363" t="str">
            <v>03738860281</v>
          </cell>
          <cell r="M363" t="str">
            <v>UFFICIO ACQUISTI</v>
          </cell>
          <cell r="N363" t="str">
            <v>049 5968626</v>
          </cell>
          <cell r="P363" t="str">
            <v>info@cm3snc.com</v>
          </cell>
          <cell r="R363" t="str">
            <v>BONIFICO BANCARIO, ALLA DATA DELLA NOSTRA CONFERMA D'ORDINE</v>
          </cell>
          <cell r="X363">
            <v>0.25</v>
          </cell>
          <cell r="Y363">
            <v>-0.04</v>
          </cell>
          <cell r="AB363">
            <v>0.25</v>
          </cell>
          <cell r="AC363">
            <v>0.25</v>
          </cell>
          <cell r="AD363">
            <v>0.25</v>
          </cell>
          <cell r="AE363">
            <v>0.25</v>
          </cell>
          <cell r="AF363">
            <v>0.25</v>
          </cell>
          <cell r="AG363">
            <v>0.25</v>
          </cell>
          <cell r="AH363">
            <v>0.25</v>
          </cell>
          <cell r="AI363">
            <v>0.25</v>
          </cell>
          <cell r="AJ363">
            <v>0.25</v>
          </cell>
          <cell r="AK363">
            <v>0.25</v>
          </cell>
          <cell r="AL363">
            <v>0.25</v>
          </cell>
          <cell r="AM363">
            <v>0.25</v>
          </cell>
          <cell r="AN363">
            <v>0.25</v>
          </cell>
          <cell r="AO363">
            <v>0.25</v>
          </cell>
          <cell r="AP363">
            <v>0.25</v>
          </cell>
          <cell r="AQ363">
            <v>0.25</v>
          </cell>
          <cell r="AR363">
            <v>0.25</v>
          </cell>
          <cell r="AS363">
            <v>0.25</v>
          </cell>
          <cell r="AT363">
            <v>-0.04</v>
          </cell>
          <cell r="AU363">
            <v>0.92</v>
          </cell>
          <cell r="AV363">
            <v>20</v>
          </cell>
          <cell r="AY363" t="str">
            <v/>
          </cell>
          <cell r="AZ363">
            <v>0.25</v>
          </cell>
          <cell r="BA363">
            <v>0.25</v>
          </cell>
        </row>
        <row r="364">
          <cell r="A364" t="str">
            <v>C.M.B. SOCIETA' COOPERATIVA MURATORI E BRACCIANTI CARPI</v>
          </cell>
          <cell r="D364" t="str">
            <v>VIA CARLO MARX, 101</v>
          </cell>
          <cell r="E364" t="str">
            <v>41012</v>
          </cell>
          <cell r="F364" t="str">
            <v>CARPI</v>
          </cell>
          <cell r="G364" t="str">
            <v>MO</v>
          </cell>
          <cell r="H364" t="str">
            <v>ITALIA</v>
          </cell>
          <cell r="J364" t="str">
            <v>00154410369</v>
          </cell>
          <cell r="M364" t="str">
            <v>UFFICIO ACQUISTI</v>
          </cell>
          <cell r="N364" t="str">
            <v>059 6322111</v>
          </cell>
          <cell r="O364" t="str">
            <v>349 3556887 ING. LORENZO ALTOBELLI</v>
          </cell>
          <cell r="P364" t="str">
            <v>lorenzo.altobelli@cmbcarpi.it</v>
          </cell>
          <cell r="R364" t="str">
            <v>BONIFICO BANCARIO, ALLA DATA DELLA NOSTRA CONFERMA D'ORDINE</v>
          </cell>
          <cell r="X364">
            <v>0.25</v>
          </cell>
          <cell r="Y364">
            <v>-0.04</v>
          </cell>
          <cell r="AB364">
            <v>0.25</v>
          </cell>
          <cell r="AC364">
            <v>0.25</v>
          </cell>
          <cell r="AD364">
            <v>0.25</v>
          </cell>
          <cell r="AE364">
            <v>0.25</v>
          </cell>
          <cell r="AF364">
            <v>0.25</v>
          </cell>
          <cell r="AG364">
            <v>0.25</v>
          </cell>
          <cell r="AH364">
            <v>0.25</v>
          </cell>
          <cell r="AI364">
            <v>0.25</v>
          </cell>
          <cell r="AJ364">
            <v>0.25</v>
          </cell>
          <cell r="AK364">
            <v>0.25</v>
          </cell>
          <cell r="AL364">
            <v>0.25</v>
          </cell>
          <cell r="AM364">
            <v>0.25</v>
          </cell>
          <cell r="AN364">
            <v>0.25</v>
          </cell>
          <cell r="AO364">
            <v>0.25</v>
          </cell>
          <cell r="AP364">
            <v>0.25</v>
          </cell>
          <cell r="AQ364">
            <v>0.25</v>
          </cell>
          <cell r="AR364">
            <v>0.25</v>
          </cell>
          <cell r="AS364">
            <v>0.25</v>
          </cell>
          <cell r="AT364">
            <v>-0.04</v>
          </cell>
          <cell r="AU364">
            <v>0.92</v>
          </cell>
          <cell r="AV364">
            <v>20</v>
          </cell>
          <cell r="AZ364">
            <v>0.25</v>
          </cell>
          <cell r="BA364">
            <v>0.25</v>
          </cell>
        </row>
        <row r="365">
          <cell r="A365" t="str">
            <v>C.M.C. S.R.L.</v>
          </cell>
          <cell r="D365" t="str">
            <v xml:space="preserve">VIA ASPROMONTE, 4 </v>
          </cell>
          <cell r="E365">
            <v>62012</v>
          </cell>
          <cell r="F365" t="str">
            <v>CIVITANOVA MARCHE</v>
          </cell>
          <cell r="G365" t="str">
            <v>MC</v>
          </cell>
          <cell r="H365" t="str">
            <v>ITALIA</v>
          </cell>
          <cell r="J365" t="str">
            <v>01661730430</v>
          </cell>
          <cell r="K365" t="str">
            <v>X2PH38J</v>
          </cell>
          <cell r="M365" t="str">
            <v>SIG. GIORGIO CARDELLI</v>
          </cell>
          <cell r="O365" t="str">
            <v>351 5970888</v>
          </cell>
          <cell r="P365" t="str">
            <v>giorgiocard79@gmail.com</v>
          </cell>
          <cell r="R365" t="str">
            <v>BONIFICO BANCARIO, ALLA DATA DELLA NOSTRA CONFERMA D'ORDINE</v>
          </cell>
          <cell r="X365">
            <v>0.25</v>
          </cell>
          <cell r="Y365">
            <v>-0.04</v>
          </cell>
          <cell r="AB365">
            <v>0.25</v>
          </cell>
          <cell r="AC365">
            <v>0.25</v>
          </cell>
          <cell r="AD365">
            <v>0.25</v>
          </cell>
          <cell r="AE365">
            <v>0.25</v>
          </cell>
          <cell r="AF365">
            <v>0.25</v>
          </cell>
          <cell r="AG365">
            <v>0.25</v>
          </cell>
          <cell r="AH365">
            <v>0.25</v>
          </cell>
          <cell r="AI365">
            <v>0.25</v>
          </cell>
          <cell r="AJ365">
            <v>0.25</v>
          </cell>
          <cell r="AK365">
            <v>0.25</v>
          </cell>
          <cell r="AL365">
            <v>0.25</v>
          </cell>
          <cell r="AM365">
            <v>0.25</v>
          </cell>
          <cell r="AN365">
            <v>0.25</v>
          </cell>
          <cell r="AO365">
            <v>0.25</v>
          </cell>
          <cell r="AP365">
            <v>0.25</v>
          </cell>
          <cell r="AQ365">
            <v>0.25</v>
          </cell>
          <cell r="AR365">
            <v>0.25</v>
          </cell>
          <cell r="AS365">
            <v>0.25</v>
          </cell>
          <cell r="AT365">
            <v>-0.04</v>
          </cell>
          <cell r="AU365">
            <v>0.92</v>
          </cell>
          <cell r="AV365">
            <v>20</v>
          </cell>
          <cell r="AY365" t="str">
            <v/>
          </cell>
          <cell r="AZ365">
            <v>0.25</v>
          </cell>
          <cell r="BA365">
            <v>0.25</v>
          </cell>
        </row>
        <row r="366">
          <cell r="A366" t="str">
            <v>C.M.C. SERRAMENTI S.A.S. DI CENICCOLA D .&amp; C.</v>
          </cell>
          <cell r="C366" t="str">
            <v>PV1</v>
          </cell>
          <cell r="D366" t="str">
            <v>CORSO XXVII MARZO, 18</v>
          </cell>
          <cell r="E366">
            <v>27058</v>
          </cell>
          <cell r="F366" t="str">
            <v>VOGHERA</v>
          </cell>
          <cell r="G366" t="str">
            <v>PV</v>
          </cell>
          <cell r="H366" t="str">
            <v>ITALIA</v>
          </cell>
          <cell r="I366" t="str">
            <v>01004050181</v>
          </cell>
          <cell r="J366" t="str">
            <v>01004050181</v>
          </cell>
          <cell r="M366" t="str">
            <v>SIG.RA DANIELA</v>
          </cell>
          <cell r="N366" t="str">
            <v>0383 213486</v>
          </cell>
          <cell r="P366" t="str">
            <v>SERRAMENTICMC@GMAIL.COM</v>
          </cell>
          <cell r="R366" t="str">
            <v>BONIFICO BANCARIO, ALLA DATA DELLA NOSTRA CONFERMA D'ORDINE</v>
          </cell>
          <cell r="X366">
            <v>0.25</v>
          </cell>
          <cell r="Y366">
            <v>-0.04</v>
          </cell>
          <cell r="AB366">
            <v>0.25</v>
          </cell>
          <cell r="AC366">
            <v>0.25</v>
          </cell>
          <cell r="AD366">
            <v>0.25</v>
          </cell>
          <cell r="AE366">
            <v>0.25</v>
          </cell>
          <cell r="AF366">
            <v>0.25</v>
          </cell>
          <cell r="AG366">
            <v>0.25</v>
          </cell>
          <cell r="AH366">
            <v>0.25</v>
          </cell>
          <cell r="AI366">
            <v>0.25</v>
          </cell>
          <cell r="AJ366">
            <v>0.25</v>
          </cell>
          <cell r="AK366">
            <v>0.25</v>
          </cell>
          <cell r="AL366">
            <v>0.25</v>
          </cell>
          <cell r="AM366">
            <v>0.25</v>
          </cell>
          <cell r="AN366">
            <v>0.25</v>
          </cell>
          <cell r="AO366">
            <v>0.25</v>
          </cell>
          <cell r="AP366">
            <v>0.25</v>
          </cell>
          <cell r="AQ366">
            <v>0.25</v>
          </cell>
          <cell r="AR366">
            <v>0.25</v>
          </cell>
          <cell r="AS366">
            <v>0.25</v>
          </cell>
          <cell r="AT366">
            <v>-0.04</v>
          </cell>
          <cell r="AU366">
            <v>0.92</v>
          </cell>
          <cell r="AV366">
            <v>20</v>
          </cell>
          <cell r="AY366" t="str">
            <v/>
          </cell>
          <cell r="AZ366">
            <v>0.25</v>
          </cell>
          <cell r="BA366">
            <v>0.25</v>
          </cell>
        </row>
        <row r="367">
          <cell r="A367" t="str">
            <v>C.M.V. SNC DI MULTARI ALESSANDRO &amp; C.</v>
          </cell>
          <cell r="D367" t="str">
            <v>VIA STRUPPA 184 R</v>
          </cell>
          <cell r="E367" t="str">
            <v>16165</v>
          </cell>
          <cell r="F367" t="str">
            <v>GENOVA</v>
          </cell>
          <cell r="G367" t="str">
            <v>GE</v>
          </cell>
          <cell r="H367" t="str">
            <v>ITALIA</v>
          </cell>
          <cell r="J367">
            <v>3858830106</v>
          </cell>
          <cell r="M367" t="str">
            <v>UFFICIO ACQUISTI</v>
          </cell>
          <cell r="N367" t="str">
            <v>010 809203</v>
          </cell>
          <cell r="O367" t="str">
            <v>348 8269791</v>
          </cell>
          <cell r="P367" t="str">
            <v>cmvserramenti@libero.it</v>
          </cell>
          <cell r="R367" t="str">
            <v>BONIFICO BANCARIO, ALLA DATA DELLA NOSTRA CONFERMA D'ORDINE</v>
          </cell>
          <cell r="X367">
            <v>0.25</v>
          </cell>
          <cell r="Y367">
            <v>-0.04</v>
          </cell>
          <cell r="AB367">
            <v>0.25</v>
          </cell>
          <cell r="AC367">
            <v>0.25</v>
          </cell>
          <cell r="AD367">
            <v>0.25</v>
          </cell>
          <cell r="AE367">
            <v>0.25</v>
          </cell>
          <cell r="AF367">
            <v>0.25</v>
          </cell>
          <cell r="AG367">
            <v>0.25</v>
          </cell>
          <cell r="AH367">
            <v>0.25</v>
          </cell>
          <cell r="AI367">
            <v>0.25</v>
          </cell>
          <cell r="AJ367">
            <v>0.25</v>
          </cell>
          <cell r="AK367">
            <v>0.25</v>
          </cell>
          <cell r="AL367">
            <v>0.25</v>
          </cell>
          <cell r="AM367">
            <v>0.25</v>
          </cell>
          <cell r="AN367">
            <v>0.25</v>
          </cell>
          <cell r="AO367">
            <v>0.25</v>
          </cell>
          <cell r="AP367">
            <v>0.25</v>
          </cell>
          <cell r="AQ367">
            <v>0.25</v>
          </cell>
          <cell r="AR367">
            <v>0.25</v>
          </cell>
          <cell r="AS367">
            <v>0.25</v>
          </cell>
          <cell r="AT367">
            <v>-0.04</v>
          </cell>
          <cell r="AU367">
            <v>0.92</v>
          </cell>
          <cell r="AV367">
            <v>20</v>
          </cell>
          <cell r="AZ367">
            <v>0.25</v>
          </cell>
          <cell r="BA367">
            <v>0.25</v>
          </cell>
        </row>
        <row r="368">
          <cell r="A368" t="str">
            <v>C.O.C.I. SRL</v>
          </cell>
          <cell r="D368" t="str">
            <v>VIA PIAN DELL'ISOLA, 62</v>
          </cell>
          <cell r="E368">
            <v>50067</v>
          </cell>
          <cell r="F368" t="str">
            <v>RIGNANO SULL'ARNO</v>
          </cell>
          <cell r="G368" t="str">
            <v>FI</v>
          </cell>
          <cell r="H368" t="str">
            <v>ITALIA</v>
          </cell>
          <cell r="J368" t="str">
            <v>05019320489</v>
          </cell>
          <cell r="M368" t="str">
            <v>UFFICIO ACQUISTI</v>
          </cell>
          <cell r="N368" t="str">
            <v>055 8348040</v>
          </cell>
          <cell r="O368" t="str">
            <v>334 6866693 ING. MATASSINI STEFANO</v>
          </cell>
          <cell r="P368" t="str">
            <v>stefano.matassini@cocisrl.it</v>
          </cell>
          <cell r="R368" t="str">
            <v>BONIFICO BANCARIO, ALLA DATA DELLA NOSTRA CONFERMA D'ORDINE</v>
          </cell>
          <cell r="X368">
            <v>0.25</v>
          </cell>
          <cell r="Y368">
            <v>-0.04</v>
          </cell>
          <cell r="AB368">
            <v>0.25</v>
          </cell>
          <cell r="AC368">
            <v>0.25</v>
          </cell>
          <cell r="AD368">
            <v>0.25</v>
          </cell>
          <cell r="AE368">
            <v>0.25</v>
          </cell>
          <cell r="AF368">
            <v>0.25</v>
          </cell>
          <cell r="AG368">
            <v>0.25</v>
          </cell>
          <cell r="AH368">
            <v>0.25</v>
          </cell>
          <cell r="AI368">
            <v>0.25</v>
          </cell>
          <cell r="AJ368">
            <v>0.25</v>
          </cell>
          <cell r="AK368">
            <v>0.25</v>
          </cell>
          <cell r="AL368">
            <v>0.25</v>
          </cell>
          <cell r="AM368">
            <v>0.25</v>
          </cell>
          <cell r="AN368">
            <v>0.25</v>
          </cell>
          <cell r="AO368">
            <v>0.25</v>
          </cell>
          <cell r="AP368">
            <v>0.25</v>
          </cell>
          <cell r="AQ368">
            <v>0.25</v>
          </cell>
          <cell r="AR368">
            <v>0.25</v>
          </cell>
          <cell r="AS368">
            <v>0.25</v>
          </cell>
          <cell r="AT368">
            <v>-0.04</v>
          </cell>
          <cell r="AU368">
            <v>0.92</v>
          </cell>
          <cell r="AV368">
            <v>20</v>
          </cell>
          <cell r="AY368" t="str">
            <v/>
          </cell>
          <cell r="AZ368">
            <v>0.25</v>
          </cell>
          <cell r="BA368">
            <v>0.25</v>
          </cell>
        </row>
        <row r="369">
          <cell r="A369" t="str">
            <v>C.P. SYSTEM SNC</v>
          </cell>
          <cell r="B369" t="str">
            <v xml:space="preserve">SCONTO 20%  - MP NON HA LASCIATO LISTINO </v>
          </cell>
          <cell r="D369" t="str">
            <v>VIA URSONE DA SESTRI, 33 35 R</v>
          </cell>
          <cell r="E369">
            <v>16154</v>
          </cell>
          <cell r="F369" t="str">
            <v>GENOVA SESTRI PONENTE</v>
          </cell>
          <cell r="G369" t="str">
            <v>GE</v>
          </cell>
          <cell r="H369" t="str">
            <v>ITALIA</v>
          </cell>
          <cell r="J369" t="str">
            <v>3549310104</v>
          </cell>
          <cell r="M369" t="str">
            <v>UFFICIO ACQUISTI</v>
          </cell>
          <cell r="N369" t="str">
            <v> 010 6531692</v>
          </cell>
          <cell r="P369" t="str">
            <v>cpsystemserramenti@gmail.com</v>
          </cell>
          <cell r="R369" t="str">
            <v>BONIFICO BANCARIO, ALLA DATA DELLA NOSTRA CONFERMA D'ORDINE</v>
          </cell>
          <cell r="X369">
            <v>0.25</v>
          </cell>
          <cell r="Y369">
            <v>-0.04</v>
          </cell>
          <cell r="AB369">
            <v>0.25</v>
          </cell>
          <cell r="AC369">
            <v>0.25</v>
          </cell>
          <cell r="AD369">
            <v>0.25</v>
          </cell>
          <cell r="AE369">
            <v>0.25</v>
          </cell>
          <cell r="AF369">
            <v>0.25</v>
          </cell>
          <cell r="AG369">
            <v>0.25</v>
          </cell>
          <cell r="AH369">
            <v>0.25</v>
          </cell>
          <cell r="AI369">
            <v>0.25</v>
          </cell>
          <cell r="AJ369">
            <v>0.25</v>
          </cell>
          <cell r="AK369">
            <v>0.25</v>
          </cell>
          <cell r="AL369">
            <v>0.25</v>
          </cell>
          <cell r="AM369">
            <v>0.25</v>
          </cell>
          <cell r="AN369">
            <v>0.25</v>
          </cell>
          <cell r="AO369">
            <v>0.25</v>
          </cell>
          <cell r="AP369">
            <v>0.25</v>
          </cell>
          <cell r="AQ369">
            <v>0.25</v>
          </cell>
          <cell r="AR369">
            <v>0.25</v>
          </cell>
          <cell r="AS369">
            <v>0.25</v>
          </cell>
          <cell r="AT369">
            <v>-0.04</v>
          </cell>
          <cell r="AU369">
            <v>0.92</v>
          </cell>
          <cell r="AV369">
            <v>20</v>
          </cell>
          <cell r="AY369" t="str">
            <v/>
          </cell>
          <cell r="AZ369">
            <v>0.25</v>
          </cell>
          <cell r="BA369">
            <v>0.25</v>
          </cell>
        </row>
        <row r="370">
          <cell r="A370" t="str">
            <v>C.P.N. SRL</v>
          </cell>
          <cell r="D370" t="str">
            <v>STRADA DEI LOGGI, 30</v>
          </cell>
          <cell r="E370">
            <v>6135</v>
          </cell>
          <cell r="F370" t="str">
            <v>PERUGIA</v>
          </cell>
          <cell r="G370" t="str">
            <v>PG</v>
          </cell>
          <cell r="H370" t="str">
            <v>ITALIA</v>
          </cell>
          <cell r="J370" t="str">
            <v>03013670793</v>
          </cell>
          <cell r="K370" t="str">
            <v>KRRH6B9</v>
          </cell>
          <cell r="L370" t="str">
            <v>VIA G. LATERZA, SNC - LOC. PAPANICIARO - 88900 - CROTONE (KR)</v>
          </cell>
          <cell r="M370" t="str">
            <v>UFFICIO ACQUISTI</v>
          </cell>
          <cell r="N370" t="str">
            <v>0962 1924723</v>
          </cell>
          <cell r="P370" t="str">
            <v>info@cpninfissi.it</v>
          </cell>
          <cell r="R370" t="str">
            <v>BONIFICO BANCARIO, ALLA DATA DELLA NOSTRA CONFERMA D'ORDINE</v>
          </cell>
          <cell r="X370">
            <v>0.25</v>
          </cell>
          <cell r="Y370">
            <v>-0.04</v>
          </cell>
          <cell r="AB370">
            <v>0.25</v>
          </cell>
          <cell r="AC370">
            <v>0.25</v>
          </cell>
          <cell r="AD370">
            <v>0.25</v>
          </cell>
          <cell r="AE370">
            <v>0.25</v>
          </cell>
          <cell r="AF370">
            <v>0.25</v>
          </cell>
          <cell r="AG370">
            <v>0.25</v>
          </cell>
          <cell r="AH370">
            <v>0.25</v>
          </cell>
          <cell r="AI370">
            <v>0.25</v>
          </cell>
          <cell r="AJ370">
            <v>0.25</v>
          </cell>
          <cell r="AK370">
            <v>0.25</v>
          </cell>
          <cell r="AL370">
            <v>0.25</v>
          </cell>
          <cell r="AM370">
            <v>0.25</v>
          </cell>
          <cell r="AN370">
            <v>0.25</v>
          </cell>
          <cell r="AO370">
            <v>0.25</v>
          </cell>
          <cell r="AP370">
            <v>0.25</v>
          </cell>
          <cell r="AQ370">
            <v>0.25</v>
          </cell>
          <cell r="AR370">
            <v>0.25</v>
          </cell>
          <cell r="AS370">
            <v>0.25</v>
          </cell>
          <cell r="AT370">
            <v>-0.04</v>
          </cell>
          <cell r="AU370">
            <v>0.92</v>
          </cell>
          <cell r="AV370">
            <v>20</v>
          </cell>
          <cell r="AW370" t="str">
            <v>PIETRO OLIVADOTI</v>
          </cell>
          <cell r="AX370">
            <v>0.95</v>
          </cell>
          <cell r="AZ370">
            <v>0.25</v>
          </cell>
          <cell r="BA370">
            <v>0.25</v>
          </cell>
        </row>
        <row r="371">
          <cell r="A371" t="str">
            <v>C.P.SYSTEM SNC</v>
          </cell>
          <cell r="B371" t="str">
            <v>vende tavole gialle a 150/200€-compra da un' altro a 200/220 € ml arrivando a 400€ mq</v>
          </cell>
          <cell r="D371" t="str">
            <v>VIA URSONE DA SESTRI, 33/35</v>
          </cell>
          <cell r="E371" t="str">
            <v>16154</v>
          </cell>
          <cell r="F371" t="str">
            <v>GENOVA</v>
          </cell>
          <cell r="G371" t="str">
            <v>GE</v>
          </cell>
          <cell r="H371" t="str">
            <v>ITALIA</v>
          </cell>
          <cell r="J371" t="str">
            <v>03549310104</v>
          </cell>
          <cell r="M371" t="str">
            <v>UFFICIO ACQUISTI</v>
          </cell>
          <cell r="N371" t="str">
            <v>010 6531692</v>
          </cell>
          <cell r="P371" t="str">
            <v>cpsystemserramenti@gmail.com</v>
          </cell>
          <cell r="R371" t="str">
            <v>BONIFICO BANCARIO, ALLA DATA DELLA NOSTRA CONFERMA D'ORDINE</v>
          </cell>
          <cell r="X371">
            <v>0.2</v>
          </cell>
          <cell r="Y371">
            <v>-0.04</v>
          </cell>
          <cell r="AB371">
            <v>0.2</v>
          </cell>
          <cell r="AC371">
            <v>0.2</v>
          </cell>
          <cell r="AD371">
            <v>0.2</v>
          </cell>
          <cell r="AE371">
            <v>0.2</v>
          </cell>
          <cell r="AF371">
            <v>0.2</v>
          </cell>
          <cell r="AG371">
            <v>0.2</v>
          </cell>
          <cell r="AH371">
            <v>0.2</v>
          </cell>
          <cell r="AI371">
            <v>0.2</v>
          </cell>
          <cell r="AJ371">
            <v>0.2</v>
          </cell>
          <cell r="AK371">
            <v>0.2</v>
          </cell>
          <cell r="AL371">
            <v>0.2</v>
          </cell>
          <cell r="AM371">
            <v>0.2</v>
          </cell>
          <cell r="AN371">
            <v>0.2</v>
          </cell>
          <cell r="AO371">
            <v>0.2</v>
          </cell>
          <cell r="AP371">
            <v>0.2</v>
          </cell>
          <cell r="AQ371">
            <v>0.2</v>
          </cell>
          <cell r="AR371">
            <v>0.2</v>
          </cell>
          <cell r="AS371">
            <v>0.2</v>
          </cell>
          <cell r="AT371">
            <v>-0.04</v>
          </cell>
          <cell r="AU371">
            <v>0.92</v>
          </cell>
          <cell r="AV371">
            <v>20</v>
          </cell>
          <cell r="AZ371">
            <v>0.2</v>
          </cell>
          <cell r="BA371">
            <v>0.2</v>
          </cell>
        </row>
        <row r="372">
          <cell r="A372" t="str">
            <v xml:space="preserve">C.R. CRISTIANI ROSSANO </v>
          </cell>
          <cell r="B372" t="str">
            <v>ACQUASTOP NE FANNO TANTE</v>
          </cell>
          <cell r="D372" t="str">
            <v>VIA CIMAROSA, 106  108  110</v>
          </cell>
          <cell r="E372">
            <v>57124</v>
          </cell>
          <cell r="F372" t="str">
            <v>LIVORNO</v>
          </cell>
          <cell r="G372" t="str">
            <v>LI</v>
          </cell>
          <cell r="H372" t="str">
            <v>ITALIA</v>
          </cell>
          <cell r="M372" t="str">
            <v>UFFICIO ACQUISTI</v>
          </cell>
          <cell r="N372" t="str">
            <v>0586 854725</v>
          </cell>
          <cell r="R372" t="str">
            <v>BONIFICO BANCARIO, ALLA DATA DELLA NOSTRA CONFERMA D'ORDINE</v>
          </cell>
          <cell r="X372">
            <v>0.25</v>
          </cell>
          <cell r="Y372">
            <v>-0.04</v>
          </cell>
          <cell r="AB372">
            <v>0.25</v>
          </cell>
          <cell r="AC372">
            <v>0.25</v>
          </cell>
          <cell r="AD372">
            <v>0.25</v>
          </cell>
          <cell r="AE372">
            <v>0.25</v>
          </cell>
          <cell r="AF372">
            <v>0.25</v>
          </cell>
          <cell r="AG372">
            <v>0.25</v>
          </cell>
          <cell r="AH372">
            <v>0.25</v>
          </cell>
          <cell r="AI372">
            <v>0.25</v>
          </cell>
          <cell r="AJ372">
            <v>0.25</v>
          </cell>
          <cell r="AK372">
            <v>0.25</v>
          </cell>
          <cell r="AL372">
            <v>0.25</v>
          </cell>
          <cell r="AM372">
            <v>0.25</v>
          </cell>
          <cell r="AN372">
            <v>0.25</v>
          </cell>
          <cell r="AO372">
            <v>0.25</v>
          </cell>
          <cell r="AP372">
            <v>0.25</v>
          </cell>
          <cell r="AQ372">
            <v>0.25</v>
          </cell>
          <cell r="AR372">
            <v>0.25</v>
          </cell>
          <cell r="AS372">
            <v>0.25</v>
          </cell>
          <cell r="AT372">
            <v>-0.04</v>
          </cell>
          <cell r="AU372">
            <v>0.92</v>
          </cell>
          <cell r="AV372">
            <v>20</v>
          </cell>
          <cell r="AY372" t="str">
            <v/>
          </cell>
          <cell r="AZ372">
            <v>0.25</v>
          </cell>
          <cell r="BA372">
            <v>0.25</v>
          </cell>
        </row>
        <row r="373">
          <cell r="A373" t="str">
            <v>C.S DI GRASSO GIOVANNI</v>
          </cell>
          <cell r="D373" t="str">
            <v>P.ZZA CENTRO COMMERCIALE, 80</v>
          </cell>
          <cell r="E373">
            <v>20090</v>
          </cell>
          <cell r="F373" t="str">
            <v>S. FELICE SEGRATE</v>
          </cell>
          <cell r="G373" t="str">
            <v>MI</v>
          </cell>
          <cell r="H373" t="str">
            <v>ITALIA</v>
          </cell>
          <cell r="J373" t="str">
            <v>03920330168</v>
          </cell>
          <cell r="M373" t="str">
            <v>UFFICIO ACQUISTI</v>
          </cell>
          <cell r="N373" t="str">
            <v>02 7531136</v>
          </cell>
          <cell r="O373" t="str">
            <v>339 1499646 - 366 2534284</v>
          </cell>
          <cell r="P373" t="str">
            <v>g.centroserramenti@libero.it</v>
          </cell>
          <cell r="R373" t="str">
            <v>BONIFICO BANCARIO, ALLA DATA DELLA NOSTRA CONFERMA D'ORDINE</v>
          </cell>
          <cell r="X373">
            <v>0.25</v>
          </cell>
          <cell r="Y373">
            <v>-0.04</v>
          </cell>
          <cell r="AB373">
            <v>0.25</v>
          </cell>
          <cell r="AC373">
            <v>0.25</v>
          </cell>
          <cell r="AD373">
            <v>0.25</v>
          </cell>
          <cell r="AE373">
            <v>0.25</v>
          </cell>
          <cell r="AF373">
            <v>0.25</v>
          </cell>
          <cell r="AG373">
            <v>0.25</v>
          </cell>
          <cell r="AH373">
            <v>0.25</v>
          </cell>
          <cell r="AI373">
            <v>0.25</v>
          </cell>
          <cell r="AJ373">
            <v>0.25</v>
          </cell>
          <cell r="AK373">
            <v>0.25</v>
          </cell>
          <cell r="AL373">
            <v>0.25</v>
          </cell>
          <cell r="AM373">
            <v>0.25</v>
          </cell>
          <cell r="AN373">
            <v>0.25</v>
          </cell>
          <cell r="AO373">
            <v>0.25</v>
          </cell>
          <cell r="AP373">
            <v>0.25</v>
          </cell>
          <cell r="AQ373">
            <v>0.25</v>
          </cell>
          <cell r="AR373">
            <v>0.25</v>
          </cell>
          <cell r="AS373">
            <v>0.25</v>
          </cell>
          <cell r="AT373">
            <v>-0.04</v>
          </cell>
          <cell r="AU373">
            <v>0.92</v>
          </cell>
          <cell r="AV373">
            <v>20</v>
          </cell>
          <cell r="AY373" t="str">
            <v/>
          </cell>
          <cell r="AZ373">
            <v>0.25</v>
          </cell>
          <cell r="BA373">
            <v>0.25</v>
          </cell>
        </row>
        <row r="374">
          <cell r="A374" t="str">
            <v>C.S.INFISSI DI CONCAS ANTONELLO</v>
          </cell>
          <cell r="D374" t="str">
            <v>VIA LUBIANA, 87</v>
          </cell>
          <cell r="E374" t="str">
            <v>09013</v>
          </cell>
          <cell r="F374" t="str">
            <v>CARBONIA</v>
          </cell>
          <cell r="G374" t="str">
            <v>CA</v>
          </cell>
          <cell r="H374" t="str">
            <v>ITALIA</v>
          </cell>
          <cell r="I374" t="str">
            <v>CNCNNL62A21B745S</v>
          </cell>
          <cell r="J374" t="str">
            <v>02302170929</v>
          </cell>
          <cell r="M374" t="str">
            <v>UFFICIO ACQUISTI</v>
          </cell>
          <cell r="N374" t="str">
            <v>0781 64065</v>
          </cell>
          <cell r="P374" t="str">
            <v>antonelloconcas@yahoo.com</v>
          </cell>
          <cell r="R374" t="str">
            <v>BONIFICO BANCARIO, ALLA DATA DELLA NOSTRA CONFERMA D'ORDINE</v>
          </cell>
          <cell r="X374">
            <v>0.15</v>
          </cell>
          <cell r="Y374">
            <v>-0.04</v>
          </cell>
          <cell r="AB374">
            <v>0.15</v>
          </cell>
          <cell r="AC374">
            <v>0.15</v>
          </cell>
          <cell r="AD374">
            <v>0.15</v>
          </cell>
          <cell r="AE374">
            <v>0.15</v>
          </cell>
          <cell r="AF374">
            <v>0.15</v>
          </cell>
          <cell r="AG374">
            <v>0.15</v>
          </cell>
          <cell r="AH374">
            <v>0.15</v>
          </cell>
          <cell r="AI374">
            <v>0.15</v>
          </cell>
          <cell r="AJ374">
            <v>0.15</v>
          </cell>
          <cell r="AK374">
            <v>0.15</v>
          </cell>
          <cell r="AL374">
            <v>0.15</v>
          </cell>
          <cell r="AM374">
            <v>0.15</v>
          </cell>
          <cell r="AN374">
            <v>0.15</v>
          </cell>
          <cell r="AO374">
            <v>0.15</v>
          </cell>
          <cell r="AP374">
            <v>0.15</v>
          </cell>
          <cell r="AQ374">
            <v>0.15</v>
          </cell>
          <cell r="AR374">
            <v>0.15</v>
          </cell>
          <cell r="AS374">
            <v>0.15</v>
          </cell>
          <cell r="AT374">
            <v>-0.04</v>
          </cell>
          <cell r="AU374">
            <v>0.92</v>
          </cell>
          <cell r="AV374">
            <v>20</v>
          </cell>
          <cell r="AZ374">
            <v>0.15</v>
          </cell>
          <cell r="BA374">
            <v>0.15</v>
          </cell>
        </row>
        <row r="375">
          <cell r="A375" t="str">
            <v>CA.BI.MI. SRL</v>
          </cell>
          <cell r="B375" t="str">
            <v>HA UN CAMPIONE ACQUASTOP 05/12 E' NOSTRO RIVENDITORE!!!</v>
          </cell>
          <cell r="D375" t="str">
            <v>S.DA STATALE 106 JONICA, CONTRADA GANGEMI, 24</v>
          </cell>
          <cell r="E375" t="str">
            <v>88815</v>
          </cell>
          <cell r="F375" t="str">
            <v>MARINA DI STRONGOLI</v>
          </cell>
          <cell r="G375" t="str">
            <v>KR</v>
          </cell>
          <cell r="H375" t="str">
            <v>ITALIA</v>
          </cell>
          <cell r="J375" t="str">
            <v>03636930798</v>
          </cell>
          <cell r="K375" t="str">
            <v>M5UXCR1</v>
          </cell>
          <cell r="M375" t="str">
            <v xml:space="preserve">SIG. MICHELE CATANZARO </v>
          </cell>
          <cell r="N375" t="str">
            <v>0962 88401</v>
          </cell>
          <cell r="O375" t="str">
            <v>329 6056702</v>
          </cell>
          <cell r="P375" t="str">
            <v>info@cabimi.it; commerciale@cabimi.it</v>
          </cell>
          <cell r="R375" t="str">
            <v>BONIFICO BANCARIO, ALLA DATA DELLA NOSTRA CONFERMA D'ORDINE</v>
          </cell>
          <cell r="X375">
            <v>0.25</v>
          </cell>
          <cell r="Y375">
            <v>-0.04</v>
          </cell>
          <cell r="AB375">
            <v>0.25</v>
          </cell>
          <cell r="AC375">
            <v>0.25</v>
          </cell>
          <cell r="AD375">
            <v>0.25</v>
          </cell>
          <cell r="AE375">
            <v>0.25</v>
          </cell>
          <cell r="AF375">
            <v>0.25</v>
          </cell>
          <cell r="AG375">
            <v>0.25</v>
          </cell>
          <cell r="AH375">
            <v>0.25</v>
          </cell>
          <cell r="AI375">
            <v>0.25</v>
          </cell>
          <cell r="AJ375">
            <v>0.25</v>
          </cell>
          <cell r="AK375">
            <v>0.25</v>
          </cell>
          <cell r="AL375">
            <v>0.25</v>
          </cell>
          <cell r="AM375">
            <v>0.25</v>
          </cell>
          <cell r="AN375">
            <v>0.25</v>
          </cell>
          <cell r="AO375">
            <v>0.25</v>
          </cell>
          <cell r="AP375">
            <v>0.25</v>
          </cell>
          <cell r="AQ375">
            <v>0.25</v>
          </cell>
          <cell r="AR375">
            <v>0.25</v>
          </cell>
          <cell r="AS375">
            <v>0.25</v>
          </cell>
          <cell r="AT375">
            <v>-0.04</v>
          </cell>
          <cell r="AU375">
            <v>0.92</v>
          </cell>
          <cell r="AV375">
            <v>20</v>
          </cell>
          <cell r="AW375" t="str">
            <v>PIETRO OLIVADOTI</v>
          </cell>
          <cell r="AX375">
            <v>0.95</v>
          </cell>
          <cell r="AZ375">
            <v>0.25</v>
          </cell>
          <cell r="BA375">
            <v>0.25</v>
          </cell>
        </row>
        <row r="376">
          <cell r="A376" t="str">
            <v>CABA DI CICCARELLI ALDO</v>
          </cell>
          <cell r="B376" t="str">
            <v>QUESTO è QUELLO CHE ERA INTERESSATO E NON POTEVA PARLARMI, POI HA CAMBIATO IDEA E HA CHIAMATO IL SUO SOCIO. COMPRERA' CAMPIONE. 30/03/23 MANDATA MAIL</v>
          </cell>
          <cell r="D376" t="str">
            <v>VIA LIBERAZIONE 4</v>
          </cell>
          <cell r="E376" t="str">
            <v>63074</v>
          </cell>
          <cell r="F376" t="str">
            <v>SAN BENEDETTO DEL TRONTO</v>
          </cell>
          <cell r="G376" t="str">
            <v>AP</v>
          </cell>
          <cell r="H376" t="str">
            <v>ITALIA</v>
          </cell>
          <cell r="J376" t="str">
            <v>0120010441</v>
          </cell>
          <cell r="M376" t="str">
            <v xml:space="preserve">SIG. DANIELE SPINOZZI </v>
          </cell>
          <cell r="N376" t="str">
            <v>0735 780409</v>
          </cell>
          <cell r="O376" t="str">
            <v xml:space="preserve">329 1216530 </v>
          </cell>
          <cell r="P376" t="str">
            <v>info@cabaporte.com</v>
          </cell>
          <cell r="R376" t="str">
            <v>BONIFICO BANCARIO, ALLA DATA DELLA NOSTRA CONFERMA D'ORDINE</v>
          </cell>
          <cell r="X376">
            <v>0.25</v>
          </cell>
          <cell r="Y376">
            <v>-0.04</v>
          </cell>
          <cell r="AB376">
            <v>0.25</v>
          </cell>
          <cell r="AC376">
            <v>0.25</v>
          </cell>
          <cell r="AD376">
            <v>0.25</v>
          </cell>
          <cell r="AE376">
            <v>0.25</v>
          </cell>
          <cell r="AF376">
            <v>0.25</v>
          </cell>
          <cell r="AG376">
            <v>0.25</v>
          </cell>
          <cell r="AH376">
            <v>0.25</v>
          </cell>
          <cell r="AI376">
            <v>0.25</v>
          </cell>
          <cell r="AJ376">
            <v>0.25</v>
          </cell>
          <cell r="AK376">
            <v>0.25</v>
          </cell>
          <cell r="AL376">
            <v>0.25</v>
          </cell>
          <cell r="AM376">
            <v>0.25</v>
          </cell>
          <cell r="AN376">
            <v>0.25</v>
          </cell>
          <cell r="AO376">
            <v>0.25</v>
          </cell>
          <cell r="AP376">
            <v>0.25</v>
          </cell>
          <cell r="AQ376">
            <v>0.25</v>
          </cell>
          <cell r="AR376">
            <v>0.25</v>
          </cell>
          <cell r="AS376">
            <v>0.25</v>
          </cell>
          <cell r="AT376">
            <v>-0.04</v>
          </cell>
          <cell r="AU376">
            <v>0.92</v>
          </cell>
          <cell r="AV376">
            <v>20</v>
          </cell>
          <cell r="AY376" t="str">
            <v/>
          </cell>
          <cell r="AZ376">
            <v>0.25</v>
          </cell>
          <cell r="BA376">
            <v>0.25</v>
          </cell>
        </row>
        <row r="377">
          <cell r="A377" t="str">
            <v xml:space="preserve">CACCO SERRAMENTI SNC </v>
          </cell>
          <cell r="D377" t="str">
            <v>VIA BELGIO, 7  Z.I.</v>
          </cell>
          <cell r="E377">
            <v>35127</v>
          </cell>
          <cell r="F377" t="str">
            <v>CAMIN</v>
          </cell>
          <cell r="G377" t="str">
            <v>PD</v>
          </cell>
          <cell r="H377" t="str">
            <v>ITALIA</v>
          </cell>
          <cell r="J377" t="str">
            <v>03380690283</v>
          </cell>
          <cell r="M377" t="str">
            <v>UFFICIO ACQUISTI</v>
          </cell>
          <cell r="N377" t="str">
            <v>049 760776</v>
          </cell>
          <cell r="P377" t="str">
            <v>info@serramenticacco.it</v>
          </cell>
          <cell r="R377" t="str">
            <v>BONIFICO BANCARIO, ALLA DATA DELLA NOSTRA CONFERMA D'ORDINE</v>
          </cell>
          <cell r="X377">
            <v>0.25</v>
          </cell>
          <cell r="Y377">
            <v>-0.04</v>
          </cell>
          <cell r="AB377">
            <v>0.25</v>
          </cell>
          <cell r="AC377">
            <v>0.25</v>
          </cell>
          <cell r="AD377">
            <v>0.25</v>
          </cell>
          <cell r="AE377">
            <v>0.25</v>
          </cell>
          <cell r="AF377">
            <v>0.25</v>
          </cell>
          <cell r="AG377">
            <v>0.25</v>
          </cell>
          <cell r="AH377">
            <v>0.25</v>
          </cell>
          <cell r="AI377">
            <v>0.25</v>
          </cell>
          <cell r="AJ377">
            <v>0.25</v>
          </cell>
          <cell r="AK377">
            <v>0.25</v>
          </cell>
          <cell r="AL377">
            <v>0.25</v>
          </cell>
          <cell r="AM377">
            <v>0.25</v>
          </cell>
          <cell r="AN377">
            <v>0.25</v>
          </cell>
          <cell r="AO377">
            <v>0.25</v>
          </cell>
          <cell r="AP377">
            <v>0.25</v>
          </cell>
          <cell r="AQ377">
            <v>0.25</v>
          </cell>
          <cell r="AR377">
            <v>0.25</v>
          </cell>
          <cell r="AS377">
            <v>0.25</v>
          </cell>
          <cell r="AT377">
            <v>-0.04</v>
          </cell>
          <cell r="AU377">
            <v>0.92</v>
          </cell>
          <cell r="AV377">
            <v>20</v>
          </cell>
          <cell r="AY377" t="str">
            <v/>
          </cell>
          <cell r="AZ377">
            <v>0.25</v>
          </cell>
          <cell r="BA377">
            <v>0.25</v>
          </cell>
        </row>
        <row r="378">
          <cell r="A378" t="str">
            <v>CADEDDU NICOLO'</v>
          </cell>
          <cell r="D378" t="str">
            <v>VIA S.MELE, 21/h</v>
          </cell>
          <cell r="E378" t="str">
            <v>09170</v>
          </cell>
          <cell r="F378" t="str">
            <v>ORISTANO</v>
          </cell>
          <cell r="G378" t="str">
            <v>OR</v>
          </cell>
          <cell r="H378" t="str">
            <v>ITALIA</v>
          </cell>
          <cell r="I378" t="str">
            <v>CDDNCL38S12C882H</v>
          </cell>
          <cell r="J378" t="str">
            <v>00054820950</v>
          </cell>
          <cell r="M378" t="str">
            <v>UFFICIO ACQUISTI</v>
          </cell>
          <cell r="N378" t="str">
            <v>0783 310050</v>
          </cell>
          <cell r="P378" t="str">
            <v>info@cadeddu.it</v>
          </cell>
          <cell r="R378" t="str">
            <v>BONIFICO BANCARIO, ALLA DATA DELLA NOSTRA CONFERMA D'ORDINE</v>
          </cell>
          <cell r="X378">
            <v>0.2</v>
          </cell>
          <cell r="Y378">
            <v>-0.04</v>
          </cell>
          <cell r="AB378">
            <v>0.2</v>
          </cell>
          <cell r="AC378">
            <v>0.2</v>
          </cell>
          <cell r="AD378">
            <v>0.2</v>
          </cell>
          <cell r="AE378">
            <v>0.2</v>
          </cell>
          <cell r="AF378">
            <v>0.2</v>
          </cell>
          <cell r="AG378">
            <v>0.2</v>
          </cell>
          <cell r="AH378">
            <v>0.2</v>
          </cell>
          <cell r="AI378">
            <v>0.2</v>
          </cell>
          <cell r="AJ378">
            <v>0.2</v>
          </cell>
          <cell r="AK378">
            <v>0.2</v>
          </cell>
          <cell r="AL378">
            <v>0.2</v>
          </cell>
          <cell r="AM378">
            <v>0.2</v>
          </cell>
          <cell r="AN378">
            <v>0.2</v>
          </cell>
          <cell r="AO378">
            <v>0.2</v>
          </cell>
          <cell r="AP378">
            <v>0.2</v>
          </cell>
          <cell r="AQ378">
            <v>0.2</v>
          </cell>
          <cell r="AR378">
            <v>0.2</v>
          </cell>
          <cell r="AS378">
            <v>0.2</v>
          </cell>
          <cell r="AT378">
            <v>-0.04</v>
          </cell>
          <cell r="AU378">
            <v>0.92</v>
          </cell>
          <cell r="AV378">
            <v>20</v>
          </cell>
          <cell r="AZ378">
            <v>0.2</v>
          </cell>
          <cell r="BA378">
            <v>0.2</v>
          </cell>
        </row>
        <row r="379">
          <cell r="A379" t="str">
            <v xml:space="preserve">CAFORIO PORTE E FINESTRE </v>
          </cell>
          <cell r="D379" t="str">
            <v>STRADA PROV. 95  C.DA POVERELLA</v>
          </cell>
          <cell r="E379">
            <v>74024</v>
          </cell>
          <cell r="F379" t="str">
            <v>MANDURIA</v>
          </cell>
          <cell r="G379" t="str">
            <v>TA</v>
          </cell>
          <cell r="H379" t="str">
            <v>ITALIA</v>
          </cell>
          <cell r="J379" t="str">
            <v>02640370736</v>
          </cell>
          <cell r="M379" t="str">
            <v>UFFICIO ACQUISTI</v>
          </cell>
          <cell r="O379" t="str">
            <v>345 1584603</v>
          </cell>
          <cell r="P379" t="str">
            <v>info@caforiosistemi.it</v>
          </cell>
          <cell r="R379" t="str">
            <v>BONIFICO BANCARIO, ALLA DATA DELLA NOSTRA CONFERMA D'ORDINE</v>
          </cell>
          <cell r="X379">
            <v>0.25</v>
          </cell>
          <cell r="Y379">
            <v>-0.04</v>
          </cell>
          <cell r="AB379">
            <v>0.25</v>
          </cell>
          <cell r="AC379">
            <v>0.25</v>
          </cell>
          <cell r="AD379">
            <v>0.25</v>
          </cell>
          <cell r="AE379">
            <v>0.25</v>
          </cell>
          <cell r="AF379">
            <v>0.25</v>
          </cell>
          <cell r="AG379">
            <v>0.25</v>
          </cell>
          <cell r="AH379">
            <v>0.25</v>
          </cell>
          <cell r="AI379">
            <v>0.25</v>
          </cell>
          <cell r="AJ379">
            <v>0.25</v>
          </cell>
          <cell r="AK379">
            <v>0.25</v>
          </cell>
          <cell r="AL379">
            <v>0.25</v>
          </cell>
          <cell r="AM379">
            <v>0.25</v>
          </cell>
          <cell r="AN379">
            <v>0.25</v>
          </cell>
          <cell r="AO379">
            <v>0.25</v>
          </cell>
          <cell r="AP379">
            <v>0.25</v>
          </cell>
          <cell r="AQ379">
            <v>0.25</v>
          </cell>
          <cell r="AR379">
            <v>0.25</v>
          </cell>
          <cell r="AS379">
            <v>0.25</v>
          </cell>
          <cell r="AT379">
            <v>-0.04</v>
          </cell>
          <cell r="AU379">
            <v>0.92</v>
          </cell>
          <cell r="AV379">
            <v>20</v>
          </cell>
          <cell r="AY379" t="str">
            <v/>
          </cell>
          <cell r="AZ379">
            <v>0.25</v>
          </cell>
          <cell r="BA379">
            <v>0.25</v>
          </cell>
        </row>
        <row r="380">
          <cell r="A380" t="str">
            <v>CAG CANALIZACIONES S.L.</v>
          </cell>
          <cell r="D380" t="str">
            <v>AVDA.DE DOMOSTIA,118 PARC 5 LOCAL 8S POLIG.BIDEBITARTE</v>
          </cell>
          <cell r="E380" t="str">
            <v>20115</v>
          </cell>
          <cell r="F380" t="str">
            <v>ASTIGARRAGA-GIPUZKOA</v>
          </cell>
          <cell r="H380" t="str">
            <v>SPAGNA</v>
          </cell>
          <cell r="J380" t="str">
            <v>ES-B20722625</v>
          </cell>
          <cell r="K380" t="str">
            <v>XXXXXXX</v>
          </cell>
          <cell r="M380" t="str">
            <v>UFFICIO ACQUISTI</v>
          </cell>
          <cell r="N380" t="str">
            <v xml:space="preserve">+34 943333303 </v>
          </cell>
          <cell r="P380" t="str">
            <v>p.serna@cgac.es</v>
          </cell>
          <cell r="R380" t="str">
            <v>TRANSFERENCIA BANCARIA, EN LA FECHA DE NUESTRA CONFIRMACIÓN DE PEDIDO</v>
          </cell>
          <cell r="X380">
            <v>0.2</v>
          </cell>
          <cell r="AB380">
            <v>0.2</v>
          </cell>
          <cell r="AC380">
            <v>0.2</v>
          </cell>
          <cell r="AD380">
            <v>0.2</v>
          </cell>
          <cell r="AE380">
            <v>0.2</v>
          </cell>
          <cell r="AF380">
            <v>0.2</v>
          </cell>
          <cell r="AG380">
            <v>0.2</v>
          </cell>
          <cell r="AH380">
            <v>0.2</v>
          </cell>
          <cell r="AI380">
            <v>0.2</v>
          </cell>
          <cell r="AJ380">
            <v>0.2</v>
          </cell>
          <cell r="AK380">
            <v>0.2</v>
          </cell>
          <cell r="AL380">
            <v>0.2</v>
          </cell>
          <cell r="AM380">
            <v>0.2</v>
          </cell>
          <cell r="AN380">
            <v>0.2</v>
          </cell>
          <cell r="AO380">
            <v>0.2</v>
          </cell>
          <cell r="AP380">
            <v>0.2</v>
          </cell>
          <cell r="AQ380">
            <v>0.2</v>
          </cell>
          <cell r="AR380">
            <v>0.2</v>
          </cell>
          <cell r="AS380">
            <v>0.2</v>
          </cell>
          <cell r="AU380">
            <v>0.87</v>
          </cell>
          <cell r="AV380">
            <v>20</v>
          </cell>
          <cell r="AZ380">
            <v>0.2</v>
          </cell>
          <cell r="BA380">
            <v>0.2</v>
          </cell>
          <cell r="BF380" t="str">
            <v>CLICK RAPID con espositore 26/01/2022 - MODERNA con espositore 26/01/2022 - MODI con espositore 10/03/2023 - GATE con espositore 10/03/2023 - CLOSE con espositore 10/03/2023</v>
          </cell>
        </row>
        <row r="381">
          <cell r="A381" t="str">
            <v>CAIVANO SERRAMENTI</v>
          </cell>
          <cell r="D381" t="str">
            <v>CONTRADA CAMPO DI DONEI</v>
          </cell>
          <cell r="E381" t="str">
            <v>85055</v>
          </cell>
          <cell r="F381" t="str">
            <v>PICERNO</v>
          </cell>
          <cell r="G381" t="str">
            <v>PZ</v>
          </cell>
          <cell r="H381" t="str">
            <v>ITALIA</v>
          </cell>
          <cell r="J381" t="str">
            <v>0166300762</v>
          </cell>
          <cell r="M381" t="str">
            <v>UFFICIO ACQUISTI</v>
          </cell>
          <cell r="N381" t="str">
            <v>0971 995287</v>
          </cell>
          <cell r="O381" t="str">
            <v>334 3158760- 320 2988558</v>
          </cell>
          <cell r="P381" t="str">
            <v>info@serramenticaivano.it</v>
          </cell>
          <cell r="R381" t="str">
            <v>BONIFICO BANCARIO, ALLA DATA DELLA NOSTRA CONFERMA D'ORDINE</v>
          </cell>
          <cell r="X381">
            <v>0.25</v>
          </cell>
          <cell r="Y381">
            <v>-0.04</v>
          </cell>
          <cell r="AB381">
            <v>0.25</v>
          </cell>
          <cell r="AC381">
            <v>0.25</v>
          </cell>
          <cell r="AD381">
            <v>0.25</v>
          </cell>
          <cell r="AE381">
            <v>0.25</v>
          </cell>
          <cell r="AF381">
            <v>0.25</v>
          </cell>
          <cell r="AG381">
            <v>0.25</v>
          </cell>
          <cell r="AH381">
            <v>0.25</v>
          </cell>
          <cell r="AI381">
            <v>0.25</v>
          </cell>
          <cell r="AJ381">
            <v>0.25</v>
          </cell>
          <cell r="AK381">
            <v>0.25</v>
          </cell>
          <cell r="AL381">
            <v>0.25</v>
          </cell>
          <cell r="AM381">
            <v>0.25</v>
          </cell>
          <cell r="AN381">
            <v>0.25</v>
          </cell>
          <cell r="AO381">
            <v>0.25</v>
          </cell>
          <cell r="AP381">
            <v>0.25</v>
          </cell>
          <cell r="AQ381">
            <v>0.25</v>
          </cell>
          <cell r="AR381">
            <v>0.25</v>
          </cell>
          <cell r="AS381">
            <v>0.25</v>
          </cell>
          <cell r="AT381">
            <v>-0.04</v>
          </cell>
          <cell r="AU381">
            <v>0.92</v>
          </cell>
          <cell r="AV381">
            <v>20</v>
          </cell>
          <cell r="AZ381">
            <v>0.25</v>
          </cell>
          <cell r="BA381">
            <v>0.25</v>
          </cell>
        </row>
        <row r="382">
          <cell r="A382" t="str">
            <v>CALABRESE DONATO</v>
          </cell>
          <cell r="D382" t="str">
            <v>VIA PESARO, 53</v>
          </cell>
          <cell r="E382">
            <v>73010</v>
          </cell>
          <cell r="F382" t="str">
            <v>CASTRIGNANO DEL CAPO</v>
          </cell>
          <cell r="G382" t="str">
            <v>LE</v>
          </cell>
          <cell r="H382" t="str">
            <v>ITALIA</v>
          </cell>
          <cell r="M382" t="str">
            <v>UFFICIO ACQUISTI</v>
          </cell>
          <cell r="O382" t="str">
            <v>379 1966169</v>
          </cell>
          <cell r="R382" t="str">
            <v>BONIFICO BANCARIO, ALLA DATA DELLA NOSTRA CONFERMA D'ORDINE</v>
          </cell>
          <cell r="X382">
            <v>0.25</v>
          </cell>
          <cell r="Y382">
            <v>-0.04</v>
          </cell>
          <cell r="AB382">
            <v>0.25</v>
          </cell>
          <cell r="AC382">
            <v>0.25</v>
          </cell>
          <cell r="AD382">
            <v>0.25</v>
          </cell>
          <cell r="AE382">
            <v>0.25</v>
          </cell>
          <cell r="AF382">
            <v>0.25</v>
          </cell>
          <cell r="AG382">
            <v>0.25</v>
          </cell>
          <cell r="AH382">
            <v>0.25</v>
          </cell>
          <cell r="AI382">
            <v>0.25</v>
          </cell>
          <cell r="AJ382">
            <v>0.25</v>
          </cell>
          <cell r="AK382">
            <v>0.25</v>
          </cell>
          <cell r="AL382">
            <v>0.25</v>
          </cell>
          <cell r="AM382">
            <v>0.25</v>
          </cell>
          <cell r="AN382">
            <v>0.25</v>
          </cell>
          <cell r="AO382">
            <v>0.25</v>
          </cell>
          <cell r="AP382">
            <v>0.25</v>
          </cell>
          <cell r="AQ382">
            <v>0.25</v>
          </cell>
          <cell r="AR382">
            <v>0.25</v>
          </cell>
          <cell r="AS382">
            <v>0.25</v>
          </cell>
          <cell r="AT382">
            <v>-0.04</v>
          </cell>
          <cell r="AU382">
            <v>0.92</v>
          </cell>
          <cell r="AV382">
            <v>20</v>
          </cell>
          <cell r="AZ382">
            <v>0.25</v>
          </cell>
          <cell r="BA382">
            <v>0.25</v>
          </cell>
        </row>
        <row r="383">
          <cell r="A383" t="str">
            <v>CALLEGARO SRL STEFANO SQUIZZATO</v>
          </cell>
          <cell r="D383" t="str">
            <v>VIA DEL SANTO, 229</v>
          </cell>
          <cell r="E383">
            <v>35010</v>
          </cell>
          <cell r="F383" t="str">
            <v>LIMENA</v>
          </cell>
          <cell r="G383" t="str">
            <v>PD</v>
          </cell>
          <cell r="H383" t="str">
            <v>ITALIA</v>
          </cell>
          <cell r="I383" t="str">
            <v>02010070288</v>
          </cell>
          <cell r="J383" t="str">
            <v>02010070288</v>
          </cell>
          <cell r="M383" t="str">
            <v>UFFICIO ACQUISTI</v>
          </cell>
          <cell r="N383" t="str">
            <v>049 8849257</v>
          </cell>
          <cell r="P383" t="str">
            <v>info@callegarosrl.it</v>
          </cell>
          <cell r="R383" t="str">
            <v>BONIFICO BANCARIO, ALLA DATA DELLA NOSTRA CONFERMA D'ORDINE</v>
          </cell>
          <cell r="X383">
            <v>0.25</v>
          </cell>
          <cell r="Y383">
            <v>-0.04</v>
          </cell>
          <cell r="AB383">
            <v>0.25</v>
          </cell>
          <cell r="AC383">
            <v>0.25</v>
          </cell>
          <cell r="AD383">
            <v>0.25</v>
          </cell>
          <cell r="AE383">
            <v>0.25</v>
          </cell>
          <cell r="AF383">
            <v>0.25</v>
          </cell>
          <cell r="AG383">
            <v>0.25</v>
          </cell>
          <cell r="AH383">
            <v>0.25</v>
          </cell>
          <cell r="AI383">
            <v>0.25</v>
          </cell>
          <cell r="AJ383">
            <v>0.25</v>
          </cell>
          <cell r="AK383">
            <v>0.25</v>
          </cell>
          <cell r="AL383">
            <v>0.25</v>
          </cell>
          <cell r="AM383">
            <v>0.25</v>
          </cell>
          <cell r="AN383">
            <v>0.25</v>
          </cell>
          <cell r="AO383">
            <v>0.25</v>
          </cell>
          <cell r="AP383">
            <v>0.25</v>
          </cell>
          <cell r="AQ383">
            <v>0.25</v>
          </cell>
          <cell r="AR383">
            <v>0.25</v>
          </cell>
          <cell r="AS383">
            <v>0.25</v>
          </cell>
          <cell r="AT383">
            <v>-0.04</v>
          </cell>
          <cell r="AU383">
            <v>0.92</v>
          </cell>
          <cell r="AV383">
            <v>20</v>
          </cell>
          <cell r="AY383" t="str">
            <v/>
          </cell>
          <cell r="AZ383">
            <v>0.25</v>
          </cell>
          <cell r="BA383">
            <v>0.25</v>
          </cell>
        </row>
        <row r="384">
          <cell r="A384" t="str">
            <v>CAMAL HOME SOLUTIONS</v>
          </cell>
          <cell r="D384" t="str">
            <v>VIA CA' MORO, 14</v>
          </cell>
          <cell r="E384">
            <v>35013</v>
          </cell>
          <cell r="F384" t="str">
            <v>CITTADELLA</v>
          </cell>
          <cell r="G384" t="str">
            <v>PD</v>
          </cell>
          <cell r="H384" t="str">
            <v>ITALIA</v>
          </cell>
          <cell r="M384" t="str">
            <v>UFFICIO ACQUISTI</v>
          </cell>
          <cell r="N384" t="str">
            <v>049 5973661</v>
          </cell>
          <cell r="P384" t="str">
            <v>info@camalserramenti.it</v>
          </cell>
          <cell r="R384" t="str">
            <v>BONIFICO BANCARIO, ALLA DATA DELLA NOSTRA CONFERMA D'ORDINE</v>
          </cell>
          <cell r="X384">
            <v>0.25</v>
          </cell>
          <cell r="Y384">
            <v>-0.04</v>
          </cell>
          <cell r="AB384">
            <v>0.25</v>
          </cell>
          <cell r="AC384">
            <v>0.25</v>
          </cell>
          <cell r="AD384">
            <v>0.25</v>
          </cell>
          <cell r="AE384">
            <v>0.25</v>
          </cell>
          <cell r="AF384">
            <v>0.25</v>
          </cell>
          <cell r="AG384">
            <v>0.25</v>
          </cell>
          <cell r="AH384">
            <v>0.25</v>
          </cell>
          <cell r="AI384">
            <v>0.25</v>
          </cell>
          <cell r="AJ384">
            <v>0.25</v>
          </cell>
          <cell r="AK384">
            <v>0.25</v>
          </cell>
          <cell r="AL384">
            <v>0.25</v>
          </cell>
          <cell r="AM384">
            <v>0.25</v>
          </cell>
          <cell r="AN384">
            <v>0.25</v>
          </cell>
          <cell r="AO384">
            <v>0.25</v>
          </cell>
          <cell r="AP384">
            <v>0.25</v>
          </cell>
          <cell r="AQ384">
            <v>0.25</v>
          </cell>
          <cell r="AR384">
            <v>0.25</v>
          </cell>
          <cell r="AS384">
            <v>0.25</v>
          </cell>
          <cell r="AT384">
            <v>-0.04</v>
          </cell>
          <cell r="AU384">
            <v>0.92</v>
          </cell>
          <cell r="AV384">
            <v>20</v>
          </cell>
          <cell r="AY384" t="str">
            <v/>
          </cell>
          <cell r="AZ384">
            <v>0.25</v>
          </cell>
          <cell r="BA384">
            <v>0.25</v>
          </cell>
        </row>
        <row r="385">
          <cell r="A385" t="str">
            <v>CAMERINO</v>
          </cell>
          <cell r="D385" t="str">
            <v>VIA ROTABILE CAPO NERO, 127</v>
          </cell>
          <cell r="E385">
            <v>18038</v>
          </cell>
          <cell r="F385" t="str">
            <v>COLDIRODI di SANREMO</v>
          </cell>
          <cell r="G385" t="str">
            <v>IM</v>
          </cell>
          <cell r="H385" t="str">
            <v>ITALIA</v>
          </cell>
          <cell r="M385" t="str">
            <v>UFFICIO ACQUISTI</v>
          </cell>
          <cell r="N385" t="str">
            <v>0184 670642</v>
          </cell>
          <cell r="P385" t="str">
            <v>info@camerinoserramenti.it</v>
          </cell>
          <cell r="R385" t="str">
            <v>BONIFICO BANCARIO, ALLA DATA DELLA NOSTRA CONFERMA D'ORDINE</v>
          </cell>
          <cell r="X385">
            <v>0.25</v>
          </cell>
          <cell r="Y385">
            <v>-0.04</v>
          </cell>
          <cell r="AB385">
            <v>0.25</v>
          </cell>
          <cell r="AC385">
            <v>0.25</v>
          </cell>
          <cell r="AD385">
            <v>0.25</v>
          </cell>
          <cell r="AE385">
            <v>0.25</v>
          </cell>
          <cell r="AF385">
            <v>0.25</v>
          </cell>
          <cell r="AG385">
            <v>0.25</v>
          </cell>
          <cell r="AH385">
            <v>0.25</v>
          </cell>
          <cell r="AI385">
            <v>0.25</v>
          </cell>
          <cell r="AJ385">
            <v>0.25</v>
          </cell>
          <cell r="AK385">
            <v>0.25</v>
          </cell>
          <cell r="AL385">
            <v>0.25</v>
          </cell>
          <cell r="AM385">
            <v>0.25</v>
          </cell>
          <cell r="AN385">
            <v>0.25</v>
          </cell>
          <cell r="AO385">
            <v>0.25</v>
          </cell>
          <cell r="AP385">
            <v>0.25</v>
          </cell>
          <cell r="AQ385">
            <v>0.25</v>
          </cell>
          <cell r="AR385">
            <v>0.25</v>
          </cell>
          <cell r="AS385">
            <v>0.25</v>
          </cell>
          <cell r="AT385">
            <v>-0.04</v>
          </cell>
          <cell r="AU385">
            <v>0.92</v>
          </cell>
          <cell r="AV385">
            <v>20</v>
          </cell>
          <cell r="AY385" t="str">
            <v/>
          </cell>
          <cell r="AZ385">
            <v>0.25</v>
          </cell>
          <cell r="BA385">
            <v>0.25</v>
          </cell>
        </row>
        <row r="386">
          <cell r="A386" t="str">
            <v xml:space="preserve">CAMIL SERRAMENTI </v>
          </cell>
          <cell r="D386" t="str">
            <v>VIA C.PRAMPOLINI, 6</v>
          </cell>
          <cell r="E386" t="str">
            <v>42049</v>
          </cell>
          <cell r="F386" t="str">
            <v>CALERNO</v>
          </cell>
          <cell r="G386" t="str">
            <v>RE</v>
          </cell>
          <cell r="H386" t="str">
            <v>ITALIA</v>
          </cell>
          <cell r="J386" t="str">
            <v>02839710353</v>
          </cell>
          <cell r="K386" t="str">
            <v>SUBM70N</v>
          </cell>
          <cell r="M386" t="str">
            <v>UFFICIO ACQUISTI</v>
          </cell>
          <cell r="O386" t="str">
            <v>Negozio 345 6823480  Alessandro 338 8079468</v>
          </cell>
          <cell r="P386" t="str">
            <v>camilserramenti@gmail.com</v>
          </cell>
          <cell r="R386" t="str">
            <v>BONIFICO BANCARIO, ALLA DATA DELLA NOSTRA CONFERMA D'ORDINE</v>
          </cell>
          <cell r="X386">
            <v>0.25</v>
          </cell>
          <cell r="Y386">
            <v>-0.04</v>
          </cell>
          <cell r="AB386">
            <v>0.25</v>
          </cell>
          <cell r="AC386">
            <v>0.25</v>
          </cell>
          <cell r="AD386">
            <v>0.25</v>
          </cell>
          <cell r="AE386">
            <v>0.25</v>
          </cell>
          <cell r="AF386">
            <v>0.25</v>
          </cell>
          <cell r="AG386">
            <v>0.25</v>
          </cell>
          <cell r="AH386">
            <v>0.25</v>
          </cell>
          <cell r="AI386">
            <v>0.25</v>
          </cell>
          <cell r="AJ386">
            <v>0.25</v>
          </cell>
          <cell r="AK386">
            <v>0.25</v>
          </cell>
          <cell r="AL386">
            <v>0.25</v>
          </cell>
          <cell r="AM386">
            <v>0.25</v>
          </cell>
          <cell r="AN386">
            <v>0.25</v>
          </cell>
          <cell r="AO386">
            <v>0.25</v>
          </cell>
          <cell r="AP386">
            <v>0.25</v>
          </cell>
          <cell r="AQ386">
            <v>0.25</v>
          </cell>
          <cell r="AR386">
            <v>0.25</v>
          </cell>
          <cell r="AS386">
            <v>0.25</v>
          </cell>
          <cell r="AT386">
            <v>-0.04</v>
          </cell>
          <cell r="AU386">
            <v>0.92</v>
          </cell>
          <cell r="AV386">
            <v>20</v>
          </cell>
          <cell r="AY386" t="str">
            <v/>
          </cell>
          <cell r="AZ386">
            <v>0.25</v>
          </cell>
          <cell r="BA386">
            <v>0.25</v>
          </cell>
        </row>
        <row r="387">
          <cell r="A387" t="str">
            <v>CAMMISULI GIUSEPPE</v>
          </cell>
          <cell r="D387" t="str">
            <v>CONTRADA COZZI SP.PACHINO KM 0.800</v>
          </cell>
          <cell r="E387" t="str">
            <v>96018</v>
          </cell>
          <cell r="F387" t="str">
            <v>PACHINO</v>
          </cell>
          <cell r="G387" t="str">
            <v>SR</v>
          </cell>
          <cell r="H387" t="str">
            <v>ITALIA</v>
          </cell>
          <cell r="M387" t="str">
            <v>UFFICIO ACQUISTI</v>
          </cell>
          <cell r="P387" t="str">
            <v>cammisuli@dinatale.it</v>
          </cell>
          <cell r="R387" t="str">
            <v>BONIFICO BANCARIO, ALLA DATA DELLA NOSTRA CONFERMA D'ORDINE</v>
          </cell>
          <cell r="X387">
            <v>0.2</v>
          </cell>
          <cell r="Y387">
            <v>-0.04</v>
          </cell>
          <cell r="AB387">
            <v>0.2</v>
          </cell>
          <cell r="AC387">
            <v>0.2</v>
          </cell>
          <cell r="AD387">
            <v>0.2</v>
          </cell>
          <cell r="AE387">
            <v>0.2</v>
          </cell>
          <cell r="AF387">
            <v>0.2</v>
          </cell>
          <cell r="AG387">
            <v>0.2</v>
          </cell>
          <cell r="AH387">
            <v>0.2</v>
          </cell>
          <cell r="AI387">
            <v>0.2</v>
          </cell>
          <cell r="AJ387">
            <v>0.2</v>
          </cell>
          <cell r="AK387">
            <v>0.2</v>
          </cell>
          <cell r="AL387">
            <v>0.2</v>
          </cell>
          <cell r="AM387">
            <v>0.2</v>
          </cell>
          <cell r="AN387">
            <v>0.2</v>
          </cell>
          <cell r="AO387">
            <v>0.2</v>
          </cell>
          <cell r="AP387">
            <v>0.2</v>
          </cell>
          <cell r="AQ387">
            <v>0.2</v>
          </cell>
          <cell r="AR387">
            <v>0.2</v>
          </cell>
          <cell r="AS387">
            <v>0.2</v>
          </cell>
          <cell r="AT387">
            <v>-0.04</v>
          </cell>
          <cell r="AU387">
            <v>0.92</v>
          </cell>
          <cell r="AV387">
            <v>20</v>
          </cell>
          <cell r="AZ387">
            <v>0.2</v>
          </cell>
          <cell r="BA387">
            <v>0.2</v>
          </cell>
        </row>
        <row r="388">
          <cell r="A388" t="str">
            <v>CAMUFFO DI CAMUFFO MIRKO</v>
          </cell>
          <cell r="D388" t="str">
            <v>VIA SERRAVALLE 10/B/R</v>
          </cell>
          <cell r="E388" t="str">
            <v>15066</v>
          </cell>
          <cell r="F388" t="str">
            <v>GAVI</v>
          </cell>
          <cell r="G388" t="str">
            <v>AL</v>
          </cell>
          <cell r="H388" t="str">
            <v>ITALIA</v>
          </cell>
          <cell r="I388" t="str">
            <v>CMFMRK78B08A436B</v>
          </cell>
          <cell r="J388" t="str">
            <v>02277890063</v>
          </cell>
          <cell r="K388" t="str">
            <v>M5UXCR1</v>
          </cell>
          <cell r="M388" t="str">
            <v>UFFICIO ACQUISTI</v>
          </cell>
          <cell r="N388" t="str">
            <v>0143 643186</v>
          </cell>
          <cell r="P388" t="str">
            <v>info@camuffocarpenteria.it</v>
          </cell>
          <cell r="R388" t="str">
            <v>BONIFICO BANCARIO, ALLA DATA DELLA NOSTRA CONFERMA D'ORDINE</v>
          </cell>
          <cell r="X388">
            <v>0.25</v>
          </cell>
          <cell r="Y388">
            <v>-0.04</v>
          </cell>
          <cell r="AB388">
            <v>0.25</v>
          </cell>
          <cell r="AC388">
            <v>0.25</v>
          </cell>
          <cell r="AD388">
            <v>0.25</v>
          </cell>
          <cell r="AE388">
            <v>0.25</v>
          </cell>
          <cell r="AF388">
            <v>0.25</v>
          </cell>
          <cell r="AG388">
            <v>0.25</v>
          </cell>
          <cell r="AH388">
            <v>0.25</v>
          </cell>
          <cell r="AI388">
            <v>0.25</v>
          </cell>
          <cell r="AJ388">
            <v>0.25</v>
          </cell>
          <cell r="AK388">
            <v>0.25</v>
          </cell>
          <cell r="AL388">
            <v>0.25</v>
          </cell>
          <cell r="AM388">
            <v>0.25</v>
          </cell>
          <cell r="AN388">
            <v>0.25</v>
          </cell>
          <cell r="AO388">
            <v>0.25</v>
          </cell>
          <cell r="AP388">
            <v>0.25</v>
          </cell>
          <cell r="AQ388">
            <v>0.25</v>
          </cell>
          <cell r="AR388">
            <v>0.25</v>
          </cell>
          <cell r="AS388">
            <v>0.25</v>
          </cell>
          <cell r="AT388">
            <v>-0.04</v>
          </cell>
          <cell r="AU388">
            <v>0.92</v>
          </cell>
          <cell r="AV388">
            <v>20</v>
          </cell>
          <cell r="AY388" t="str">
            <v/>
          </cell>
          <cell r="AZ388">
            <v>0.25</v>
          </cell>
          <cell r="BA388">
            <v>0.25</v>
          </cell>
          <cell r="BF388" t="str">
            <v>CLICK RAPID con carpenteria07/01/2021</v>
          </cell>
        </row>
        <row r="389">
          <cell r="A389" t="str">
            <v>CANCILLERI INFISSI</v>
          </cell>
          <cell r="E389" t="str">
            <v>91022</v>
          </cell>
          <cell r="F389" t="str">
            <v>CASTELVETRANO</v>
          </cell>
          <cell r="G389" t="str">
            <v>TP</v>
          </cell>
          <cell r="H389" t="str">
            <v>ITALIA</v>
          </cell>
          <cell r="M389" t="str">
            <v>UFFICIO ACQUISTI</v>
          </cell>
          <cell r="O389" t="str">
            <v>339 1862731</v>
          </cell>
          <cell r="P389" t="str">
            <v>peppecancilleri@gmail.com</v>
          </cell>
          <cell r="R389" t="str">
            <v>BONIFICO BANCARIO, ALLA DATA DELLA NOSTRA CONFERMA D'ORDINE</v>
          </cell>
          <cell r="X389">
            <v>0.25</v>
          </cell>
          <cell r="Y389">
            <v>-0.04</v>
          </cell>
          <cell r="AB389">
            <v>0.25</v>
          </cell>
          <cell r="AC389">
            <v>0.25</v>
          </cell>
          <cell r="AD389">
            <v>0.25</v>
          </cell>
          <cell r="AE389">
            <v>0.25</v>
          </cell>
          <cell r="AF389">
            <v>0.25</v>
          </cell>
          <cell r="AG389">
            <v>0.25</v>
          </cell>
          <cell r="AH389">
            <v>0.25</v>
          </cell>
          <cell r="AI389">
            <v>0.25</v>
          </cell>
          <cell r="AJ389">
            <v>0.25</v>
          </cell>
          <cell r="AK389">
            <v>0.25</v>
          </cell>
          <cell r="AL389">
            <v>0.25</v>
          </cell>
          <cell r="AM389">
            <v>0.25</v>
          </cell>
          <cell r="AN389">
            <v>0.25</v>
          </cell>
          <cell r="AO389">
            <v>0.25</v>
          </cell>
          <cell r="AP389">
            <v>0.25</v>
          </cell>
          <cell r="AQ389">
            <v>0.25</v>
          </cell>
          <cell r="AR389">
            <v>0.25</v>
          </cell>
          <cell r="AS389">
            <v>0.25</v>
          </cell>
          <cell r="AT389">
            <v>-0.04</v>
          </cell>
          <cell r="AU389">
            <v>0.92</v>
          </cell>
          <cell r="AV389">
            <v>20</v>
          </cell>
          <cell r="AY389" t="str">
            <v/>
          </cell>
          <cell r="AZ389">
            <v>0.25</v>
          </cell>
          <cell r="BA389">
            <v>0.25</v>
          </cell>
        </row>
        <row r="390">
          <cell r="A390" t="str">
            <v>CANEPA SERRAMENTI DI ROBERTO ZACCONE &amp; C. S.N.C.</v>
          </cell>
          <cell r="C390" t="str">
            <v>AL4</v>
          </cell>
          <cell r="D390" t="str">
            <v>VIA CIRCONVALAZIONE, 84</v>
          </cell>
          <cell r="E390">
            <v>15011</v>
          </cell>
          <cell r="F390" t="str">
            <v>ACQUI TERME</v>
          </cell>
          <cell r="G390" t="str">
            <v>AL</v>
          </cell>
          <cell r="H390" t="str">
            <v>ITALIA</v>
          </cell>
          <cell r="I390" t="str">
            <v>02419050063</v>
          </cell>
          <cell r="J390" t="str">
            <v>02419050063</v>
          </cell>
          <cell r="K390" t="str">
            <v>X2PH38J</v>
          </cell>
          <cell r="M390" t="str">
            <v>UFFICIO ACQUISTI</v>
          </cell>
          <cell r="N390" t="str">
            <v>0144 323982</v>
          </cell>
          <cell r="P390" t="str">
            <v>info@canepaserramenti.it</v>
          </cell>
          <cell r="R390" t="str">
            <v>BONIFICO BANCARIO, ALLA DATA DELLA NOSTRA CONFERMA D'ORDINE</v>
          </cell>
          <cell r="X390">
            <v>0.25</v>
          </cell>
          <cell r="Y390">
            <v>-0.04</v>
          </cell>
          <cell r="Z390">
            <v>0.02</v>
          </cell>
          <cell r="AB390">
            <v>0.25</v>
          </cell>
          <cell r="AC390">
            <v>0.25</v>
          </cell>
          <cell r="AD390">
            <v>0.25</v>
          </cell>
          <cell r="AE390">
            <v>0.25</v>
          </cell>
          <cell r="AF390">
            <v>0.25</v>
          </cell>
          <cell r="AG390">
            <v>0.25</v>
          </cell>
          <cell r="AH390">
            <v>0.25</v>
          </cell>
          <cell r="AI390">
            <v>0.25</v>
          </cell>
          <cell r="AJ390">
            <v>0.25</v>
          </cell>
          <cell r="AK390">
            <v>0.25</v>
          </cell>
          <cell r="AL390">
            <v>0.25</v>
          </cell>
          <cell r="AM390">
            <v>0.25</v>
          </cell>
          <cell r="AN390">
            <v>0.25</v>
          </cell>
          <cell r="AO390">
            <v>0.25</v>
          </cell>
          <cell r="AP390">
            <v>0.25</v>
          </cell>
          <cell r="AQ390">
            <v>0.25</v>
          </cell>
          <cell r="AR390">
            <v>0.25</v>
          </cell>
          <cell r="AS390">
            <v>0.25</v>
          </cell>
          <cell r="AT390">
            <v>-0.04</v>
          </cell>
          <cell r="AU390">
            <v>0.92</v>
          </cell>
          <cell r="AV390">
            <v>20</v>
          </cell>
          <cell r="AY390" t="str">
            <v/>
          </cell>
          <cell r="AZ390">
            <v>0.25</v>
          </cell>
          <cell r="BA390">
            <v>0.25</v>
          </cell>
          <cell r="BF390" t="str">
            <v>CLICK RAPID con carpenteria06/12/2019</v>
          </cell>
        </row>
        <row r="391">
          <cell r="A391" t="str">
            <v>CANGEMI SERRAMENTI SRL DI PIPPO CANGEMI</v>
          </cell>
          <cell r="D391" t="str">
            <v>CONTRADA PASSO GIARDINO SNC</v>
          </cell>
          <cell r="E391">
            <v>98077</v>
          </cell>
          <cell r="F391" t="str">
            <v>S. STEFANO DI CAMASTRA</v>
          </cell>
          <cell r="G391" t="str">
            <v>ME</v>
          </cell>
          <cell r="H391" t="str">
            <v>ITALIA</v>
          </cell>
          <cell r="J391" t="str">
            <v>03401850833</v>
          </cell>
          <cell r="K391" t="str">
            <v>E06UCUD</v>
          </cell>
          <cell r="M391" t="str">
            <v>UFFICIO ACQUISTI</v>
          </cell>
          <cell r="N391" t="str">
            <v>340 2272999</v>
          </cell>
          <cell r="O391" t="str">
            <v>334 7512953</v>
          </cell>
          <cell r="P391" t="str">
            <v>pippocangemi@libero.it</v>
          </cell>
          <cell r="R391" t="str">
            <v>BONIFICO BANCARIO, ALLA DATA DELLA NOSTRA CONFERMA D'ORDINE</v>
          </cell>
          <cell r="X391">
            <v>0.25</v>
          </cell>
          <cell r="Y391">
            <v>-0.04</v>
          </cell>
          <cell r="AB391">
            <v>0.25</v>
          </cell>
          <cell r="AC391">
            <v>0.25</v>
          </cell>
          <cell r="AD391">
            <v>0.25</v>
          </cell>
          <cell r="AE391">
            <v>0.25</v>
          </cell>
          <cell r="AF391">
            <v>0.25</v>
          </cell>
          <cell r="AG391">
            <v>0.25</v>
          </cell>
          <cell r="AH391">
            <v>0.25</v>
          </cell>
          <cell r="AI391">
            <v>0.25</v>
          </cell>
          <cell r="AJ391">
            <v>0.25</v>
          </cell>
          <cell r="AK391">
            <v>0.25</v>
          </cell>
          <cell r="AL391">
            <v>0.25</v>
          </cell>
          <cell r="AM391">
            <v>0.25</v>
          </cell>
          <cell r="AN391">
            <v>0.25</v>
          </cell>
          <cell r="AO391">
            <v>0.25</v>
          </cell>
          <cell r="AP391">
            <v>0.25</v>
          </cell>
          <cell r="AQ391">
            <v>0.25</v>
          </cell>
          <cell r="AR391">
            <v>0.25</v>
          </cell>
          <cell r="AS391">
            <v>0.25</v>
          </cell>
          <cell r="AT391">
            <v>-0.04</v>
          </cell>
          <cell r="AU391">
            <v>0.92</v>
          </cell>
          <cell r="AV391">
            <v>20</v>
          </cell>
          <cell r="AY391" t="str">
            <v/>
          </cell>
          <cell r="AZ391">
            <v>0.25</v>
          </cell>
          <cell r="BA391">
            <v>0.25</v>
          </cell>
        </row>
        <row r="392">
          <cell r="A392" t="str">
            <v>CANTORO INFISSI DI CANTORO GIUSEPPE</v>
          </cell>
          <cell r="D392" t="str">
            <v>VIALE MAGNA GRECIA, 193</v>
          </cell>
          <cell r="E392">
            <v>74121</v>
          </cell>
          <cell r="F392" t="str">
            <v>TARANTO</v>
          </cell>
          <cell r="G392" t="str">
            <v>TA</v>
          </cell>
          <cell r="H392" t="str">
            <v>ITALIA</v>
          </cell>
          <cell r="J392" t="str">
            <v>01767220732</v>
          </cell>
          <cell r="M392" t="str">
            <v>UFFICIO ACQUISTI</v>
          </cell>
          <cell r="N392" t="str">
            <v>099 7351579</v>
          </cell>
          <cell r="O392" t="str">
            <v>348 9600946</v>
          </cell>
          <cell r="P392" t="str">
            <v>cantoroinfissitaranto@gmail.com</v>
          </cell>
          <cell r="R392" t="str">
            <v>BONIFICO BANCARIO, ALLA DATA DELLA NOSTRA CONFERMA D'ORDINE</v>
          </cell>
          <cell r="X392">
            <v>0.25</v>
          </cell>
          <cell r="Y392">
            <v>-0.04</v>
          </cell>
          <cell r="AB392">
            <v>0.25</v>
          </cell>
          <cell r="AC392">
            <v>0.25</v>
          </cell>
          <cell r="AD392">
            <v>0.25</v>
          </cell>
          <cell r="AE392">
            <v>0.25</v>
          </cell>
          <cell r="AF392">
            <v>0.25</v>
          </cell>
          <cell r="AG392">
            <v>0.25</v>
          </cell>
          <cell r="AH392">
            <v>0.25</v>
          </cell>
          <cell r="AI392">
            <v>0.25</v>
          </cell>
          <cell r="AJ392">
            <v>0.25</v>
          </cell>
          <cell r="AK392">
            <v>0.25</v>
          </cell>
          <cell r="AL392">
            <v>0.25</v>
          </cell>
          <cell r="AM392">
            <v>0.25</v>
          </cell>
          <cell r="AN392">
            <v>0.25</v>
          </cell>
          <cell r="AO392">
            <v>0.25</v>
          </cell>
          <cell r="AP392">
            <v>0.25</v>
          </cell>
          <cell r="AQ392">
            <v>0.25</v>
          </cell>
          <cell r="AR392">
            <v>0.25</v>
          </cell>
          <cell r="AS392">
            <v>0.25</v>
          </cell>
          <cell r="AT392">
            <v>-0.04</v>
          </cell>
          <cell r="AU392">
            <v>0.92</v>
          </cell>
          <cell r="AV392">
            <v>20</v>
          </cell>
          <cell r="AY392" t="str">
            <v/>
          </cell>
          <cell r="AZ392">
            <v>0.25</v>
          </cell>
          <cell r="BA392">
            <v>0.25</v>
          </cell>
        </row>
        <row r="393">
          <cell r="A393" t="str">
            <v>CAPILUPPI DESIGN OKNOPLAST MANTOVA</v>
          </cell>
          <cell r="D393" t="str">
            <v>VIA VIRGILIO, 37 A</v>
          </cell>
          <cell r="E393">
            <v>46047</v>
          </cell>
          <cell r="F393" t="str">
            <v>PORTO MANTOVANO</v>
          </cell>
          <cell r="G393" t="str">
            <v>MN</v>
          </cell>
          <cell r="H393" t="str">
            <v>ITALIA</v>
          </cell>
          <cell r="M393" t="str">
            <v>UFFICIO ACQUISTI</v>
          </cell>
          <cell r="N393" t="str">
            <v>0376 391426</v>
          </cell>
          <cell r="O393" t="str">
            <v>388 8696907</v>
          </cell>
          <cell r="P393" t="str">
            <v>giorgio@capiluppidesign.it</v>
          </cell>
          <cell r="R393" t="str">
            <v>BONIFICO BANCARIO, ALLA DATA DELLA NOSTRA CONFERMA D'ORDINE</v>
          </cell>
          <cell r="X393">
            <v>0.25</v>
          </cell>
          <cell r="Y393">
            <v>-0.04</v>
          </cell>
          <cell r="AB393">
            <v>0.25</v>
          </cell>
          <cell r="AC393">
            <v>0.25</v>
          </cell>
          <cell r="AD393">
            <v>0.25</v>
          </cell>
          <cell r="AE393">
            <v>0.25</v>
          </cell>
          <cell r="AF393">
            <v>0.25</v>
          </cell>
          <cell r="AG393">
            <v>0.25</v>
          </cell>
          <cell r="AH393">
            <v>0.25</v>
          </cell>
          <cell r="AI393">
            <v>0.25</v>
          </cell>
          <cell r="AJ393">
            <v>0.25</v>
          </cell>
          <cell r="AK393">
            <v>0.25</v>
          </cell>
          <cell r="AL393">
            <v>0.25</v>
          </cell>
          <cell r="AM393">
            <v>0.25</v>
          </cell>
          <cell r="AN393">
            <v>0.25</v>
          </cell>
          <cell r="AO393">
            <v>0.25</v>
          </cell>
          <cell r="AP393">
            <v>0.25</v>
          </cell>
          <cell r="AQ393">
            <v>0.25</v>
          </cell>
          <cell r="AR393">
            <v>0.25</v>
          </cell>
          <cell r="AS393">
            <v>0.25</v>
          </cell>
          <cell r="AT393">
            <v>-0.04</v>
          </cell>
          <cell r="AU393">
            <v>0.92</v>
          </cell>
          <cell r="AV393">
            <v>20</v>
          </cell>
          <cell r="AY393" t="str">
            <v/>
          </cell>
          <cell r="AZ393">
            <v>0.25</v>
          </cell>
          <cell r="BA393">
            <v>0.25</v>
          </cell>
        </row>
        <row r="394">
          <cell r="A394" t="str">
            <v>CAPOFERRI SERRAMENTI SPA</v>
          </cell>
          <cell r="D394" t="str">
            <v>VIA CIVIDINI, 20</v>
          </cell>
          <cell r="E394" t="str">
            <v>24060</v>
          </cell>
          <cell r="F394" t="str">
            <v>ADRARA SAN MARTINO</v>
          </cell>
          <cell r="G394" t="str">
            <v>BS</v>
          </cell>
          <cell r="H394" t="str">
            <v>ITALIA</v>
          </cell>
          <cell r="M394" t="str">
            <v>UFFICIO ACQUISTI</v>
          </cell>
          <cell r="N394" t="str">
            <v>035 934074</v>
          </cell>
          <cell r="P394" t="str">
            <v>info@capoferri.it</v>
          </cell>
          <cell r="R394" t="str">
            <v>BONIFICO BANCARIO, ALLA DATA DELLA NOSTRA CONFERMA D'ORDINE</v>
          </cell>
          <cell r="Y394">
            <v>-0.04</v>
          </cell>
          <cell r="AT394">
            <v>-0.04</v>
          </cell>
          <cell r="AV394">
            <v>20</v>
          </cell>
          <cell r="AZ394">
            <v>0</v>
          </cell>
          <cell r="BA394">
            <v>0</v>
          </cell>
        </row>
        <row r="395">
          <cell r="A395" t="str">
            <v>CAPPADONNA PIETRO</v>
          </cell>
          <cell r="D395" t="str">
            <v xml:space="preserve">VIA BRESCIANA </v>
          </cell>
          <cell r="E395">
            <v>91022</v>
          </cell>
          <cell r="F395" t="str">
            <v>CASTELVETRANO</v>
          </cell>
          <cell r="G395" t="str">
            <v>TP</v>
          </cell>
          <cell r="H395" t="str">
            <v>ITALIA</v>
          </cell>
          <cell r="I395" t="str">
            <v>CPPPTR69H05C286X</v>
          </cell>
          <cell r="J395" t="str">
            <v>02017960812</v>
          </cell>
          <cell r="K395" t="str">
            <v>HRRH6B9</v>
          </cell>
          <cell r="M395" t="str">
            <v>UFFICIO ACQUISTI</v>
          </cell>
          <cell r="N395" t="str">
            <v>0924 904241</v>
          </cell>
          <cell r="P395" t="str">
            <v>cappadonna.pietro@alice.it</v>
          </cell>
          <cell r="R395" t="str">
            <v>BONIFICO BANCARIO, ALLA DATA DELLA NOSTRA CONFERMA D'ORDINE</v>
          </cell>
          <cell r="X395">
            <v>0.25</v>
          </cell>
          <cell r="Y395">
            <v>-0.04</v>
          </cell>
          <cell r="AB395">
            <v>0.25</v>
          </cell>
          <cell r="AC395">
            <v>0.25</v>
          </cell>
          <cell r="AD395">
            <v>0.25</v>
          </cell>
          <cell r="AE395">
            <v>0.25</v>
          </cell>
          <cell r="AF395">
            <v>0.25</v>
          </cell>
          <cell r="AG395">
            <v>0.25</v>
          </cell>
          <cell r="AH395">
            <v>0.25</v>
          </cell>
          <cell r="AI395">
            <v>0.25</v>
          </cell>
          <cell r="AJ395">
            <v>0.25</v>
          </cell>
          <cell r="AK395">
            <v>0.25</v>
          </cell>
          <cell r="AL395">
            <v>0.25</v>
          </cell>
          <cell r="AM395">
            <v>0.25</v>
          </cell>
          <cell r="AN395">
            <v>0.25</v>
          </cell>
          <cell r="AO395">
            <v>0.25</v>
          </cell>
          <cell r="AP395">
            <v>0.25</v>
          </cell>
          <cell r="AQ395">
            <v>0.25</v>
          </cell>
          <cell r="AR395">
            <v>0.25</v>
          </cell>
          <cell r="AS395">
            <v>0.25</v>
          </cell>
          <cell r="AT395">
            <v>-0.04</v>
          </cell>
          <cell r="AU395">
            <v>0.92</v>
          </cell>
          <cell r="AV395">
            <v>20</v>
          </cell>
          <cell r="AZ395">
            <v>0.25</v>
          </cell>
          <cell r="BA395">
            <v>0.25</v>
          </cell>
          <cell r="BF395" t="str">
            <v>CLICK RAPID con carpenteria 24/09/2020</v>
          </cell>
        </row>
        <row r="396">
          <cell r="A396" t="str">
            <v>CARA FRANCESCO DEI F.LLI CARA S.N.C.</v>
          </cell>
          <cell r="D396" t="str">
            <v>VIA PROVINCIALE GALLINA -  ARMO, 70</v>
          </cell>
          <cell r="E396">
            <v>89131</v>
          </cell>
          <cell r="F396" t="str">
            <v>REGGIO CALABRIA</v>
          </cell>
          <cell r="G396" t="str">
            <v>RC</v>
          </cell>
          <cell r="H396" t="str">
            <v>ITALIA</v>
          </cell>
          <cell r="J396" t="str">
            <v>02353720804</v>
          </cell>
          <cell r="M396" t="str">
            <v>UFFICIO ACQUISTI</v>
          </cell>
          <cell r="N396" t="str">
            <v>0965 682551</v>
          </cell>
          <cell r="P396" t="str">
            <v>cara@dielnet.it</v>
          </cell>
          <cell r="R396" t="str">
            <v>BONIFICO BANCARIO, ALLA DATA DELLA NOSTRA CONFERMA D'ORDINE</v>
          </cell>
          <cell r="X396">
            <v>0.25</v>
          </cell>
          <cell r="Y396">
            <v>-0.04</v>
          </cell>
          <cell r="AB396">
            <v>0.25</v>
          </cell>
          <cell r="AC396">
            <v>0.25</v>
          </cell>
          <cell r="AD396">
            <v>0.25</v>
          </cell>
          <cell r="AE396">
            <v>0.25</v>
          </cell>
          <cell r="AF396">
            <v>0.25</v>
          </cell>
          <cell r="AG396">
            <v>0.25</v>
          </cell>
          <cell r="AH396">
            <v>0.25</v>
          </cell>
          <cell r="AI396">
            <v>0.25</v>
          </cell>
          <cell r="AJ396">
            <v>0.25</v>
          </cell>
          <cell r="AK396">
            <v>0.25</v>
          </cell>
          <cell r="AL396">
            <v>0.25</v>
          </cell>
          <cell r="AM396">
            <v>0.25</v>
          </cell>
          <cell r="AN396">
            <v>0.25</v>
          </cell>
          <cell r="AO396">
            <v>0.25</v>
          </cell>
          <cell r="AP396">
            <v>0.25</v>
          </cell>
          <cell r="AQ396">
            <v>0.25</v>
          </cell>
          <cell r="AR396">
            <v>0.25</v>
          </cell>
          <cell r="AS396">
            <v>0.25</v>
          </cell>
          <cell r="AT396">
            <v>-0.04</v>
          </cell>
          <cell r="AU396">
            <v>0.92</v>
          </cell>
          <cell r="AV396">
            <v>20</v>
          </cell>
          <cell r="AW396" t="str">
            <v>PIETRO OLIVADOTI</v>
          </cell>
          <cell r="AX396">
            <v>0.95</v>
          </cell>
          <cell r="AY396" t="str">
            <v/>
          </cell>
          <cell r="AZ396">
            <v>0.25</v>
          </cell>
          <cell r="BA396">
            <v>0.25</v>
          </cell>
        </row>
        <row r="397">
          <cell r="A397" t="str">
            <v>CARDIA E LOI SNC</v>
          </cell>
          <cell r="B397" t="str">
            <v>SOLO BIGLIETTO DA VISITA  SE LE FA SOLO CON LE SPONDE DA CAMION</v>
          </cell>
          <cell r="D397" t="str">
            <v>VIA LOGUDORO, 2 ZONA INDUSTRIALE</v>
          </cell>
          <cell r="E397" t="str">
            <v>09049</v>
          </cell>
          <cell r="F397" t="str">
            <v>VILLASIMIUS</v>
          </cell>
          <cell r="G397" t="str">
            <v>CA</v>
          </cell>
          <cell r="H397" t="str">
            <v>ITALIA</v>
          </cell>
          <cell r="J397" t="str">
            <v>01276580923</v>
          </cell>
          <cell r="M397" t="str">
            <v>UFFICIO ACQUISTI</v>
          </cell>
          <cell r="N397" t="str">
            <v>070 791110</v>
          </cell>
          <cell r="O397" t="str">
            <v>373 7161337 GIULIO</v>
          </cell>
          <cell r="P397" t="str">
            <v>infocardiaeloi@gmail.com</v>
          </cell>
          <cell r="R397" t="str">
            <v>BONIFICO BANCARIO, ALLA DATA DELLA NOSTRA CONFERMA D'ORDINE</v>
          </cell>
          <cell r="X397">
            <v>0.25</v>
          </cell>
          <cell r="Y397">
            <v>-0.04</v>
          </cell>
          <cell r="AB397">
            <v>0.25</v>
          </cell>
          <cell r="AC397">
            <v>0.25</v>
          </cell>
          <cell r="AD397">
            <v>0.25</v>
          </cell>
          <cell r="AE397">
            <v>0.25</v>
          </cell>
          <cell r="AF397">
            <v>0.25</v>
          </cell>
          <cell r="AG397">
            <v>0.25</v>
          </cell>
          <cell r="AH397">
            <v>0.25</v>
          </cell>
          <cell r="AI397">
            <v>0.25</v>
          </cell>
          <cell r="AJ397">
            <v>0.25</v>
          </cell>
          <cell r="AK397">
            <v>0.25</v>
          </cell>
          <cell r="AL397">
            <v>0.25</v>
          </cell>
          <cell r="AM397">
            <v>0.25</v>
          </cell>
          <cell r="AN397">
            <v>0.25</v>
          </cell>
          <cell r="AO397">
            <v>0.25</v>
          </cell>
          <cell r="AP397">
            <v>0.25</v>
          </cell>
          <cell r="AQ397">
            <v>0.25</v>
          </cell>
          <cell r="AR397">
            <v>0.25</v>
          </cell>
          <cell r="AS397">
            <v>0.25</v>
          </cell>
          <cell r="AT397">
            <v>-0.04</v>
          </cell>
          <cell r="AU397">
            <v>0.92</v>
          </cell>
          <cell r="AV397">
            <v>20</v>
          </cell>
          <cell r="AZ397">
            <v>0.25</v>
          </cell>
          <cell r="BA397">
            <v>0.25</v>
          </cell>
        </row>
        <row r="398">
          <cell r="A398" t="str">
            <v>CARDILLO PORTE E INFISSI PVC</v>
          </cell>
          <cell r="B398" t="str">
            <v>TITOLARE MICHELE CARDILLO, PATRIZIO</v>
          </cell>
          <cell r="D398" t="str">
            <v>CORSO LEONE MUCCI 146/148</v>
          </cell>
          <cell r="E398" t="str">
            <v>71016</v>
          </cell>
          <cell r="F398" t="str">
            <v xml:space="preserve">SAN SEVERO </v>
          </cell>
          <cell r="G398" t="str">
            <v>FG</v>
          </cell>
          <cell r="H398" t="str">
            <v>ITALIA</v>
          </cell>
          <cell r="M398" t="str">
            <v>UFFICIO ACQUISTI</v>
          </cell>
          <cell r="N398" t="str">
            <v>0882 332292</v>
          </cell>
          <cell r="O398" t="str">
            <v>334 9457470 - 327 9490193</v>
          </cell>
          <cell r="P398" t="str">
            <v>cardilloportesrls@libero.it</v>
          </cell>
          <cell r="R398" t="str">
            <v>BONIFICO BANCARIO, ALLA DATA DELLA NOSTRA CONFERMA D'ORDINE</v>
          </cell>
          <cell r="X398">
            <v>0.25</v>
          </cell>
          <cell r="Y398">
            <v>-0.04</v>
          </cell>
          <cell r="AB398">
            <v>0.25</v>
          </cell>
          <cell r="AC398">
            <v>0.25</v>
          </cell>
          <cell r="AD398">
            <v>0.25</v>
          </cell>
          <cell r="AE398">
            <v>0.25</v>
          </cell>
          <cell r="AF398">
            <v>0.25</v>
          </cell>
          <cell r="AG398">
            <v>0.25</v>
          </cell>
          <cell r="AH398">
            <v>0.25</v>
          </cell>
          <cell r="AI398">
            <v>0.25</v>
          </cell>
          <cell r="AJ398">
            <v>0.25</v>
          </cell>
          <cell r="AK398">
            <v>0.25</v>
          </cell>
          <cell r="AL398">
            <v>0.25</v>
          </cell>
          <cell r="AM398">
            <v>0.25</v>
          </cell>
          <cell r="AN398">
            <v>0.25</v>
          </cell>
          <cell r="AO398">
            <v>0.25</v>
          </cell>
          <cell r="AP398">
            <v>0.25</v>
          </cell>
          <cell r="AQ398">
            <v>0.25</v>
          </cell>
          <cell r="AR398">
            <v>0.25</v>
          </cell>
          <cell r="AS398">
            <v>0.25</v>
          </cell>
          <cell r="AT398">
            <v>-0.04</v>
          </cell>
          <cell r="AU398">
            <v>0.92</v>
          </cell>
          <cell r="AV398">
            <v>20</v>
          </cell>
          <cell r="AY398" t="str">
            <v/>
          </cell>
          <cell r="AZ398">
            <v>0.25</v>
          </cell>
          <cell r="BA398">
            <v>0.25</v>
          </cell>
        </row>
        <row r="399">
          <cell r="A399" t="str">
            <v>CARDILLO PORTE SRLS</v>
          </cell>
          <cell r="D399" t="str">
            <v>C.SO LEONE MUCCI, 146</v>
          </cell>
          <cell r="F399" t="str">
            <v xml:space="preserve">SAN SEVERO </v>
          </cell>
          <cell r="G399" t="str">
            <v>FG</v>
          </cell>
          <cell r="H399" t="str">
            <v>ITALIA</v>
          </cell>
          <cell r="J399" t="str">
            <v>03922170711</v>
          </cell>
          <cell r="M399" t="str">
            <v>UFFICIO ACQUISTI</v>
          </cell>
          <cell r="N399" t="str">
            <v>0882 332292</v>
          </cell>
          <cell r="O399" t="str">
            <v>327 9490193</v>
          </cell>
          <cell r="P399" t="str">
            <v>cardilloportesrls@libero.it</v>
          </cell>
          <cell r="R399" t="str">
            <v>BONIFICO BANCARIO, ALLA DATA DELLA NOSTRA CONFERMA D'ORDINE</v>
          </cell>
          <cell r="X399">
            <v>0.25</v>
          </cell>
          <cell r="Y399">
            <v>-0.04</v>
          </cell>
          <cell r="AB399">
            <v>0.25</v>
          </cell>
          <cell r="AC399">
            <v>0.25</v>
          </cell>
          <cell r="AD399">
            <v>0.25</v>
          </cell>
          <cell r="AE399">
            <v>0.25</v>
          </cell>
          <cell r="AF399">
            <v>0.25</v>
          </cell>
          <cell r="AG399">
            <v>0.25</v>
          </cell>
          <cell r="AH399">
            <v>0.25</v>
          </cell>
          <cell r="AI399">
            <v>0.25</v>
          </cell>
          <cell r="AJ399">
            <v>0.25</v>
          </cell>
          <cell r="AK399">
            <v>0.25</v>
          </cell>
          <cell r="AL399">
            <v>0.25</v>
          </cell>
          <cell r="AM399">
            <v>0.25</v>
          </cell>
          <cell r="AN399">
            <v>0.25</v>
          </cell>
          <cell r="AO399">
            <v>0.25</v>
          </cell>
          <cell r="AP399">
            <v>0.25</v>
          </cell>
          <cell r="AQ399">
            <v>0.25</v>
          </cell>
          <cell r="AR399">
            <v>0.25</v>
          </cell>
          <cell r="AS399">
            <v>0.25</v>
          </cell>
          <cell r="AT399">
            <v>-0.04</v>
          </cell>
          <cell r="AU399">
            <v>0.92</v>
          </cell>
          <cell r="AV399">
            <v>20</v>
          </cell>
          <cell r="AY399" t="str">
            <v/>
          </cell>
          <cell r="AZ399">
            <v>0.25</v>
          </cell>
          <cell r="BA399">
            <v>0.25</v>
          </cell>
        </row>
        <row r="400">
          <cell r="A400" t="str">
            <v xml:space="preserve">CAREDDU SERRAMENTI </v>
          </cell>
          <cell r="D400" t="str">
            <v>VIA SANTIGARO, 20</v>
          </cell>
          <cell r="E400">
            <v>25010</v>
          </cell>
          <cell r="F400" t="str">
            <v>S.FELICE DEL BENACO</v>
          </cell>
          <cell r="G400" t="str">
            <v>BS</v>
          </cell>
          <cell r="H400" t="str">
            <v>ITALIA</v>
          </cell>
          <cell r="M400" t="str">
            <v>UFFICIO ACQUISTI</v>
          </cell>
          <cell r="N400" t="str">
            <v>0365 521957</v>
          </cell>
          <cell r="O400" t="str">
            <v>348 3955663</v>
          </cell>
          <cell r="P400" t="str">
            <v>preventivi@caredduserramenti.it</v>
          </cell>
          <cell r="R400" t="str">
            <v>BONIFICO BANCARIO, ALLA DATA DELLA NOSTRA CONFERMA D'ORDINE</v>
          </cell>
          <cell r="X400">
            <v>0.25</v>
          </cell>
          <cell r="Y400">
            <v>-0.04</v>
          </cell>
          <cell r="AB400">
            <v>0.25</v>
          </cell>
          <cell r="AC400">
            <v>0.25</v>
          </cell>
          <cell r="AD400">
            <v>0.25</v>
          </cell>
          <cell r="AE400">
            <v>0.25</v>
          </cell>
          <cell r="AF400">
            <v>0.25</v>
          </cell>
          <cell r="AG400">
            <v>0.25</v>
          </cell>
          <cell r="AH400">
            <v>0.25</v>
          </cell>
          <cell r="AI400">
            <v>0.25</v>
          </cell>
          <cell r="AJ400">
            <v>0.25</v>
          </cell>
          <cell r="AK400">
            <v>0.25</v>
          </cell>
          <cell r="AL400">
            <v>0.25</v>
          </cell>
          <cell r="AM400">
            <v>0.25</v>
          </cell>
          <cell r="AN400">
            <v>0.25</v>
          </cell>
          <cell r="AO400">
            <v>0.25</v>
          </cell>
          <cell r="AP400">
            <v>0.25</v>
          </cell>
          <cell r="AQ400">
            <v>0.25</v>
          </cell>
          <cell r="AR400">
            <v>0.25</v>
          </cell>
          <cell r="AS400">
            <v>0.25</v>
          </cell>
          <cell r="AT400">
            <v>-0.04</v>
          </cell>
          <cell r="AU400">
            <v>0.92</v>
          </cell>
          <cell r="AV400">
            <v>20</v>
          </cell>
          <cell r="AY400" t="str">
            <v/>
          </cell>
          <cell r="AZ400">
            <v>0.25</v>
          </cell>
          <cell r="BA400">
            <v>0.25</v>
          </cell>
        </row>
        <row r="401">
          <cell r="A401" t="str">
            <v>CARIA DIEGO E CHRISTIAN SNC</v>
          </cell>
          <cell r="D401" t="str">
            <v>VIA CESARE CABRAS, 44/46</v>
          </cell>
          <cell r="E401" t="str">
            <v>09042</v>
          </cell>
          <cell r="F401" t="str">
            <v>MONSERRATO</v>
          </cell>
          <cell r="G401" t="str">
            <v>CA</v>
          </cell>
          <cell r="H401" t="str">
            <v>ITALIA</v>
          </cell>
          <cell r="J401" t="str">
            <v>02346430925</v>
          </cell>
          <cell r="K401" t="str">
            <v>SU9YNJA</v>
          </cell>
          <cell r="M401" t="str">
            <v>UFFICIO ACQUISTI</v>
          </cell>
          <cell r="N401" t="str">
            <v>070 566061</v>
          </cell>
          <cell r="O401" t="str">
            <v>330 552688 DIEGO</v>
          </cell>
          <cell r="P401" t="str">
            <v>fabio.c84@tiscali.it</v>
          </cell>
          <cell r="R401" t="str">
            <v>BONIFICO BANCARIO, ALLA DATA DELLA NOSTRA CONFERMA D'ORDINE</v>
          </cell>
          <cell r="X401">
            <v>0.25</v>
          </cell>
          <cell r="Y401">
            <v>-0.04</v>
          </cell>
          <cell r="AB401">
            <v>0.25</v>
          </cell>
          <cell r="AC401">
            <v>0.25</v>
          </cell>
          <cell r="AD401">
            <v>0.25</v>
          </cell>
          <cell r="AE401">
            <v>0.25</v>
          </cell>
          <cell r="AF401">
            <v>0.25</v>
          </cell>
          <cell r="AG401">
            <v>0.25</v>
          </cell>
          <cell r="AH401">
            <v>0.25</v>
          </cell>
          <cell r="AI401">
            <v>0.25</v>
          </cell>
          <cell r="AJ401">
            <v>0.25</v>
          </cell>
          <cell r="AK401">
            <v>0.25</v>
          </cell>
          <cell r="AL401">
            <v>0.25</v>
          </cell>
          <cell r="AM401">
            <v>0.25</v>
          </cell>
          <cell r="AN401">
            <v>0.25</v>
          </cell>
          <cell r="AO401">
            <v>0.25</v>
          </cell>
          <cell r="AP401">
            <v>0.25</v>
          </cell>
          <cell r="AQ401">
            <v>0.25</v>
          </cell>
          <cell r="AR401">
            <v>0.25</v>
          </cell>
          <cell r="AS401">
            <v>0.25</v>
          </cell>
          <cell r="AT401">
            <v>-0.04</v>
          </cell>
          <cell r="AU401">
            <v>0.92</v>
          </cell>
          <cell r="AV401">
            <v>20</v>
          </cell>
          <cell r="AZ401">
            <v>0.25</v>
          </cell>
          <cell r="BA401">
            <v>0.25</v>
          </cell>
          <cell r="BF401" t="str">
            <v xml:space="preserve"> CLICK RAPID con carpenteria 14/04/2021</v>
          </cell>
        </row>
        <row r="402">
          <cell r="A402" t="str">
            <v xml:space="preserve">CARLINI SAURO </v>
          </cell>
          <cell r="D402" t="str">
            <v>VIA GUAZZATORE 9</v>
          </cell>
          <cell r="E402" t="str">
            <v>60027</v>
          </cell>
          <cell r="F402" t="str">
            <v xml:space="preserve">OSIMO </v>
          </cell>
          <cell r="G402" t="str">
            <v>AN</v>
          </cell>
          <cell r="H402" t="str">
            <v>ITALIA</v>
          </cell>
          <cell r="J402" t="str">
            <v>00705540425</v>
          </cell>
          <cell r="M402" t="str">
            <v>UFFICIO ACQUISTI</v>
          </cell>
          <cell r="N402" t="str">
            <v>071 7132234</v>
          </cell>
          <cell r="O402" t="str">
            <v>338 8750457</v>
          </cell>
          <cell r="R402" t="str">
            <v>BONIFICO BANCARIO, ALLA DATA DELLA NOSTRA CONFERMA D'ORDINE</v>
          </cell>
          <cell r="X402">
            <v>0.25</v>
          </cell>
          <cell r="Y402">
            <v>-0.04</v>
          </cell>
          <cell r="AB402">
            <v>0.25</v>
          </cell>
          <cell r="AC402">
            <v>0.25</v>
          </cell>
          <cell r="AD402">
            <v>0.25</v>
          </cell>
          <cell r="AE402">
            <v>0.25</v>
          </cell>
          <cell r="AF402">
            <v>0.25</v>
          </cell>
          <cell r="AG402">
            <v>0.25</v>
          </cell>
          <cell r="AH402">
            <v>0.25</v>
          </cell>
          <cell r="AI402">
            <v>0.25</v>
          </cell>
          <cell r="AJ402">
            <v>0.25</v>
          </cell>
          <cell r="AK402">
            <v>0.25</v>
          </cell>
          <cell r="AL402">
            <v>0.25</v>
          </cell>
          <cell r="AM402">
            <v>0.25</v>
          </cell>
          <cell r="AN402">
            <v>0.25</v>
          </cell>
          <cell r="AO402">
            <v>0.25</v>
          </cell>
          <cell r="AP402">
            <v>0.25</v>
          </cell>
          <cell r="AQ402">
            <v>0.25</v>
          </cell>
          <cell r="AR402">
            <v>0.25</v>
          </cell>
          <cell r="AS402">
            <v>0.25</v>
          </cell>
          <cell r="AT402">
            <v>-0.04</v>
          </cell>
          <cell r="AU402">
            <v>0.92</v>
          </cell>
          <cell r="AV402">
            <v>20</v>
          </cell>
          <cell r="AY402" t="str">
            <v/>
          </cell>
          <cell r="AZ402">
            <v>0.25</v>
          </cell>
          <cell r="BA402">
            <v>0.25</v>
          </cell>
        </row>
        <row r="403">
          <cell r="A403" t="str">
            <v>CARLINO GIUSEPPE</v>
          </cell>
          <cell r="D403" t="str">
            <v>VIA VALLEAMENA, 102</v>
          </cell>
          <cell r="E403">
            <v>89013</v>
          </cell>
          <cell r="F403" t="str">
            <v>GIOIA TAURO</v>
          </cell>
          <cell r="G403" t="str">
            <v>RC</v>
          </cell>
          <cell r="H403" t="str">
            <v>ITALIA</v>
          </cell>
          <cell r="J403" t="str">
            <v>01478690801</v>
          </cell>
          <cell r="K403" t="str">
            <v>T9K4ZHO</v>
          </cell>
          <cell r="M403" t="str">
            <v>UFFICIO ACQUISTI</v>
          </cell>
          <cell r="N403" t="str">
            <v>0966 55715</v>
          </cell>
          <cell r="O403" t="str">
            <v>338 6274419</v>
          </cell>
          <cell r="P403" t="str">
            <v>info@carlinoserramenti.it</v>
          </cell>
          <cell r="R403" t="str">
            <v>BONIFICO BANCARIO, ALLA DATA DELLA NOSTRA CONFERMA D'ORDINE</v>
          </cell>
          <cell r="X403">
            <v>0.25</v>
          </cell>
          <cell r="Y403">
            <v>-0.04</v>
          </cell>
          <cell r="AB403">
            <v>0.25</v>
          </cell>
          <cell r="AC403">
            <v>0.25</v>
          </cell>
          <cell r="AD403">
            <v>0.25</v>
          </cell>
          <cell r="AE403">
            <v>0.25</v>
          </cell>
          <cell r="AF403">
            <v>0.25</v>
          </cell>
          <cell r="AG403">
            <v>0.25</v>
          </cell>
          <cell r="AH403">
            <v>0.25</v>
          </cell>
          <cell r="AI403">
            <v>0.25</v>
          </cell>
          <cell r="AJ403">
            <v>0.25</v>
          </cell>
          <cell r="AK403">
            <v>0.25</v>
          </cell>
          <cell r="AL403">
            <v>0.25</v>
          </cell>
          <cell r="AM403">
            <v>0.25</v>
          </cell>
          <cell r="AN403">
            <v>0.25</v>
          </cell>
          <cell r="AO403">
            <v>0.25</v>
          </cell>
          <cell r="AP403">
            <v>0.25</v>
          </cell>
          <cell r="AQ403">
            <v>0.25</v>
          </cell>
          <cell r="AR403">
            <v>0.25</v>
          </cell>
          <cell r="AS403">
            <v>0.25</v>
          </cell>
          <cell r="AT403">
            <v>-0.04</v>
          </cell>
          <cell r="AU403">
            <v>0.92</v>
          </cell>
          <cell r="AV403">
            <v>20</v>
          </cell>
          <cell r="AW403" t="str">
            <v>PIETRO OLIVADOTI</v>
          </cell>
          <cell r="AX403">
            <v>0.95</v>
          </cell>
          <cell r="AY403" t="str">
            <v/>
          </cell>
          <cell r="AZ403">
            <v>0.25</v>
          </cell>
          <cell r="BA403">
            <v>0.25</v>
          </cell>
          <cell r="BF403" t="str">
            <v>CLICK RAPID con carpenteria 30/11/2020</v>
          </cell>
        </row>
        <row r="404">
          <cell r="A404" t="str">
            <v>CARLISI SRL</v>
          </cell>
          <cell r="D404" t="str">
            <v>VIA BREDA, 34</v>
          </cell>
          <cell r="E404">
            <v>10010</v>
          </cell>
          <cell r="F404" t="str">
            <v>BUROLO</v>
          </cell>
          <cell r="G404" t="str">
            <v>TO</v>
          </cell>
          <cell r="H404" t="str">
            <v>ITALIA</v>
          </cell>
          <cell r="J404" t="str">
            <v>09315150012</v>
          </cell>
          <cell r="M404" t="str">
            <v>UFFICIO ACQUISTI</v>
          </cell>
          <cell r="N404" t="str">
            <v>0125 54679</v>
          </cell>
          <cell r="O404" t="str">
            <v xml:space="preserve"> Serram.328 4593890  Edil.347 9940080 </v>
          </cell>
          <cell r="P404" t="str">
            <v>info@carlisi.info</v>
          </cell>
          <cell r="R404" t="str">
            <v>BONIFICO BANCARIO, ALLA DATA DELLA NOSTRA CONFERMA D'ORDINE</v>
          </cell>
          <cell r="X404">
            <v>0.25</v>
          </cell>
          <cell r="Y404">
            <v>-0.04</v>
          </cell>
          <cell r="AB404">
            <v>0.25</v>
          </cell>
          <cell r="AC404">
            <v>0.25</v>
          </cell>
          <cell r="AD404">
            <v>0.25</v>
          </cell>
          <cell r="AE404">
            <v>0.25</v>
          </cell>
          <cell r="AF404">
            <v>0.25</v>
          </cell>
          <cell r="AG404">
            <v>0.25</v>
          </cell>
          <cell r="AH404">
            <v>0.25</v>
          </cell>
          <cell r="AI404">
            <v>0.25</v>
          </cell>
          <cell r="AJ404">
            <v>0.25</v>
          </cell>
          <cell r="AK404">
            <v>0.25</v>
          </cell>
          <cell r="AL404">
            <v>0.25</v>
          </cell>
          <cell r="AM404">
            <v>0.25</v>
          </cell>
          <cell r="AN404">
            <v>0.25</v>
          </cell>
          <cell r="AO404">
            <v>0.25</v>
          </cell>
          <cell r="AP404">
            <v>0.25</v>
          </cell>
          <cell r="AQ404">
            <v>0.25</v>
          </cell>
          <cell r="AR404">
            <v>0.25</v>
          </cell>
          <cell r="AS404">
            <v>0.25</v>
          </cell>
          <cell r="AT404">
            <v>-0.04</v>
          </cell>
          <cell r="AU404">
            <v>0.92</v>
          </cell>
          <cell r="AV404">
            <v>20</v>
          </cell>
          <cell r="AY404" t="str">
            <v/>
          </cell>
          <cell r="AZ404">
            <v>0.25</v>
          </cell>
          <cell r="BA404">
            <v>0.25</v>
          </cell>
        </row>
        <row r="405">
          <cell r="A405" t="str">
            <v>CARLO PUSCEDDU DI NICOLA E ENRICO PUSCEDDU SNC</v>
          </cell>
          <cell r="B405" t="str">
            <v>ENRICO    CI PENSA A DIVENTARE RIVENDITORE/ HA USATO TRITONE E ACQUASTOP 05/12 CHIAMARE ALLE 12. INTERESSATO. DICE CHE HA GIA' I NOSTRI VOLANTINI E CAMPIONE. COME PROCEDIAMO?</v>
          </cell>
          <cell r="D405" t="str">
            <v>VIA ENRICO MATTEI, ZONA IND.IS ARGIDDAS</v>
          </cell>
          <cell r="E405" t="str">
            <v>09040</v>
          </cell>
          <cell r="F405" t="str">
            <v xml:space="preserve">SETTIMO SAN PIETRO </v>
          </cell>
          <cell r="G405" t="str">
            <v>CA</v>
          </cell>
          <cell r="H405" t="str">
            <v>ITALIA</v>
          </cell>
          <cell r="J405" t="str">
            <v>03474280926</v>
          </cell>
          <cell r="K405" t="str">
            <v>M5UXCR1</v>
          </cell>
          <cell r="M405" t="str">
            <v>UFFICIO ACQUISTI</v>
          </cell>
          <cell r="N405" t="str">
            <v>070 767911</v>
          </cell>
          <cell r="O405" t="str">
            <v>338 6208701 NICOLA   346 0543280 ENRICO</v>
          </cell>
          <cell r="P405" t="str">
            <v>carlo.pusceddu@tiscali.it</v>
          </cell>
          <cell r="R405" t="str">
            <v>BONIFICO BANCARIO, ALLA DATA DELLA NOSTRA CONFERMA D'ORDINE</v>
          </cell>
          <cell r="X405">
            <v>0.2</v>
          </cell>
          <cell r="Y405">
            <v>-0.04</v>
          </cell>
          <cell r="AB405">
            <v>0.2</v>
          </cell>
          <cell r="AC405">
            <v>0.2</v>
          </cell>
          <cell r="AD405">
            <v>0.2</v>
          </cell>
          <cell r="AE405">
            <v>0.2</v>
          </cell>
          <cell r="AF405">
            <v>0.2</v>
          </cell>
          <cell r="AG405">
            <v>0.2</v>
          </cell>
          <cell r="AH405">
            <v>0.2</v>
          </cell>
          <cell r="AI405">
            <v>0.2</v>
          </cell>
          <cell r="AJ405">
            <v>0.2</v>
          </cell>
          <cell r="AK405">
            <v>0.2</v>
          </cell>
          <cell r="AL405">
            <v>0.2</v>
          </cell>
          <cell r="AM405">
            <v>0.2</v>
          </cell>
          <cell r="AN405">
            <v>0.2</v>
          </cell>
          <cell r="AO405">
            <v>0.2</v>
          </cell>
          <cell r="AP405">
            <v>0.2</v>
          </cell>
          <cell r="AQ405">
            <v>0.2</v>
          </cell>
          <cell r="AR405">
            <v>0.2</v>
          </cell>
          <cell r="AS405">
            <v>0.2</v>
          </cell>
          <cell r="AT405">
            <v>-0.04</v>
          </cell>
          <cell r="AU405">
            <v>0.92</v>
          </cell>
          <cell r="AV405">
            <v>20</v>
          </cell>
          <cell r="AZ405">
            <v>0.2</v>
          </cell>
          <cell r="BA405">
            <v>0.2</v>
          </cell>
        </row>
        <row r="406">
          <cell r="A406" t="str">
            <v xml:space="preserve">CARMINATI </v>
          </cell>
          <cell r="D406" t="str">
            <v>VIA BORGAZZI 1 - 3</v>
          </cell>
          <cell r="F406" t="str">
            <v>MONZA</v>
          </cell>
          <cell r="G406" t="str">
            <v>MB</v>
          </cell>
          <cell r="H406" t="str">
            <v>ITALIA</v>
          </cell>
          <cell r="M406" t="str">
            <v>UFFICIO ACQUISTI</v>
          </cell>
          <cell r="O406" t="str">
            <v>320 9298875 ARCH. GIUSEPPE RUGGIERI</v>
          </cell>
          <cell r="R406" t="str">
            <v>BONIFICO BANCARIO, ALLA DATA DELLA NOSTRA CONFERMA D'ORDINE</v>
          </cell>
          <cell r="X406">
            <v>0.25</v>
          </cell>
          <cell r="Y406">
            <v>-0.04</v>
          </cell>
          <cell r="AB406">
            <v>0.25</v>
          </cell>
          <cell r="AC406">
            <v>0.25</v>
          </cell>
          <cell r="AD406">
            <v>0.25</v>
          </cell>
          <cell r="AE406">
            <v>0.25</v>
          </cell>
          <cell r="AF406">
            <v>0.25</v>
          </cell>
          <cell r="AG406">
            <v>0.25</v>
          </cell>
          <cell r="AH406">
            <v>0.25</v>
          </cell>
          <cell r="AI406">
            <v>0.25</v>
          </cell>
          <cell r="AJ406">
            <v>0.25</v>
          </cell>
          <cell r="AK406">
            <v>0.25</v>
          </cell>
          <cell r="AL406">
            <v>0.25</v>
          </cell>
          <cell r="AM406">
            <v>0.25</v>
          </cell>
          <cell r="AN406">
            <v>0.25</v>
          </cell>
          <cell r="AO406">
            <v>0.25</v>
          </cell>
          <cell r="AP406">
            <v>0.25</v>
          </cell>
          <cell r="AQ406">
            <v>0.25</v>
          </cell>
          <cell r="AR406">
            <v>0.25</v>
          </cell>
          <cell r="AS406">
            <v>0.25</v>
          </cell>
          <cell r="AT406">
            <v>-0.04</v>
          </cell>
          <cell r="AU406">
            <v>0.92</v>
          </cell>
          <cell r="AV406">
            <v>20</v>
          </cell>
          <cell r="AY406" t="str">
            <v/>
          </cell>
          <cell r="AZ406">
            <v>0.25</v>
          </cell>
          <cell r="BA406">
            <v>0.25</v>
          </cell>
        </row>
        <row r="407">
          <cell r="A407" t="str">
            <v>CARPENTEERIA  METALLICA</v>
          </cell>
          <cell r="B407" t="str">
            <v>EX "SUPER BOX" LAVORANO IN CONTO TERZI PER CAPORALI</v>
          </cell>
          <cell r="D407" t="str">
            <v>VIA TOMMASO LITTARDI, 126</v>
          </cell>
          <cell r="E407">
            <v>18100</v>
          </cell>
          <cell r="F407" t="str">
            <v>IMPERIA</v>
          </cell>
          <cell r="G407" t="str">
            <v>IM</v>
          </cell>
          <cell r="H407" t="str">
            <v>ITALIA</v>
          </cell>
          <cell r="M407" t="str">
            <v>UFFICIO ACQUISTI</v>
          </cell>
          <cell r="O407" t="str">
            <v>338 6236670 - 328 3181997</v>
          </cell>
          <cell r="P407" t="str">
            <v>drizarben@gmail.com</v>
          </cell>
          <cell r="R407" t="str">
            <v>BONIFICO BANCARIO, ALLA DATA DELLA NOSTRA CONFERMA D'ORDINE</v>
          </cell>
          <cell r="X407">
            <v>0.25</v>
          </cell>
          <cell r="Y407">
            <v>-0.04</v>
          </cell>
          <cell r="AB407">
            <v>0.25</v>
          </cell>
          <cell r="AC407">
            <v>0.25</v>
          </cell>
          <cell r="AD407">
            <v>0.25</v>
          </cell>
          <cell r="AE407">
            <v>0.25</v>
          </cell>
          <cell r="AF407">
            <v>0.25</v>
          </cell>
          <cell r="AG407">
            <v>0.25</v>
          </cell>
          <cell r="AH407">
            <v>0.25</v>
          </cell>
          <cell r="AI407">
            <v>0.25</v>
          </cell>
          <cell r="AJ407">
            <v>0.25</v>
          </cell>
          <cell r="AK407">
            <v>0.25</v>
          </cell>
          <cell r="AL407">
            <v>0.25</v>
          </cell>
          <cell r="AM407">
            <v>0.25</v>
          </cell>
          <cell r="AN407">
            <v>0.25</v>
          </cell>
          <cell r="AO407">
            <v>0.25</v>
          </cell>
          <cell r="AP407">
            <v>0.25</v>
          </cell>
          <cell r="AQ407">
            <v>0.25</v>
          </cell>
          <cell r="AR407">
            <v>0.25</v>
          </cell>
          <cell r="AS407">
            <v>0.25</v>
          </cell>
          <cell r="AT407">
            <v>-0.04</v>
          </cell>
          <cell r="AU407">
            <v>0.92</v>
          </cell>
          <cell r="AV407">
            <v>20</v>
          </cell>
          <cell r="AY407" t="str">
            <v/>
          </cell>
          <cell r="AZ407">
            <v>0.25</v>
          </cell>
          <cell r="BA407">
            <v>0.25</v>
          </cell>
        </row>
        <row r="408">
          <cell r="A408" t="str">
            <v>CARPENTERIA ALBE SRL</v>
          </cell>
          <cell r="B408" t="str">
            <v>RIVENDITORE ACQUASTOP 05/12 SIG. MASIERO, TITOLARE. RICHIEDE MAIL, CURIOSO</v>
          </cell>
          <cell r="D408" t="str">
            <v>VIA UMBERTO PRIMO 99</v>
          </cell>
          <cell r="E408" t="str">
            <v>35020</v>
          </cell>
          <cell r="F408" t="str">
            <v>ARZERGRANDE</v>
          </cell>
          <cell r="G408" t="str">
            <v>PD</v>
          </cell>
          <cell r="H408" t="str">
            <v>ITALIA</v>
          </cell>
          <cell r="J408" t="str">
            <v>04342840289</v>
          </cell>
          <cell r="M408" t="str">
            <v>UFFICIO ACQUISTI</v>
          </cell>
          <cell r="N408" t="str">
            <v>049 9735767</v>
          </cell>
          <cell r="O408" t="str">
            <v>347 5230790 ALFIERO MASIERO</v>
          </cell>
          <cell r="P408" t="str">
            <v>info@carpenteriaalbe.it</v>
          </cell>
          <cell r="R408" t="str">
            <v>BONIFICO BANCARIO, ALLA DATA DELLA NOSTRA CONFERMA D'ORDINE</v>
          </cell>
          <cell r="X408">
            <v>0.25</v>
          </cell>
          <cell r="Y408">
            <v>-0.04</v>
          </cell>
          <cell r="AB408">
            <v>0.25</v>
          </cell>
          <cell r="AC408">
            <v>0.25</v>
          </cell>
          <cell r="AD408">
            <v>0.25</v>
          </cell>
          <cell r="AE408">
            <v>0.25</v>
          </cell>
          <cell r="AF408">
            <v>0.25</v>
          </cell>
          <cell r="AG408">
            <v>0.25</v>
          </cell>
          <cell r="AH408">
            <v>0.25</v>
          </cell>
          <cell r="AI408">
            <v>0.25</v>
          </cell>
          <cell r="AJ408">
            <v>0.25</v>
          </cell>
          <cell r="AK408">
            <v>0.25</v>
          </cell>
          <cell r="AL408">
            <v>0.25</v>
          </cell>
          <cell r="AM408">
            <v>0.25</v>
          </cell>
          <cell r="AN408">
            <v>0.25</v>
          </cell>
          <cell r="AO408">
            <v>0.25</v>
          </cell>
          <cell r="AP408">
            <v>0.25</v>
          </cell>
          <cell r="AQ408">
            <v>0.25</v>
          </cell>
          <cell r="AR408">
            <v>0.25</v>
          </cell>
          <cell r="AS408">
            <v>0.25</v>
          </cell>
          <cell r="AT408">
            <v>-0.04</v>
          </cell>
          <cell r="AU408">
            <v>0.92</v>
          </cell>
          <cell r="AV408">
            <v>20</v>
          </cell>
          <cell r="AZ408">
            <v>0.25</v>
          </cell>
          <cell r="BA408">
            <v>0.25</v>
          </cell>
        </row>
        <row r="409">
          <cell r="A409" t="str">
            <v xml:space="preserve">CARPENTERIA BIANCHI </v>
          </cell>
          <cell r="D409" t="str">
            <v>VIA POZZA, 21</v>
          </cell>
          <cell r="E409" t="str">
            <v>37053</v>
          </cell>
          <cell r="F409" t="str">
            <v>CEREA</v>
          </cell>
          <cell r="G409" t="str">
            <v>VR</v>
          </cell>
          <cell r="H409" t="str">
            <v>ITALIA</v>
          </cell>
          <cell r="M409" t="str">
            <v>UFFICIO ACQUISTI</v>
          </cell>
          <cell r="N409" t="str">
            <v>0442 806555</v>
          </cell>
          <cell r="P409" t="str">
            <v>bianchicarpenteria@libero.it</v>
          </cell>
          <cell r="R409" t="str">
            <v>BONIFICO BANCARIO, ALLA DATA DELLA NOSTRA CONFERMA D'ORDINE</v>
          </cell>
          <cell r="X409">
            <v>0.25</v>
          </cell>
          <cell r="Y409">
            <v>-0.04</v>
          </cell>
          <cell r="AB409">
            <v>0.25</v>
          </cell>
          <cell r="AC409">
            <v>0.25</v>
          </cell>
          <cell r="AD409">
            <v>0.25</v>
          </cell>
          <cell r="AE409">
            <v>0.25</v>
          </cell>
          <cell r="AF409">
            <v>0.25</v>
          </cell>
          <cell r="AG409">
            <v>0.25</v>
          </cell>
          <cell r="AH409">
            <v>0.25</v>
          </cell>
          <cell r="AI409">
            <v>0.25</v>
          </cell>
          <cell r="AJ409">
            <v>0.25</v>
          </cell>
          <cell r="AK409">
            <v>0.25</v>
          </cell>
          <cell r="AL409">
            <v>0.25</v>
          </cell>
          <cell r="AM409">
            <v>0.25</v>
          </cell>
          <cell r="AN409">
            <v>0.25</v>
          </cell>
          <cell r="AO409">
            <v>0.25</v>
          </cell>
          <cell r="AP409">
            <v>0.25</v>
          </cell>
          <cell r="AQ409">
            <v>0.25</v>
          </cell>
          <cell r="AR409">
            <v>0.25</v>
          </cell>
          <cell r="AS409">
            <v>0.25</v>
          </cell>
          <cell r="AT409">
            <v>-0.04</v>
          </cell>
          <cell r="AU409">
            <v>0.92</v>
          </cell>
          <cell r="AV409">
            <v>20</v>
          </cell>
          <cell r="AZ409">
            <v>0.25</v>
          </cell>
          <cell r="BA409">
            <v>0.25</v>
          </cell>
        </row>
        <row r="410">
          <cell r="A410" t="str">
            <v>CARPENTERIA CARLO MAXIA DI ANTONIO E DANILO MAXIA SNC</v>
          </cell>
          <cell r="B410" t="str">
            <v>CAMPIONE E DEPLIANT 1000-MANDARE PDF DEL FOGLIO RILIEVO MISURE</v>
          </cell>
          <cell r="D410" t="str">
            <v>VIA E. FERMI, 4</v>
          </cell>
          <cell r="E410" t="str">
            <v>09047</v>
          </cell>
          <cell r="F410" t="str">
            <v>SELARGIUS</v>
          </cell>
          <cell r="G410" t="str">
            <v>CA</v>
          </cell>
          <cell r="H410" t="str">
            <v>ITALIA</v>
          </cell>
          <cell r="J410" t="str">
            <v>03641130921</v>
          </cell>
          <cell r="K410" t="str">
            <v>X2PH38J</v>
          </cell>
          <cell r="M410" t="str">
            <v>UFFICIO ACQUISTI</v>
          </cell>
          <cell r="N410" t="str">
            <v>070 845848</v>
          </cell>
          <cell r="O410" t="str">
            <v>340 6894747 DANILO</v>
          </cell>
          <cell r="P410" t="str">
            <v>carpenteriacarlomaxia@aol.it</v>
          </cell>
          <cell r="R410" t="str">
            <v>BONIFICO BANCARIO, ALLA DATA DELLA NOSTRA CONFERMA D'ORDINE</v>
          </cell>
          <cell r="X410">
            <v>0.25</v>
          </cell>
          <cell r="Y410">
            <v>-0.04</v>
          </cell>
          <cell r="AB410">
            <v>0.25</v>
          </cell>
          <cell r="AC410">
            <v>0.25</v>
          </cell>
          <cell r="AD410">
            <v>0.25</v>
          </cell>
          <cell r="AE410">
            <v>0.25</v>
          </cell>
          <cell r="AF410">
            <v>0.25</v>
          </cell>
          <cell r="AG410">
            <v>0.25</v>
          </cell>
          <cell r="AH410">
            <v>0.25</v>
          </cell>
          <cell r="AI410">
            <v>0.25</v>
          </cell>
          <cell r="AJ410">
            <v>0.25</v>
          </cell>
          <cell r="AK410">
            <v>0.25</v>
          </cell>
          <cell r="AL410">
            <v>0.25</v>
          </cell>
          <cell r="AM410">
            <v>0.25</v>
          </cell>
          <cell r="AN410">
            <v>0.25</v>
          </cell>
          <cell r="AO410">
            <v>0.25</v>
          </cell>
          <cell r="AP410">
            <v>0.25</v>
          </cell>
          <cell r="AQ410">
            <v>0.25</v>
          </cell>
          <cell r="AR410">
            <v>0.25</v>
          </cell>
          <cell r="AS410">
            <v>0.25</v>
          </cell>
          <cell r="AT410">
            <v>-0.04</v>
          </cell>
          <cell r="AU410">
            <v>0.92</v>
          </cell>
          <cell r="AV410">
            <v>20</v>
          </cell>
          <cell r="AZ410">
            <v>0.25</v>
          </cell>
          <cell r="BA410">
            <v>0.25</v>
          </cell>
          <cell r="BF410" t="str">
            <v>CLICK RAPID con carpenteria 27/05/2021</v>
          </cell>
        </row>
        <row r="411">
          <cell r="A411" t="str">
            <v>CARPENTERIA CRESTANI SRL</v>
          </cell>
          <cell r="B411" t="str">
            <v>INTERESSATO</v>
          </cell>
          <cell r="D411" t="str">
            <v>VIA CAVOUR, 90</v>
          </cell>
          <cell r="E411">
            <v>21051</v>
          </cell>
          <cell r="F411" t="str">
            <v>ARCISATE</v>
          </cell>
          <cell r="G411" t="str">
            <v>VA</v>
          </cell>
          <cell r="H411" t="str">
            <v>ITALIA</v>
          </cell>
          <cell r="J411" t="str">
            <v>00320410129</v>
          </cell>
          <cell r="K411" t="str">
            <v>M5UXCR1</v>
          </cell>
          <cell r="M411" t="str">
            <v>UFFICIO ACQUISTI</v>
          </cell>
          <cell r="N411" t="str">
            <v>0332 470236</v>
          </cell>
          <cell r="P411" t="str">
            <v>info@crestanisrl.net</v>
          </cell>
          <cell r="R411" t="str">
            <v>BONIFICO BANCARIO, ALLA DATA DELLA NOSTRA CONFERMA D'ORDINE</v>
          </cell>
          <cell r="X411">
            <v>0.25</v>
          </cell>
          <cell r="Y411">
            <v>-0.04</v>
          </cell>
          <cell r="AB411">
            <v>0.25</v>
          </cell>
          <cell r="AC411">
            <v>0.25</v>
          </cell>
          <cell r="AD411">
            <v>0.25</v>
          </cell>
          <cell r="AE411">
            <v>0.25</v>
          </cell>
          <cell r="AF411">
            <v>0.25</v>
          </cell>
          <cell r="AG411">
            <v>0.25</v>
          </cell>
          <cell r="AH411">
            <v>0.25</v>
          </cell>
          <cell r="AI411">
            <v>0.25</v>
          </cell>
          <cell r="AJ411">
            <v>0.25</v>
          </cell>
          <cell r="AK411">
            <v>0.25</v>
          </cell>
          <cell r="AL411">
            <v>0.25</v>
          </cell>
          <cell r="AM411">
            <v>0.25</v>
          </cell>
          <cell r="AN411">
            <v>0.25</v>
          </cell>
          <cell r="AO411">
            <v>0.25</v>
          </cell>
          <cell r="AP411">
            <v>0.25</v>
          </cell>
          <cell r="AQ411">
            <v>0.25</v>
          </cell>
          <cell r="AR411">
            <v>0.25</v>
          </cell>
          <cell r="AS411">
            <v>0.25</v>
          </cell>
          <cell r="AT411">
            <v>-0.04</v>
          </cell>
          <cell r="AU411">
            <v>0.92</v>
          </cell>
          <cell r="AV411">
            <v>20</v>
          </cell>
          <cell r="AZ411">
            <v>0.25</v>
          </cell>
          <cell r="BA411">
            <v>0.25</v>
          </cell>
        </row>
        <row r="412">
          <cell r="A412" t="str">
            <v>CARPENTERIA METALLICA DI GHIORZI SNC</v>
          </cell>
          <cell r="B412" t="str">
            <v xml:space="preserve">ANDREA FIGLIO LASCIATO SOLO VOLANTINO MAI USATE </v>
          </cell>
          <cell r="D412" t="str">
            <v>VIA L.CANEPA, 7  CR</v>
          </cell>
          <cell r="E412">
            <v>16165</v>
          </cell>
          <cell r="F412" t="str">
            <v>GENOVA</v>
          </cell>
          <cell r="G412" t="str">
            <v>GE</v>
          </cell>
          <cell r="H412" t="str">
            <v>ITALIA</v>
          </cell>
          <cell r="M412" t="str">
            <v>UFFICIO ACQUISTI</v>
          </cell>
          <cell r="N412" t="str">
            <v>010 809226</v>
          </cell>
          <cell r="P412" t="str">
            <v>info@cmgenova.it</v>
          </cell>
          <cell r="R412" t="str">
            <v>BONIFICO BANCARIO, ALLA DATA DELLA NOSTRA CONFERMA D'ORDINE</v>
          </cell>
          <cell r="X412">
            <v>0.25</v>
          </cell>
          <cell r="Y412">
            <v>-0.04</v>
          </cell>
          <cell r="AB412">
            <v>0.25</v>
          </cell>
          <cell r="AC412">
            <v>0.25</v>
          </cell>
          <cell r="AD412">
            <v>0.25</v>
          </cell>
          <cell r="AE412">
            <v>0.25</v>
          </cell>
          <cell r="AF412">
            <v>0.25</v>
          </cell>
          <cell r="AG412">
            <v>0.25</v>
          </cell>
          <cell r="AH412">
            <v>0.25</v>
          </cell>
          <cell r="AI412">
            <v>0.25</v>
          </cell>
          <cell r="AJ412">
            <v>0.25</v>
          </cell>
          <cell r="AK412">
            <v>0.25</v>
          </cell>
          <cell r="AL412">
            <v>0.25</v>
          </cell>
          <cell r="AM412">
            <v>0.25</v>
          </cell>
          <cell r="AN412">
            <v>0.25</v>
          </cell>
          <cell r="AO412">
            <v>0.25</v>
          </cell>
          <cell r="AP412">
            <v>0.25</v>
          </cell>
          <cell r="AQ412">
            <v>0.25</v>
          </cell>
          <cell r="AR412">
            <v>0.25</v>
          </cell>
          <cell r="AS412">
            <v>0.25</v>
          </cell>
          <cell r="AT412">
            <v>-0.04</v>
          </cell>
          <cell r="AU412">
            <v>0.92</v>
          </cell>
          <cell r="AV412">
            <v>20</v>
          </cell>
          <cell r="AY412" t="str">
            <v/>
          </cell>
          <cell r="AZ412">
            <v>0.25</v>
          </cell>
          <cell r="BA412">
            <v>0.25</v>
          </cell>
        </row>
        <row r="413">
          <cell r="A413" t="str">
            <v>CARPENTERIA METALLICA PERIODICI SERGIO</v>
          </cell>
          <cell r="D413" t="str">
            <v>VIA AMENDOLA 12</v>
          </cell>
          <cell r="E413">
            <v>43040</v>
          </cell>
          <cell r="F413" t="str">
            <v>FELEGARA</v>
          </cell>
          <cell r="G413" t="str">
            <v>FR</v>
          </cell>
          <cell r="H413" t="str">
            <v>ITALIA</v>
          </cell>
          <cell r="J413" t="str">
            <v>02425920341</v>
          </cell>
          <cell r="M413" t="str">
            <v>UFFICIO ACQUISTI</v>
          </cell>
          <cell r="N413" t="str">
            <v>0525 431528</v>
          </cell>
          <cell r="O413" t="str">
            <v>33303585133</v>
          </cell>
          <cell r="P413" t="str">
            <v>denis.periodici@hotmail.it</v>
          </cell>
          <cell r="R413" t="str">
            <v>BONIFICO BANCARIO, ALLA DATA DELLA NOSTRA CONFERMA D'ORDINE</v>
          </cell>
          <cell r="X413">
            <v>0.25</v>
          </cell>
          <cell r="Y413">
            <v>-0.04</v>
          </cell>
          <cell r="AB413">
            <v>0.25</v>
          </cell>
          <cell r="AC413">
            <v>0.25</v>
          </cell>
          <cell r="AD413">
            <v>0.25</v>
          </cell>
          <cell r="AE413">
            <v>0.25</v>
          </cell>
          <cell r="AF413">
            <v>0.25</v>
          </cell>
          <cell r="AG413">
            <v>0.25</v>
          </cell>
          <cell r="AH413">
            <v>0.25</v>
          </cell>
          <cell r="AI413">
            <v>0.25</v>
          </cell>
          <cell r="AJ413">
            <v>0.25</v>
          </cell>
          <cell r="AK413">
            <v>0.25</v>
          </cell>
          <cell r="AL413">
            <v>0.25</v>
          </cell>
          <cell r="AM413">
            <v>0.25</v>
          </cell>
          <cell r="AN413">
            <v>0.25</v>
          </cell>
          <cell r="AO413">
            <v>0.25</v>
          </cell>
          <cell r="AP413">
            <v>0.25</v>
          </cell>
          <cell r="AQ413">
            <v>0.25</v>
          </cell>
          <cell r="AR413">
            <v>0.25</v>
          </cell>
          <cell r="AS413">
            <v>0.25</v>
          </cell>
          <cell r="AT413">
            <v>-0.04</v>
          </cell>
          <cell r="AU413">
            <v>0.92</v>
          </cell>
          <cell r="AV413">
            <v>20</v>
          </cell>
          <cell r="AY413" t="str">
            <v/>
          </cell>
          <cell r="AZ413">
            <v>0.25</v>
          </cell>
          <cell r="BA413">
            <v>0.25</v>
          </cell>
        </row>
        <row r="414">
          <cell r="A414" t="str">
            <v>CARPENTERIA SERRAMENTI SRL</v>
          </cell>
          <cell r="D414" t="str">
            <v>VIA MATTEI, 11</v>
          </cell>
          <cell r="E414" t="str">
            <v>25050</v>
          </cell>
          <cell r="F414" t="str">
            <v>RODENGO SAIANO</v>
          </cell>
          <cell r="G414" t="str">
            <v>BS</v>
          </cell>
          <cell r="H414" t="str">
            <v>ITALIA</v>
          </cell>
          <cell r="M414" t="str">
            <v>UFFICIO ACQUISTI</v>
          </cell>
          <cell r="N414" t="str">
            <v>030 611570</v>
          </cell>
          <cell r="P414" t="str">
            <v>cscarpenteria@virgilio.it</v>
          </cell>
          <cell r="R414" t="str">
            <v>BONIFICO BANCARIO, ALLA DATA DELLA NOSTRA CONFERMA D'ORDINE</v>
          </cell>
          <cell r="X414">
            <v>0.2</v>
          </cell>
          <cell r="Y414">
            <v>-0.04</v>
          </cell>
          <cell r="AB414">
            <v>0.2</v>
          </cell>
          <cell r="AC414">
            <v>0.2</v>
          </cell>
          <cell r="AD414">
            <v>0.2</v>
          </cell>
          <cell r="AE414">
            <v>0.2</v>
          </cell>
          <cell r="AF414">
            <v>0.2</v>
          </cell>
          <cell r="AG414">
            <v>0.2</v>
          </cell>
          <cell r="AH414">
            <v>0.2</v>
          </cell>
          <cell r="AI414">
            <v>0.2</v>
          </cell>
          <cell r="AJ414">
            <v>0.2</v>
          </cell>
          <cell r="AK414">
            <v>0.2</v>
          </cell>
          <cell r="AL414">
            <v>0.2</v>
          </cell>
          <cell r="AM414">
            <v>0.2</v>
          </cell>
          <cell r="AN414">
            <v>0.2</v>
          </cell>
          <cell r="AO414">
            <v>0.2</v>
          </cell>
          <cell r="AP414">
            <v>0.2</v>
          </cell>
          <cell r="AQ414">
            <v>0.2</v>
          </cell>
          <cell r="AR414">
            <v>0.2</v>
          </cell>
          <cell r="AS414">
            <v>0.2</v>
          </cell>
          <cell r="AT414">
            <v>-0.04</v>
          </cell>
          <cell r="AU414">
            <v>0.92</v>
          </cell>
          <cell r="AV414">
            <v>20</v>
          </cell>
          <cell r="AZ414">
            <v>0.2</v>
          </cell>
          <cell r="BA414">
            <v>0.2</v>
          </cell>
        </row>
        <row r="415">
          <cell r="A415" t="str">
            <v>CARPENTERIE PEZZETTI DI PEZZETTI LORENZO SAS</v>
          </cell>
          <cell r="D415" t="str">
            <v>VIA DELLA RESISTENZA, 13/15</v>
          </cell>
          <cell r="E415" t="str">
            <v>24051</v>
          </cell>
          <cell r="F415" t="str">
            <v>ANTEGNATE</v>
          </cell>
          <cell r="G415" t="str">
            <v>BG</v>
          </cell>
          <cell r="H415" t="str">
            <v>ITALIA</v>
          </cell>
          <cell r="J415" t="str">
            <v>03071960169</v>
          </cell>
          <cell r="M415" t="str">
            <v>UFFICIO ACQUISTI</v>
          </cell>
          <cell r="N415" t="str">
            <v>0363 914895</v>
          </cell>
          <cell r="P415" t="str">
            <v>info@carpenteriepezzetti.it</v>
          </cell>
          <cell r="R415" t="str">
            <v>BONIFICO BANCARIO, ALLA DATA DELLA NOSTRA CONFERMA D'ORDINE</v>
          </cell>
          <cell r="X415">
            <v>0.2</v>
          </cell>
          <cell r="Y415">
            <v>-0.04</v>
          </cell>
          <cell r="AB415">
            <v>0.2</v>
          </cell>
          <cell r="AC415">
            <v>0.2</v>
          </cell>
          <cell r="AD415">
            <v>0.2</v>
          </cell>
          <cell r="AE415">
            <v>0.2</v>
          </cell>
          <cell r="AF415">
            <v>0.2</v>
          </cell>
          <cell r="AG415">
            <v>0.2</v>
          </cell>
          <cell r="AH415">
            <v>0.2</v>
          </cell>
          <cell r="AI415">
            <v>0.2</v>
          </cell>
          <cell r="AJ415">
            <v>0.2</v>
          </cell>
          <cell r="AK415">
            <v>0.2</v>
          </cell>
          <cell r="AL415">
            <v>0.2</v>
          </cell>
          <cell r="AM415">
            <v>0.2</v>
          </cell>
          <cell r="AN415">
            <v>0.2</v>
          </cell>
          <cell r="AO415">
            <v>0.2</v>
          </cell>
          <cell r="AP415">
            <v>0.2</v>
          </cell>
          <cell r="AQ415">
            <v>0.2</v>
          </cell>
          <cell r="AR415">
            <v>0.2</v>
          </cell>
          <cell r="AS415">
            <v>0.2</v>
          </cell>
          <cell r="AT415">
            <v>-0.04</v>
          </cell>
          <cell r="AU415">
            <v>0.92</v>
          </cell>
          <cell r="AV415">
            <v>20</v>
          </cell>
          <cell r="AZ415">
            <v>0.2</v>
          </cell>
          <cell r="BA415">
            <v>0.2</v>
          </cell>
        </row>
        <row r="416">
          <cell r="A416" t="str">
            <v>CARPENTIERE CHATRIAN</v>
          </cell>
          <cell r="D416" t="str">
            <v>LOC.COVALOU, 2</v>
          </cell>
          <cell r="E416">
            <v>11020</v>
          </cell>
          <cell r="F416" t="str">
            <v>ANTEY ST. ANDRE'</v>
          </cell>
          <cell r="G416" t="str">
            <v>AO</v>
          </cell>
          <cell r="H416" t="str">
            <v>ITALIA</v>
          </cell>
          <cell r="M416" t="str">
            <v>UFFICIO ACQUISTI</v>
          </cell>
          <cell r="N416" t="str">
            <v>0166 62062</v>
          </cell>
          <cell r="O416" t="str">
            <v>335 1248043</v>
          </cell>
          <cell r="P416" t="str">
            <v>crpenteriachatrian#luì@libero.it</v>
          </cell>
          <cell r="R416" t="str">
            <v>BONIFICO BANCARIO, ALLA DATA DELLA NOSTRA CONFERMA D'ORDINE</v>
          </cell>
          <cell r="X416">
            <v>0.25</v>
          </cell>
          <cell r="Y416">
            <v>-0.04</v>
          </cell>
          <cell r="AB416">
            <v>0.25</v>
          </cell>
          <cell r="AC416">
            <v>0.25</v>
          </cell>
          <cell r="AD416">
            <v>0.25</v>
          </cell>
          <cell r="AE416">
            <v>0.25</v>
          </cell>
          <cell r="AF416">
            <v>0.25</v>
          </cell>
          <cell r="AG416">
            <v>0.25</v>
          </cell>
          <cell r="AH416">
            <v>0.25</v>
          </cell>
          <cell r="AI416">
            <v>0.25</v>
          </cell>
          <cell r="AJ416">
            <v>0.25</v>
          </cell>
          <cell r="AK416">
            <v>0.25</v>
          </cell>
          <cell r="AL416">
            <v>0.25</v>
          </cell>
          <cell r="AM416">
            <v>0.25</v>
          </cell>
          <cell r="AN416">
            <v>0.25</v>
          </cell>
          <cell r="AO416">
            <v>0.25</v>
          </cell>
          <cell r="AP416">
            <v>0.25</v>
          </cell>
          <cell r="AQ416">
            <v>0.25</v>
          </cell>
          <cell r="AR416">
            <v>0.25</v>
          </cell>
          <cell r="AS416">
            <v>0.25</v>
          </cell>
          <cell r="AT416">
            <v>-0.04</v>
          </cell>
          <cell r="AU416">
            <v>0.92</v>
          </cell>
          <cell r="AV416">
            <v>20</v>
          </cell>
          <cell r="AZ416">
            <v>0.25</v>
          </cell>
          <cell r="BA416">
            <v>0.25</v>
          </cell>
        </row>
        <row r="417">
          <cell r="A417" t="str">
            <v>CARRON SPA</v>
          </cell>
          <cell r="D417" t="str">
            <v>VIA BOSCOLO, 14/1</v>
          </cell>
          <cell r="E417" t="str">
            <v>31020</v>
          </cell>
          <cell r="F417" t="str">
            <v>S. ZENONE DEGLI EZZELINI</v>
          </cell>
          <cell r="G417" t="str">
            <v>TV</v>
          </cell>
          <cell r="H417" t="str">
            <v>ITALIA</v>
          </cell>
          <cell r="J417" t="str">
            <v>01835800267</v>
          </cell>
          <cell r="M417" t="str">
            <v>UFFICIO ACQUISTI</v>
          </cell>
          <cell r="N417" t="str">
            <v>0423 9657</v>
          </cell>
          <cell r="O417" t="str">
            <v>335 496938 SIG. ANDREA BULLA</v>
          </cell>
          <cell r="P417" t="str">
            <v>andrea.bulla@carron.it</v>
          </cell>
          <cell r="R417" t="str">
            <v>BONIFICO BANCARIO, ALLA DATA DELLA NOSTRA CONFERMA D'ORDINE</v>
          </cell>
          <cell r="X417">
            <v>0.05</v>
          </cell>
          <cell r="Y417">
            <v>-0.04</v>
          </cell>
          <cell r="AB417">
            <v>0.05</v>
          </cell>
          <cell r="AC417">
            <v>0.05</v>
          </cell>
          <cell r="AD417">
            <v>0.05</v>
          </cell>
          <cell r="AE417">
            <v>0.05</v>
          </cell>
          <cell r="AF417">
            <v>0.05</v>
          </cell>
          <cell r="AG417">
            <v>0.05</v>
          </cell>
          <cell r="AH417">
            <v>0.05</v>
          </cell>
          <cell r="AI417">
            <v>0.05</v>
          </cell>
          <cell r="AJ417">
            <v>0.05</v>
          </cell>
          <cell r="AK417">
            <v>0.05</v>
          </cell>
          <cell r="AL417">
            <v>0.05</v>
          </cell>
          <cell r="AM417">
            <v>0.05</v>
          </cell>
          <cell r="AN417">
            <v>0.05</v>
          </cell>
          <cell r="AO417">
            <v>0.05</v>
          </cell>
          <cell r="AP417">
            <v>0.05</v>
          </cell>
          <cell r="AQ417">
            <v>0.05</v>
          </cell>
          <cell r="AR417">
            <v>0.05</v>
          </cell>
          <cell r="AS417">
            <v>0.05</v>
          </cell>
          <cell r="AT417">
            <v>-0.04</v>
          </cell>
          <cell r="AU417">
            <v>0.92</v>
          </cell>
          <cell r="AV417">
            <v>20</v>
          </cell>
          <cell r="AZ417">
            <v>0.05</v>
          </cell>
          <cell r="BA417">
            <v>0.05</v>
          </cell>
        </row>
        <row r="418">
          <cell r="A418" t="str">
            <v>CARTA DANIELE</v>
          </cell>
          <cell r="B418" t="str">
            <v>SOLO BIGLIETTO DA VISITA</v>
          </cell>
          <cell r="D418" t="str">
            <v>ZONA P.I.P.-LOC.BRUNCU GIRAU</v>
          </cell>
          <cell r="E418" t="str">
            <v>09020</v>
          </cell>
          <cell r="F418" t="str">
            <v>SAMATZAI</v>
          </cell>
          <cell r="G418" t="str">
            <v>CA</v>
          </cell>
          <cell r="H418" t="str">
            <v>ITALIA</v>
          </cell>
          <cell r="M418" t="str">
            <v>UFFICIO ACQUISTI</v>
          </cell>
          <cell r="N418" t="str">
            <v>070 910411</v>
          </cell>
          <cell r="O418" t="str">
            <v>328 3330580</v>
          </cell>
          <cell r="P418" t="str">
            <v>cartadanieleinfissi@tiscali.it</v>
          </cell>
          <cell r="R418" t="str">
            <v>BONIFICO BANCARIO, ALLA DATA DELLA NOSTRA CONFERMA D'ORDINE</v>
          </cell>
          <cell r="X418">
            <v>0.25</v>
          </cell>
          <cell r="Y418">
            <v>-0.04</v>
          </cell>
          <cell r="AB418">
            <v>0.25</v>
          </cell>
          <cell r="AC418">
            <v>0.25</v>
          </cell>
          <cell r="AD418">
            <v>0.25</v>
          </cell>
          <cell r="AE418">
            <v>0.25</v>
          </cell>
          <cell r="AF418">
            <v>0.25</v>
          </cell>
          <cell r="AG418">
            <v>0.25</v>
          </cell>
          <cell r="AH418">
            <v>0.25</v>
          </cell>
          <cell r="AI418">
            <v>0.25</v>
          </cell>
          <cell r="AJ418">
            <v>0.25</v>
          </cell>
          <cell r="AK418">
            <v>0.25</v>
          </cell>
          <cell r="AL418">
            <v>0.25</v>
          </cell>
          <cell r="AM418">
            <v>0.25</v>
          </cell>
          <cell r="AN418">
            <v>0.25</v>
          </cell>
          <cell r="AO418">
            <v>0.25</v>
          </cell>
          <cell r="AP418">
            <v>0.25</v>
          </cell>
          <cell r="AQ418">
            <v>0.25</v>
          </cell>
          <cell r="AR418">
            <v>0.25</v>
          </cell>
          <cell r="AS418">
            <v>0.25</v>
          </cell>
          <cell r="AT418">
            <v>-0.04</v>
          </cell>
          <cell r="AU418">
            <v>0.92</v>
          </cell>
          <cell r="AV418">
            <v>20</v>
          </cell>
          <cell r="AZ418">
            <v>0.25</v>
          </cell>
          <cell r="BA418">
            <v>0.25</v>
          </cell>
        </row>
        <row r="419">
          <cell r="A419" t="str">
            <v>CARTECHINI INFISSI IN ALLUMINIO</v>
          </cell>
          <cell r="D419" t="str">
            <v>VIA DEI MESTIERI 21</v>
          </cell>
          <cell r="E419" t="str">
            <v>62014</v>
          </cell>
          <cell r="F419" t="str">
            <v>CORRIDONIA</v>
          </cell>
          <cell r="G419" t="str">
            <v>MC</v>
          </cell>
          <cell r="H419" t="str">
            <v>ITALIA</v>
          </cell>
          <cell r="M419" t="str">
            <v>UFFICIO ACQUISTI</v>
          </cell>
          <cell r="N419" t="str">
            <v>0733 281094</v>
          </cell>
          <cell r="P419" t="str">
            <v>info@cartechini-infissi.it</v>
          </cell>
          <cell r="R419" t="str">
            <v>BONIFICO BANCARIO, ALLA DATA DELLA NOSTRA CONFERMA D'ORDINE</v>
          </cell>
          <cell r="X419">
            <v>0.25</v>
          </cell>
          <cell r="Y419">
            <v>-0.04</v>
          </cell>
          <cell r="AB419">
            <v>0.25</v>
          </cell>
          <cell r="AC419">
            <v>0.25</v>
          </cell>
          <cell r="AD419">
            <v>0.25</v>
          </cell>
          <cell r="AE419">
            <v>0.25</v>
          </cell>
          <cell r="AF419">
            <v>0.25</v>
          </cell>
          <cell r="AG419">
            <v>0.25</v>
          </cell>
          <cell r="AH419">
            <v>0.25</v>
          </cell>
          <cell r="AI419">
            <v>0.25</v>
          </cell>
          <cell r="AJ419">
            <v>0.25</v>
          </cell>
          <cell r="AK419">
            <v>0.25</v>
          </cell>
          <cell r="AL419">
            <v>0.25</v>
          </cell>
          <cell r="AM419">
            <v>0.25</v>
          </cell>
          <cell r="AN419">
            <v>0.25</v>
          </cell>
          <cell r="AO419">
            <v>0.25</v>
          </cell>
          <cell r="AP419">
            <v>0.25</v>
          </cell>
          <cell r="AQ419">
            <v>0.25</v>
          </cell>
          <cell r="AR419">
            <v>0.25</v>
          </cell>
          <cell r="AS419">
            <v>0.25</v>
          </cell>
          <cell r="AT419">
            <v>-0.04</v>
          </cell>
          <cell r="AU419">
            <v>0.92</v>
          </cell>
          <cell r="AV419">
            <v>20</v>
          </cell>
          <cell r="AY419" t="str">
            <v/>
          </cell>
          <cell r="AZ419">
            <v>0.25</v>
          </cell>
          <cell r="BA419">
            <v>0.25</v>
          </cell>
        </row>
        <row r="420">
          <cell r="A420" t="str">
            <v>CASA DEL CANCELLO - FABBRO</v>
          </cell>
          <cell r="D420" t="str">
            <v>VIA F.LLI ROSSELLI, 65</v>
          </cell>
          <cell r="E420">
            <v>40050</v>
          </cell>
          <cell r="F420" t="str">
            <v>FUNO DI ARGELATO</v>
          </cell>
          <cell r="G420" t="str">
            <v>BO</v>
          </cell>
          <cell r="H420" t="str">
            <v>ITALIA</v>
          </cell>
          <cell r="M420" t="str">
            <v>UFFICIO ACQUISTI</v>
          </cell>
          <cell r="N420" t="str">
            <v>051 860656</v>
          </cell>
          <cell r="P420" t="str">
            <v>casadelcancello@gmail.com</v>
          </cell>
          <cell r="R420" t="str">
            <v>BONIFICO BANCARIO, ALLA DATA DELLA NOSTRA CONFERMA D'ORDINE</v>
          </cell>
          <cell r="X420">
            <v>0.25</v>
          </cell>
          <cell r="Y420">
            <v>-0.04</v>
          </cell>
          <cell r="AB420">
            <v>0.25</v>
          </cell>
          <cell r="AC420">
            <v>0.25</v>
          </cell>
          <cell r="AD420">
            <v>0.25</v>
          </cell>
          <cell r="AE420">
            <v>0.25</v>
          </cell>
          <cell r="AF420">
            <v>0.25</v>
          </cell>
          <cell r="AG420">
            <v>0.25</v>
          </cell>
          <cell r="AH420">
            <v>0.25</v>
          </cell>
          <cell r="AI420">
            <v>0.25</v>
          </cell>
          <cell r="AJ420">
            <v>0.25</v>
          </cell>
          <cell r="AK420">
            <v>0.25</v>
          </cell>
          <cell r="AL420">
            <v>0.25</v>
          </cell>
          <cell r="AM420">
            <v>0.25</v>
          </cell>
          <cell r="AN420">
            <v>0.25</v>
          </cell>
          <cell r="AO420">
            <v>0.25</v>
          </cell>
          <cell r="AP420">
            <v>0.25</v>
          </cell>
          <cell r="AQ420">
            <v>0.25</v>
          </cell>
          <cell r="AR420">
            <v>0.25</v>
          </cell>
          <cell r="AS420">
            <v>0.25</v>
          </cell>
          <cell r="AT420">
            <v>-0.04</v>
          </cell>
          <cell r="AU420">
            <v>0.92</v>
          </cell>
          <cell r="AV420">
            <v>20</v>
          </cell>
          <cell r="AZ420">
            <v>0.25</v>
          </cell>
          <cell r="BA420">
            <v>0.25</v>
          </cell>
        </row>
        <row r="421">
          <cell r="A421" t="str">
            <v>CASA DEL SERRAMENTO snc</v>
          </cell>
          <cell r="B421" t="str">
            <v>LASCIATO DEPLIAN -MP</v>
          </cell>
          <cell r="D421" t="str">
            <v>VIA LAMARMORA, 225</v>
          </cell>
          <cell r="E421">
            <v>18038</v>
          </cell>
          <cell r="F421" t="str">
            <v>SANREMO</v>
          </cell>
          <cell r="G421" t="str">
            <v>IM</v>
          </cell>
          <cell r="H421" t="str">
            <v>ITALIA</v>
          </cell>
          <cell r="M421" t="str">
            <v>UFFICIO ACQUISTI</v>
          </cell>
          <cell r="N421" t="str">
            <v>0184 524007</v>
          </cell>
          <cell r="O421" t="str">
            <v>347 4415862 - 338 8497975</v>
          </cell>
          <cell r="P421" t="str">
            <v>casadel.serramento@libero.it</v>
          </cell>
          <cell r="R421" t="str">
            <v>BONIFICO BANCARIO, ALLA DATA DELLA NOSTRA CONFERMA D'ORDINE</v>
          </cell>
          <cell r="X421">
            <v>0.25</v>
          </cell>
          <cell r="Y421">
            <v>-0.04</v>
          </cell>
          <cell r="AB421">
            <v>0.25</v>
          </cell>
          <cell r="AC421">
            <v>0.25</v>
          </cell>
          <cell r="AD421">
            <v>0.25</v>
          </cell>
          <cell r="AE421">
            <v>0.25</v>
          </cell>
          <cell r="AF421">
            <v>0.25</v>
          </cell>
          <cell r="AG421">
            <v>0.25</v>
          </cell>
          <cell r="AH421">
            <v>0.25</v>
          </cell>
          <cell r="AI421">
            <v>0.25</v>
          </cell>
          <cell r="AJ421">
            <v>0.25</v>
          </cell>
          <cell r="AK421">
            <v>0.25</v>
          </cell>
          <cell r="AL421">
            <v>0.25</v>
          </cell>
          <cell r="AM421">
            <v>0.25</v>
          </cell>
          <cell r="AN421">
            <v>0.25</v>
          </cell>
          <cell r="AO421">
            <v>0.25</v>
          </cell>
          <cell r="AP421">
            <v>0.25</v>
          </cell>
          <cell r="AQ421">
            <v>0.25</v>
          </cell>
          <cell r="AR421">
            <v>0.25</v>
          </cell>
          <cell r="AS421">
            <v>0.25</v>
          </cell>
          <cell r="AT421">
            <v>-0.04</v>
          </cell>
          <cell r="AU421">
            <v>0.92</v>
          </cell>
          <cell r="AV421">
            <v>20</v>
          </cell>
          <cell r="AY421" t="str">
            <v/>
          </cell>
          <cell r="AZ421">
            <v>0.25</v>
          </cell>
          <cell r="BA421">
            <v>0.25</v>
          </cell>
        </row>
        <row r="422">
          <cell r="A422" t="str">
            <v>CASA DELL'AVVOLGIBILE DI JACOPO ROFFO</v>
          </cell>
          <cell r="D422" t="str">
            <v>VIA XX SETTEMBRE,180</v>
          </cell>
          <cell r="E422">
            <v>19121</v>
          </cell>
          <cell r="F422" t="str">
            <v>LA SPEZIA</v>
          </cell>
          <cell r="G422" t="str">
            <v>SP</v>
          </cell>
          <cell r="H422" t="str">
            <v>ITALIA</v>
          </cell>
          <cell r="J422">
            <v>1329560112</v>
          </cell>
          <cell r="M422" t="str">
            <v>UFFICIO ACQUISTI</v>
          </cell>
          <cell r="N422" t="str">
            <v>0187 23251</v>
          </cell>
          <cell r="O422" t="str">
            <v>347 5236707-340 8193192</v>
          </cell>
          <cell r="P422" t="str">
            <v>casadllavvolgibile@libero.it</v>
          </cell>
          <cell r="R422" t="str">
            <v>BONIFICO BANCARIO, ALLA DATA DELLA NOSTRA CONFERMA D'ORDINE</v>
          </cell>
          <cell r="X422">
            <v>0.25</v>
          </cell>
          <cell r="Y422">
            <v>-0.04</v>
          </cell>
          <cell r="AB422">
            <v>0.25</v>
          </cell>
          <cell r="AC422">
            <v>0.25</v>
          </cell>
          <cell r="AD422">
            <v>0.25</v>
          </cell>
          <cell r="AE422">
            <v>0.25</v>
          </cell>
          <cell r="AF422">
            <v>0.25</v>
          </cell>
          <cell r="AG422">
            <v>0.25</v>
          </cell>
          <cell r="AH422">
            <v>0.25</v>
          </cell>
          <cell r="AI422">
            <v>0.25</v>
          </cell>
          <cell r="AJ422">
            <v>0.25</v>
          </cell>
          <cell r="AK422">
            <v>0.25</v>
          </cell>
          <cell r="AL422">
            <v>0.25</v>
          </cell>
          <cell r="AM422">
            <v>0.25</v>
          </cell>
          <cell r="AN422">
            <v>0.25</v>
          </cell>
          <cell r="AO422">
            <v>0.25</v>
          </cell>
          <cell r="AP422">
            <v>0.25</v>
          </cell>
          <cell r="AQ422">
            <v>0.25</v>
          </cell>
          <cell r="AR422">
            <v>0.25</v>
          </cell>
          <cell r="AS422">
            <v>0.25</v>
          </cell>
          <cell r="AT422">
            <v>-0.04</v>
          </cell>
          <cell r="AU422">
            <v>0.92</v>
          </cell>
          <cell r="AV422">
            <v>20</v>
          </cell>
          <cell r="AY422" t="str">
            <v/>
          </cell>
          <cell r="AZ422">
            <v>0.25</v>
          </cell>
          <cell r="BA422">
            <v>0.25</v>
          </cell>
        </row>
        <row r="423">
          <cell r="A423" t="str">
            <v>CASA INFISSI SNC</v>
          </cell>
          <cell r="D423" t="str">
            <v>VIA CARRER 17</v>
          </cell>
          <cell r="E423" t="str">
            <v>45014</v>
          </cell>
          <cell r="F423" t="str">
            <v>PORTO VIRO</v>
          </cell>
          <cell r="G423" t="str">
            <v>RO</v>
          </cell>
          <cell r="H423" t="str">
            <v>ITALIA</v>
          </cell>
          <cell r="J423" t="str">
            <v>01461630293</v>
          </cell>
          <cell r="M423" t="str">
            <v>UFFICIO ACQUISTI</v>
          </cell>
          <cell r="N423" t="str">
            <v>0426 634149</v>
          </cell>
          <cell r="P423" t="str">
            <v>casainfissisnc@gmail.com</v>
          </cell>
          <cell r="R423" t="str">
            <v>BONIFICO BANCARIO, ALLA DATA DELLA NOSTRA CONFERMA D'ORDINE</v>
          </cell>
          <cell r="X423">
            <v>0.25</v>
          </cell>
          <cell r="Y423">
            <v>-0.04</v>
          </cell>
          <cell r="AB423">
            <v>0.25</v>
          </cell>
          <cell r="AC423">
            <v>0.25</v>
          </cell>
          <cell r="AD423">
            <v>0.25</v>
          </cell>
          <cell r="AE423">
            <v>0.25</v>
          </cell>
          <cell r="AF423">
            <v>0.25</v>
          </cell>
          <cell r="AG423">
            <v>0.25</v>
          </cell>
          <cell r="AH423">
            <v>0.25</v>
          </cell>
          <cell r="AI423">
            <v>0.25</v>
          </cell>
          <cell r="AJ423">
            <v>0.25</v>
          </cell>
          <cell r="AK423">
            <v>0.25</v>
          </cell>
          <cell r="AL423">
            <v>0.25</v>
          </cell>
          <cell r="AM423">
            <v>0.25</v>
          </cell>
          <cell r="AN423">
            <v>0.25</v>
          </cell>
          <cell r="AO423">
            <v>0.25</v>
          </cell>
          <cell r="AP423">
            <v>0.25</v>
          </cell>
          <cell r="AQ423">
            <v>0.25</v>
          </cell>
          <cell r="AR423">
            <v>0.25</v>
          </cell>
          <cell r="AS423">
            <v>0.25</v>
          </cell>
          <cell r="AT423">
            <v>-0.04</v>
          </cell>
          <cell r="AU423">
            <v>0.92</v>
          </cell>
          <cell r="AV423">
            <v>20</v>
          </cell>
          <cell r="AY423" t="str">
            <v/>
          </cell>
          <cell r="AZ423">
            <v>0.25</v>
          </cell>
          <cell r="BA423">
            <v>0.25</v>
          </cell>
        </row>
        <row r="424">
          <cell r="A424" t="str">
            <v xml:space="preserve">CASA INFISSI SRL </v>
          </cell>
          <cell r="B424" t="str">
            <v>MASSIMO, FRANCESCO BALDASSARRI</v>
          </cell>
          <cell r="D424" t="str">
            <v>VIA STAZIONE, 25</v>
          </cell>
          <cell r="E424" t="str">
            <v>63844</v>
          </cell>
          <cell r="F424" t="str">
            <v>GROTTAZZOLINA</v>
          </cell>
          <cell r="G424" t="str">
            <v>FM</v>
          </cell>
          <cell r="H424" t="str">
            <v>ITALIA</v>
          </cell>
          <cell r="J424" t="str">
            <v>02095800443</v>
          </cell>
          <cell r="M424" t="str">
            <v>UFFICIO ACQUISTI</v>
          </cell>
          <cell r="N424" t="str">
            <v>0733 1838854</v>
          </cell>
          <cell r="O424" t="str">
            <v>3313870691</v>
          </cell>
          <cell r="P424" t="str">
            <v>francesco.casainfissi@gmail.com</v>
          </cell>
          <cell r="R424" t="str">
            <v>BONIFICO BANCARIO, ALLA DATA DELLA NOSTRA CONFERMA D'ORDINE</v>
          </cell>
          <cell r="X424">
            <v>0.25</v>
          </cell>
          <cell r="Y424">
            <v>-0.04</v>
          </cell>
          <cell r="AB424">
            <v>0.25</v>
          </cell>
          <cell r="AC424">
            <v>0.25</v>
          </cell>
          <cell r="AD424">
            <v>0.25</v>
          </cell>
          <cell r="AE424">
            <v>0.25</v>
          </cell>
          <cell r="AF424">
            <v>0.25</v>
          </cell>
          <cell r="AG424">
            <v>0.25</v>
          </cell>
          <cell r="AH424">
            <v>0.25</v>
          </cell>
          <cell r="AI424">
            <v>0.25</v>
          </cell>
          <cell r="AJ424">
            <v>0.25</v>
          </cell>
          <cell r="AK424">
            <v>0.25</v>
          </cell>
          <cell r="AL424">
            <v>0.25</v>
          </cell>
          <cell r="AM424">
            <v>0.25</v>
          </cell>
          <cell r="AN424">
            <v>0.25</v>
          </cell>
          <cell r="AO424">
            <v>0.25</v>
          </cell>
          <cell r="AP424">
            <v>0.25</v>
          </cell>
          <cell r="AQ424">
            <v>0.25</v>
          </cell>
          <cell r="AR424">
            <v>0.25</v>
          </cell>
          <cell r="AS424">
            <v>0.25</v>
          </cell>
          <cell r="AT424">
            <v>-0.04</v>
          </cell>
          <cell r="AU424">
            <v>0.92</v>
          </cell>
          <cell r="AV424">
            <v>20</v>
          </cell>
          <cell r="AZ424">
            <v>0.25</v>
          </cell>
          <cell r="BA424">
            <v>0.25</v>
          </cell>
        </row>
        <row r="425">
          <cell r="A425" t="str">
            <v>CASA OK DI RAFFAELE CAIONE</v>
          </cell>
          <cell r="F425" t="str">
            <v xml:space="preserve">VALLE SAN BARTOLOMEO </v>
          </cell>
          <cell r="G425" t="str">
            <v>AL</v>
          </cell>
          <cell r="H425" t="str">
            <v>ITALIA</v>
          </cell>
          <cell r="M425" t="str">
            <v>UFFICIO ACQUISTI</v>
          </cell>
          <cell r="O425" t="str">
            <v>338 3739091</v>
          </cell>
          <cell r="P425" t="str">
            <v>casa.ok@pec.it</v>
          </cell>
          <cell r="R425" t="str">
            <v>BONIFICO BANCARIO, ALLA DATA DELLA NOSTRA CONFERMA D'ORDINE</v>
          </cell>
          <cell r="X425">
            <v>0.25</v>
          </cell>
          <cell r="Y425">
            <v>-0.04</v>
          </cell>
          <cell r="AB425">
            <v>0.25</v>
          </cell>
          <cell r="AC425">
            <v>0.25</v>
          </cell>
          <cell r="AD425">
            <v>0.25</v>
          </cell>
          <cell r="AE425">
            <v>0.25</v>
          </cell>
          <cell r="AF425">
            <v>0.25</v>
          </cell>
          <cell r="AG425">
            <v>0.25</v>
          </cell>
          <cell r="AH425">
            <v>0.25</v>
          </cell>
          <cell r="AI425">
            <v>0.25</v>
          </cell>
          <cell r="AJ425">
            <v>0.25</v>
          </cell>
          <cell r="AK425">
            <v>0.25</v>
          </cell>
          <cell r="AL425">
            <v>0.25</v>
          </cell>
          <cell r="AM425">
            <v>0.25</v>
          </cell>
          <cell r="AN425">
            <v>0.25</v>
          </cell>
          <cell r="AO425">
            <v>0.25</v>
          </cell>
          <cell r="AP425">
            <v>0.25</v>
          </cell>
          <cell r="AQ425">
            <v>0.25</v>
          </cell>
          <cell r="AR425">
            <v>0.25</v>
          </cell>
          <cell r="AS425">
            <v>0.25</v>
          </cell>
          <cell r="AT425">
            <v>-0.04</v>
          </cell>
          <cell r="AU425">
            <v>0.92</v>
          </cell>
          <cell r="AV425">
            <v>20</v>
          </cell>
          <cell r="AY425" t="str">
            <v/>
          </cell>
          <cell r="AZ425">
            <v>0.25</v>
          </cell>
          <cell r="BA425">
            <v>0.25</v>
          </cell>
        </row>
        <row r="426">
          <cell r="A426" t="str">
            <v>CASA SERVICE SRL</v>
          </cell>
          <cell r="D426" t="str">
            <v>VIA ERIDANIA 84</v>
          </cell>
          <cell r="E426" t="str">
            <v>45030</v>
          </cell>
          <cell r="F426" t="str">
            <v>OCCHIOBELLO</v>
          </cell>
          <cell r="G426" t="str">
            <v>RO</v>
          </cell>
          <cell r="H426" t="str">
            <v>ITALIA</v>
          </cell>
          <cell r="J426" t="str">
            <v>01514430295</v>
          </cell>
          <cell r="M426" t="str">
            <v>UFFICIO ACQUISTI</v>
          </cell>
          <cell r="N426" t="str">
            <v>0425 750893</v>
          </cell>
          <cell r="P426" t="str">
            <v>info@serramenticasaservice.it</v>
          </cell>
          <cell r="R426" t="str">
            <v>BONIFICO BANCARIO, ALLA DATA DELLA NOSTRA CONFERMA D'ORDINE</v>
          </cell>
          <cell r="X426">
            <v>0.25</v>
          </cell>
          <cell r="Y426">
            <v>-0.04</v>
          </cell>
          <cell r="AB426">
            <v>0.25</v>
          </cell>
          <cell r="AC426">
            <v>0.25</v>
          </cell>
          <cell r="AD426">
            <v>0.25</v>
          </cell>
          <cell r="AE426">
            <v>0.25</v>
          </cell>
          <cell r="AF426">
            <v>0.25</v>
          </cell>
          <cell r="AG426">
            <v>0.25</v>
          </cell>
          <cell r="AH426">
            <v>0.25</v>
          </cell>
          <cell r="AI426">
            <v>0.25</v>
          </cell>
          <cell r="AJ426">
            <v>0.25</v>
          </cell>
          <cell r="AK426">
            <v>0.25</v>
          </cell>
          <cell r="AL426">
            <v>0.25</v>
          </cell>
          <cell r="AM426">
            <v>0.25</v>
          </cell>
          <cell r="AN426">
            <v>0.25</v>
          </cell>
          <cell r="AO426">
            <v>0.25</v>
          </cell>
          <cell r="AP426">
            <v>0.25</v>
          </cell>
          <cell r="AQ426">
            <v>0.25</v>
          </cell>
          <cell r="AR426">
            <v>0.25</v>
          </cell>
          <cell r="AS426">
            <v>0.25</v>
          </cell>
          <cell r="AT426">
            <v>-0.04</v>
          </cell>
          <cell r="AU426">
            <v>0.92</v>
          </cell>
          <cell r="AV426">
            <v>20</v>
          </cell>
          <cell r="AY426" t="str">
            <v/>
          </cell>
          <cell r="AZ426">
            <v>0.25</v>
          </cell>
          <cell r="BA426">
            <v>0.25</v>
          </cell>
        </row>
        <row r="427">
          <cell r="A427" t="str">
            <v>CASA TREND SRL</v>
          </cell>
          <cell r="D427" t="str">
            <v>VIA DOMENICO CARBONE 7B</v>
          </cell>
          <cell r="E427">
            <v>15050</v>
          </cell>
          <cell r="F427" t="str">
            <v>VILLALVERNIA</v>
          </cell>
          <cell r="G427" t="str">
            <v>AL</v>
          </cell>
          <cell r="H427" t="str">
            <v>ITALIA</v>
          </cell>
          <cell r="J427" t="str">
            <v>02573870066</v>
          </cell>
          <cell r="K427" t="str">
            <v>T9K42HO</v>
          </cell>
          <cell r="M427" t="str">
            <v>UFFICIO ACQUISTI</v>
          </cell>
          <cell r="N427" t="str">
            <v>0131 1936006</v>
          </cell>
          <cell r="P427" t="str">
            <v>info@casatrendsrl.com</v>
          </cell>
          <cell r="R427" t="str">
            <v>BONIFICO BANCARIO, ALLA DATA DELLA NOSTRA CONFERMA D'ORDINE</v>
          </cell>
          <cell r="X427">
            <v>0.25</v>
          </cell>
          <cell r="Y427">
            <v>-0.04</v>
          </cell>
          <cell r="AB427">
            <v>0.25</v>
          </cell>
          <cell r="AC427">
            <v>0.25</v>
          </cell>
          <cell r="AD427">
            <v>0.25</v>
          </cell>
          <cell r="AE427">
            <v>0.25</v>
          </cell>
          <cell r="AF427">
            <v>0.25</v>
          </cell>
          <cell r="AG427">
            <v>0.25</v>
          </cell>
          <cell r="AH427">
            <v>0.25</v>
          </cell>
          <cell r="AI427">
            <v>0.25</v>
          </cell>
          <cell r="AJ427">
            <v>0.25</v>
          </cell>
          <cell r="AK427">
            <v>0.25</v>
          </cell>
          <cell r="AL427">
            <v>0.25</v>
          </cell>
          <cell r="AM427">
            <v>0.25</v>
          </cell>
          <cell r="AN427">
            <v>0.25</v>
          </cell>
          <cell r="AO427">
            <v>0.25</v>
          </cell>
          <cell r="AP427">
            <v>0.25</v>
          </cell>
          <cell r="AQ427">
            <v>0.25</v>
          </cell>
          <cell r="AR427">
            <v>0.25</v>
          </cell>
          <cell r="AS427">
            <v>0.25</v>
          </cell>
          <cell r="AT427">
            <v>-0.04</v>
          </cell>
          <cell r="AU427">
            <v>0.92</v>
          </cell>
          <cell r="AV427">
            <v>20</v>
          </cell>
          <cell r="AY427" t="str">
            <v/>
          </cell>
          <cell r="AZ427">
            <v>0.25</v>
          </cell>
          <cell r="BA427">
            <v>0.25</v>
          </cell>
        </row>
        <row r="428">
          <cell r="A428" t="str">
            <v>CASABIANCA INFISSI</v>
          </cell>
          <cell r="B428" t="str">
            <v>03/11/22 PARLATO CON SIG. CASABIANCA GASPARE. DICE CHE TRATTANO ACQUASTOP MA NON HANNO MAI CHIUSO UN CONTRATTO. NON NE PARLA BENE. VUOLE INFO PERCHE' HA DIVERSE RICHIESTE. SECONDO ME POCO CAPACE DI PROPORRE E CONVINCERE IL CLIENTE FINALE. CREDO SIA MOLTO UTILE UN CAMPIONE PER LUI. MANDATO MAIL + MATERIALE PROMO</v>
          </cell>
          <cell r="D428" t="str">
            <v>VIA L. SETTEMBRINI, 161</v>
          </cell>
          <cell r="E428">
            <v>90042</v>
          </cell>
          <cell r="F428" t="str">
            <v>BORGETTO</v>
          </cell>
          <cell r="G428" t="str">
            <v>PA</v>
          </cell>
          <cell r="H428" t="str">
            <v>ITALIA</v>
          </cell>
          <cell r="J428" t="str">
            <v>05069190824</v>
          </cell>
          <cell r="M428" t="str">
            <v>UFFICIO ACQUISTI</v>
          </cell>
          <cell r="O428" t="str">
            <v>393 5663504</v>
          </cell>
          <cell r="P428" t="str">
            <v>casabiancagaspare@gmail.com</v>
          </cell>
          <cell r="R428" t="str">
            <v>BONIFICO BANCARIO, ALLA DATA DELLA NOSTRA CONFERMA D'ORDINE</v>
          </cell>
          <cell r="X428">
            <v>0.25</v>
          </cell>
          <cell r="Y428">
            <v>-0.04</v>
          </cell>
          <cell r="AB428">
            <v>0.25</v>
          </cell>
          <cell r="AC428">
            <v>0.25</v>
          </cell>
          <cell r="AD428">
            <v>0.25</v>
          </cell>
          <cell r="AE428">
            <v>0.25</v>
          </cell>
          <cell r="AF428">
            <v>0.25</v>
          </cell>
          <cell r="AG428">
            <v>0.25</v>
          </cell>
          <cell r="AH428">
            <v>0.25</v>
          </cell>
          <cell r="AI428">
            <v>0.25</v>
          </cell>
          <cell r="AJ428">
            <v>0.25</v>
          </cell>
          <cell r="AK428">
            <v>0.25</v>
          </cell>
          <cell r="AL428">
            <v>0.25</v>
          </cell>
          <cell r="AM428">
            <v>0.25</v>
          </cell>
          <cell r="AN428">
            <v>0.25</v>
          </cell>
          <cell r="AO428">
            <v>0.25</v>
          </cell>
          <cell r="AP428">
            <v>0.25</v>
          </cell>
          <cell r="AQ428">
            <v>0.25</v>
          </cell>
          <cell r="AR428">
            <v>0.25</v>
          </cell>
          <cell r="AS428">
            <v>0.25</v>
          </cell>
          <cell r="AT428">
            <v>-0.04</v>
          </cell>
          <cell r="AU428">
            <v>0.88</v>
          </cell>
          <cell r="AV428">
            <v>20</v>
          </cell>
          <cell r="AZ428">
            <v>0.25</v>
          </cell>
          <cell r="BA428">
            <v>0.25</v>
          </cell>
        </row>
        <row r="429">
          <cell r="A429" t="str">
            <v>CASAFINESTRA DI GIANLUCA GORI E CARLO GUAZZINI</v>
          </cell>
          <cell r="D429" t="str">
            <v>VIA RODOLICO 149</v>
          </cell>
          <cell r="E429" t="str">
            <v>51100</v>
          </cell>
          <cell r="F429" t="str">
            <v>PISTOIA</v>
          </cell>
          <cell r="G429" t="str">
            <v>PT</v>
          </cell>
          <cell r="H429" t="str">
            <v>ITALIA</v>
          </cell>
          <cell r="J429" t="str">
            <v>01805220470</v>
          </cell>
          <cell r="M429" t="str">
            <v>UFFICIO ACQUISTI</v>
          </cell>
          <cell r="N429" t="str">
            <v>0573 531472</v>
          </cell>
          <cell r="O429" t="str">
            <v>331 7666591 GIANLUCA</v>
          </cell>
          <cell r="R429" t="str">
            <v>BONIFICO BANCARIO, ALLA DATA DELLA NOSTRA CONFERMA D'ORDINE</v>
          </cell>
          <cell r="X429">
            <v>0.25</v>
          </cell>
          <cell r="Y429">
            <v>-0.04</v>
          </cell>
          <cell r="AB429">
            <v>0.25</v>
          </cell>
          <cell r="AC429">
            <v>0.25</v>
          </cell>
          <cell r="AD429">
            <v>0.25</v>
          </cell>
          <cell r="AE429">
            <v>0.25</v>
          </cell>
          <cell r="AF429">
            <v>0.25</v>
          </cell>
          <cell r="AG429">
            <v>0.25</v>
          </cell>
          <cell r="AH429">
            <v>0.25</v>
          </cell>
          <cell r="AI429">
            <v>0.25</v>
          </cell>
          <cell r="AJ429">
            <v>0.25</v>
          </cell>
          <cell r="AK429">
            <v>0.25</v>
          </cell>
          <cell r="AL429">
            <v>0.25</v>
          </cell>
          <cell r="AM429">
            <v>0.25</v>
          </cell>
          <cell r="AN429">
            <v>0.25</v>
          </cell>
          <cell r="AO429">
            <v>0.25</v>
          </cell>
          <cell r="AP429">
            <v>0.25</v>
          </cell>
          <cell r="AQ429">
            <v>0.25</v>
          </cell>
          <cell r="AR429">
            <v>0.25</v>
          </cell>
          <cell r="AS429">
            <v>0.25</v>
          </cell>
          <cell r="AT429">
            <v>-0.04</v>
          </cell>
          <cell r="AU429">
            <v>0.92</v>
          </cell>
          <cell r="AV429">
            <v>20</v>
          </cell>
          <cell r="AZ429">
            <v>0.25</v>
          </cell>
          <cell r="BA429">
            <v>0.25</v>
          </cell>
        </row>
        <row r="430">
          <cell r="A430" t="str">
            <v>CASAFORTE SRL</v>
          </cell>
          <cell r="B430" t="str">
            <v>EX ROMANGOLI INFISSI</v>
          </cell>
          <cell r="D430" t="str">
            <v>VIA GIUBELLI, 3</v>
          </cell>
          <cell r="E430">
            <v>58100</v>
          </cell>
          <cell r="F430" t="str">
            <v>GROSSETO</v>
          </cell>
          <cell r="G430" t="str">
            <v>GR</v>
          </cell>
          <cell r="H430" t="str">
            <v>ITALIA</v>
          </cell>
          <cell r="J430" t="str">
            <v>01695650539</v>
          </cell>
          <cell r="K430" t="str">
            <v>USAL8PV</v>
          </cell>
          <cell r="L430" t="str">
            <v>VIA MARCELLO INNOCENTI, 6 - 58015 ORBETELLO SCALO (GR)</v>
          </cell>
          <cell r="M430" t="str">
            <v>UFFICIO ACQUISTI</v>
          </cell>
          <cell r="N430" t="str">
            <v>0564 417094</v>
          </cell>
          <cell r="P430" t="str">
            <v>info@casafortesrl.it</v>
          </cell>
          <cell r="R430" t="str">
            <v>BONIFICO BANCARIO, ALLA DATA DELLA NOSTRA CONFERMA D'ORDINE</v>
          </cell>
          <cell r="X430">
            <v>0.25</v>
          </cell>
          <cell r="Y430">
            <v>-0.04</v>
          </cell>
          <cell r="AB430">
            <v>0.25</v>
          </cell>
          <cell r="AC430">
            <v>0.25</v>
          </cell>
          <cell r="AD430">
            <v>0.25</v>
          </cell>
          <cell r="AE430">
            <v>0.25</v>
          </cell>
          <cell r="AF430">
            <v>0.25</v>
          </cell>
          <cell r="AG430">
            <v>0.25</v>
          </cell>
          <cell r="AH430">
            <v>0.25</v>
          </cell>
          <cell r="AI430">
            <v>0.25</v>
          </cell>
          <cell r="AJ430">
            <v>0.25</v>
          </cell>
          <cell r="AK430">
            <v>0.25</v>
          </cell>
          <cell r="AL430">
            <v>0.25</v>
          </cell>
          <cell r="AM430">
            <v>0.25</v>
          </cell>
          <cell r="AN430">
            <v>0.25</v>
          </cell>
          <cell r="AO430">
            <v>0.25</v>
          </cell>
          <cell r="AP430">
            <v>0.25</v>
          </cell>
          <cell r="AQ430">
            <v>0.25</v>
          </cell>
          <cell r="AR430">
            <v>0.25</v>
          </cell>
          <cell r="AS430">
            <v>0.25</v>
          </cell>
          <cell r="AT430">
            <v>-0.04</v>
          </cell>
          <cell r="AU430">
            <v>0.88</v>
          </cell>
          <cell r="AV430">
            <v>20</v>
          </cell>
          <cell r="AY430" t="str">
            <v/>
          </cell>
          <cell r="AZ430">
            <v>0.25</v>
          </cell>
          <cell r="BA430">
            <v>0.25</v>
          </cell>
        </row>
        <row r="431">
          <cell r="A431" t="str">
            <v>CASALOFT.IT</v>
          </cell>
          <cell r="D431" t="str">
            <v xml:space="preserve">VIA DELLE INDUSTRIE </v>
          </cell>
          <cell r="F431" t="str">
            <v>BASTIA UMBRA</v>
          </cell>
          <cell r="G431" t="str">
            <v>PG</v>
          </cell>
          <cell r="H431" t="str">
            <v>ITALIA</v>
          </cell>
          <cell r="M431" t="str">
            <v>UFFICIO ACQUISTI</v>
          </cell>
          <cell r="N431" t="str">
            <v>333 1349879</v>
          </cell>
          <cell r="O431" t="str">
            <v>335 8062976</v>
          </cell>
          <cell r="P431" t="str">
            <v>segreteria@casaloft.it</v>
          </cell>
          <cell r="R431" t="str">
            <v>BONIFICO BANCARIO, ALLA DATA DELLA NOSTRA CONFERMA D'ORDINE</v>
          </cell>
          <cell r="X431">
            <v>0.25</v>
          </cell>
          <cell r="Y431">
            <v>-0.04</v>
          </cell>
          <cell r="AB431">
            <v>0.25</v>
          </cell>
          <cell r="AC431">
            <v>0.25</v>
          </cell>
          <cell r="AD431">
            <v>0.25</v>
          </cell>
          <cell r="AE431">
            <v>0.25</v>
          </cell>
          <cell r="AF431">
            <v>0.25</v>
          </cell>
          <cell r="AG431">
            <v>0.25</v>
          </cell>
          <cell r="AH431">
            <v>0.25</v>
          </cell>
          <cell r="AI431">
            <v>0.25</v>
          </cell>
          <cell r="AJ431">
            <v>0.25</v>
          </cell>
          <cell r="AK431">
            <v>0.25</v>
          </cell>
          <cell r="AL431">
            <v>0.25</v>
          </cell>
          <cell r="AM431">
            <v>0.25</v>
          </cell>
          <cell r="AN431">
            <v>0.25</v>
          </cell>
          <cell r="AO431">
            <v>0.25</v>
          </cell>
          <cell r="AP431">
            <v>0.25</v>
          </cell>
          <cell r="AQ431">
            <v>0.25</v>
          </cell>
          <cell r="AR431">
            <v>0.25</v>
          </cell>
          <cell r="AS431">
            <v>0.25</v>
          </cell>
          <cell r="AT431">
            <v>-0.04</v>
          </cell>
          <cell r="AU431">
            <v>0.92</v>
          </cell>
          <cell r="AV431">
            <v>20</v>
          </cell>
          <cell r="AY431" t="str">
            <v/>
          </cell>
          <cell r="AZ431">
            <v>0.25</v>
          </cell>
          <cell r="BA431">
            <v>0.25</v>
          </cell>
        </row>
        <row r="432">
          <cell r="A432" t="str">
            <v>CASALVIERI &amp; ANDREOZZI SNC</v>
          </cell>
          <cell r="D432" t="str">
            <v>VIA APPIA NUOVA, 192 KM20,800</v>
          </cell>
          <cell r="E432" t="str">
            <v>00040</v>
          </cell>
          <cell r="F432" t="str">
            <v>FRATTOCCHIE DI MARINO</v>
          </cell>
          <cell r="G432" t="str">
            <v>RM</v>
          </cell>
          <cell r="H432" t="str">
            <v>ITALIA</v>
          </cell>
          <cell r="M432" t="str">
            <v>UFFICIO ACQUISTI</v>
          </cell>
          <cell r="N432" t="str">
            <v>06 9352028</v>
          </cell>
          <cell r="O432" t="str">
            <v>393 9900053</v>
          </cell>
          <cell r="P432" t="str">
            <v>info@casalvieriandreozzi.it</v>
          </cell>
          <cell r="R432" t="str">
            <v>BONIFICO BANCARIO, ALLA DATA DELLA NOSTRA CONFERMA D'ORDINE</v>
          </cell>
          <cell r="X432">
            <v>0.2</v>
          </cell>
          <cell r="Y432">
            <v>-0.04</v>
          </cell>
          <cell r="AB432">
            <v>0.2</v>
          </cell>
          <cell r="AC432">
            <v>0.2</v>
          </cell>
          <cell r="AD432">
            <v>0.2</v>
          </cell>
          <cell r="AE432">
            <v>0.2</v>
          </cell>
          <cell r="AF432">
            <v>0.2</v>
          </cell>
          <cell r="AG432">
            <v>0.2</v>
          </cell>
          <cell r="AH432">
            <v>0.2</v>
          </cell>
          <cell r="AI432">
            <v>0.2</v>
          </cell>
          <cell r="AJ432">
            <v>0.2</v>
          </cell>
          <cell r="AK432">
            <v>0.2</v>
          </cell>
          <cell r="AL432">
            <v>0.2</v>
          </cell>
          <cell r="AM432">
            <v>0.2</v>
          </cell>
          <cell r="AN432">
            <v>0.2</v>
          </cell>
          <cell r="AO432">
            <v>0.2</v>
          </cell>
          <cell r="AP432">
            <v>0.2</v>
          </cell>
          <cell r="AQ432">
            <v>0.2</v>
          </cell>
          <cell r="AR432">
            <v>0.2</v>
          </cell>
          <cell r="AS432">
            <v>0.2</v>
          </cell>
          <cell r="AT432">
            <v>-0.04</v>
          </cell>
          <cell r="AU432">
            <v>0.92</v>
          </cell>
          <cell r="AV432">
            <v>20</v>
          </cell>
          <cell r="AZ432">
            <v>0.2</v>
          </cell>
          <cell r="BA432">
            <v>0.2</v>
          </cell>
        </row>
        <row r="433">
          <cell r="A433" t="str">
            <v>CASAPIù  DI DATI BARSOTTELLI SNC</v>
          </cell>
          <cell r="D433" t="str">
            <v>VIA MONTRAMITO 1406</v>
          </cell>
          <cell r="E433" t="str">
            <v>55054</v>
          </cell>
          <cell r="F433" t="str">
            <v>MASSAROSA</v>
          </cell>
          <cell r="G433" t="str">
            <v>LU</v>
          </cell>
          <cell r="H433" t="str">
            <v>ITALIA</v>
          </cell>
          <cell r="M433" t="str">
            <v>UFFICIO ACQUISTI</v>
          </cell>
          <cell r="N433" t="str">
            <v>0584 960776</v>
          </cell>
          <cell r="O433" t="str">
            <v>348 2285166-348 2285165</v>
          </cell>
          <cell r="R433" t="str">
            <v>BONIFICO BANCARIO, ALLA DATA DELLA NOSTRA CONFERMA D'ORDINE</v>
          </cell>
          <cell r="X433">
            <v>0.25</v>
          </cell>
          <cell r="Y433">
            <v>-0.04</v>
          </cell>
          <cell r="AB433">
            <v>0.25</v>
          </cell>
          <cell r="AC433">
            <v>0.25</v>
          </cell>
          <cell r="AD433">
            <v>0.25</v>
          </cell>
          <cell r="AE433">
            <v>0.25</v>
          </cell>
          <cell r="AF433">
            <v>0.25</v>
          </cell>
          <cell r="AG433">
            <v>0.25</v>
          </cell>
          <cell r="AH433">
            <v>0.25</v>
          </cell>
          <cell r="AI433">
            <v>0.25</v>
          </cell>
          <cell r="AJ433">
            <v>0.25</v>
          </cell>
          <cell r="AK433">
            <v>0.25</v>
          </cell>
          <cell r="AL433">
            <v>0.25</v>
          </cell>
          <cell r="AM433">
            <v>0.25</v>
          </cell>
          <cell r="AN433">
            <v>0.25</v>
          </cell>
          <cell r="AO433">
            <v>0.25</v>
          </cell>
          <cell r="AP433">
            <v>0.25</v>
          </cell>
          <cell r="AQ433">
            <v>0.25</v>
          </cell>
          <cell r="AR433">
            <v>0.25</v>
          </cell>
          <cell r="AS433">
            <v>0.25</v>
          </cell>
          <cell r="AT433">
            <v>-0.04</v>
          </cell>
          <cell r="AU433">
            <v>0.92</v>
          </cell>
          <cell r="AV433">
            <v>20</v>
          </cell>
          <cell r="AY433" t="str">
            <v/>
          </cell>
          <cell r="AZ433">
            <v>0.25</v>
          </cell>
          <cell r="BA433">
            <v>0.25</v>
          </cell>
        </row>
        <row r="434">
          <cell r="A434" t="str">
            <v xml:space="preserve">CASCINI </v>
          </cell>
          <cell r="D434" t="str">
            <v>VIA SEMPIONE, 161</v>
          </cell>
          <cell r="E434">
            <v>20016</v>
          </cell>
          <cell r="F434" t="str">
            <v>PERO</v>
          </cell>
          <cell r="G434" t="str">
            <v>MI</v>
          </cell>
          <cell r="H434" t="str">
            <v>ITALIA</v>
          </cell>
          <cell r="M434" t="str">
            <v>UFFICIO ACQUISTI</v>
          </cell>
          <cell r="N434" t="str">
            <v>02 33912444</v>
          </cell>
          <cell r="P434" t="str">
            <v>cascinigroup@libero.it</v>
          </cell>
          <cell r="R434" t="str">
            <v>BONIFICO BANCARIO, ALLA DATA DELLA NOSTRA CONFERMA D'ORDINE</v>
          </cell>
          <cell r="X434">
            <v>0.25</v>
          </cell>
          <cell r="Y434">
            <v>-0.04</v>
          </cell>
          <cell r="AB434">
            <v>0.25</v>
          </cell>
          <cell r="AC434">
            <v>0.25</v>
          </cell>
          <cell r="AD434">
            <v>0.25</v>
          </cell>
          <cell r="AE434">
            <v>0.25</v>
          </cell>
          <cell r="AF434">
            <v>0.25</v>
          </cell>
          <cell r="AG434">
            <v>0.25</v>
          </cell>
          <cell r="AH434">
            <v>0.25</v>
          </cell>
          <cell r="AI434">
            <v>0.25</v>
          </cell>
          <cell r="AJ434">
            <v>0.25</v>
          </cell>
          <cell r="AK434">
            <v>0.25</v>
          </cell>
          <cell r="AL434">
            <v>0.25</v>
          </cell>
          <cell r="AM434">
            <v>0.25</v>
          </cell>
          <cell r="AN434">
            <v>0.25</v>
          </cell>
          <cell r="AO434">
            <v>0.25</v>
          </cell>
          <cell r="AP434">
            <v>0.25</v>
          </cell>
          <cell r="AQ434">
            <v>0.25</v>
          </cell>
          <cell r="AR434">
            <v>0.25</v>
          </cell>
          <cell r="AS434">
            <v>0.25</v>
          </cell>
          <cell r="AT434">
            <v>-0.04</v>
          </cell>
          <cell r="AU434">
            <v>0.92</v>
          </cell>
          <cell r="AV434">
            <v>20</v>
          </cell>
          <cell r="AY434" t="str">
            <v/>
          </cell>
          <cell r="AZ434">
            <v>0.25</v>
          </cell>
          <cell r="BA434">
            <v>0.25</v>
          </cell>
        </row>
        <row r="435">
          <cell r="A435" t="str">
            <v>CASCONE</v>
          </cell>
          <cell r="D435" t="str">
            <v>ZONA ART. VIA ON.LE</v>
          </cell>
          <cell r="E435">
            <v>97100</v>
          </cell>
          <cell r="F435" t="str">
            <v>RAGUSA</v>
          </cell>
          <cell r="G435" t="str">
            <v>RG</v>
          </cell>
          <cell r="H435" t="str">
            <v>ITALIA</v>
          </cell>
          <cell r="J435">
            <v>1481470886</v>
          </cell>
          <cell r="M435" t="str">
            <v>UFFICIO ACQUISTI</v>
          </cell>
          <cell r="N435" t="str">
            <v>0932 667843</v>
          </cell>
          <cell r="O435" t="str">
            <v>329 2733169</v>
          </cell>
          <cell r="P435" t="str">
            <v>info@casconeporteefinestre.it</v>
          </cell>
          <cell r="R435" t="str">
            <v>BONIFICO BANCARIO, ALLA DATA DELLA NOSTRA CONFERMA D'ORDINE</v>
          </cell>
          <cell r="X435">
            <v>0.25</v>
          </cell>
          <cell r="Y435">
            <v>-0.04</v>
          </cell>
          <cell r="AB435">
            <v>0.25</v>
          </cell>
          <cell r="AC435">
            <v>0.25</v>
          </cell>
          <cell r="AD435">
            <v>0.25</v>
          </cell>
          <cell r="AE435">
            <v>0.25</v>
          </cell>
          <cell r="AF435">
            <v>0.25</v>
          </cell>
          <cell r="AG435">
            <v>0.25</v>
          </cell>
          <cell r="AH435">
            <v>0.25</v>
          </cell>
          <cell r="AI435">
            <v>0.25</v>
          </cell>
          <cell r="AJ435">
            <v>0.25</v>
          </cell>
          <cell r="AK435">
            <v>0.25</v>
          </cell>
          <cell r="AL435">
            <v>0.25</v>
          </cell>
          <cell r="AM435">
            <v>0.25</v>
          </cell>
          <cell r="AN435">
            <v>0.25</v>
          </cell>
          <cell r="AO435">
            <v>0.25</v>
          </cell>
          <cell r="AP435">
            <v>0.25</v>
          </cell>
          <cell r="AQ435">
            <v>0.25</v>
          </cell>
          <cell r="AR435">
            <v>0.25</v>
          </cell>
          <cell r="AS435">
            <v>0.25</v>
          </cell>
          <cell r="AT435">
            <v>-0.04</v>
          </cell>
          <cell r="AU435">
            <v>0.92</v>
          </cell>
          <cell r="AV435">
            <v>20</v>
          </cell>
          <cell r="AY435" t="str">
            <v/>
          </cell>
          <cell r="AZ435">
            <v>0.25</v>
          </cell>
          <cell r="BA435">
            <v>0.25</v>
          </cell>
        </row>
        <row r="436">
          <cell r="A436" t="str">
            <v>CASELLA SERRAMENTI SRL</v>
          </cell>
          <cell r="D436" t="str">
            <v>VIA CAORSANA, 57 A</v>
          </cell>
          <cell r="E436" t="str">
            <v>29012</v>
          </cell>
          <cell r="F436" t="str">
            <v>FOSSADELLO DI CAORSO</v>
          </cell>
          <cell r="G436" t="str">
            <v>PC</v>
          </cell>
          <cell r="H436" t="str">
            <v>ITALIA</v>
          </cell>
          <cell r="J436" t="str">
            <v>01640210330</v>
          </cell>
          <cell r="M436" t="str">
            <v>UFFICIO ACQUISTI</v>
          </cell>
          <cell r="N436" t="str">
            <v>0523 821402</v>
          </cell>
          <cell r="P436" t="str">
            <v>info@costruzionicasella.it</v>
          </cell>
          <cell r="R436" t="str">
            <v>BONIFICO BANCARIO, ALLA DATA DELLA NOSTRA CONFERMA D'ORDINE</v>
          </cell>
          <cell r="Y436">
            <v>-0.04</v>
          </cell>
          <cell r="AT436">
            <v>-0.04</v>
          </cell>
          <cell r="AV436">
            <v>20</v>
          </cell>
          <cell r="AZ436">
            <v>0</v>
          </cell>
          <cell r="BA436">
            <v>0</v>
          </cell>
        </row>
        <row r="437">
          <cell r="A437" t="str">
            <v>CASTELLO</v>
          </cell>
          <cell r="D437" t="str">
            <v xml:space="preserve">VIA SAN GIOVANNI BATTISTA, 19 </v>
          </cell>
          <cell r="E437">
            <v>16036</v>
          </cell>
          <cell r="F437" t="str">
            <v>RECCO</v>
          </cell>
          <cell r="G437" t="str">
            <v>GE</v>
          </cell>
          <cell r="H437" t="str">
            <v>ITALIA</v>
          </cell>
          <cell r="M437" t="str">
            <v>UFFICIO ACQUISTI</v>
          </cell>
          <cell r="N437" t="str">
            <v>0185 75849</v>
          </cell>
          <cell r="O437" t="str">
            <v>335 5433116 - 3406479368</v>
          </cell>
          <cell r="P437" t="str">
            <v>castelloinfissi@gmail.com</v>
          </cell>
          <cell r="R437" t="str">
            <v>BONIFICO BANCARIO, ALLA DATA DELLA NOSTRA CONFERMA D'ORDINE</v>
          </cell>
          <cell r="X437">
            <v>0.25</v>
          </cell>
          <cell r="Y437">
            <v>-0.04</v>
          </cell>
          <cell r="AB437">
            <v>0.25</v>
          </cell>
          <cell r="AC437">
            <v>0.25</v>
          </cell>
          <cell r="AD437">
            <v>0.25</v>
          </cell>
          <cell r="AE437">
            <v>0.25</v>
          </cell>
          <cell r="AF437">
            <v>0.25</v>
          </cell>
          <cell r="AG437">
            <v>0.25</v>
          </cell>
          <cell r="AH437">
            <v>0.25</v>
          </cell>
          <cell r="AI437">
            <v>0.25</v>
          </cell>
          <cell r="AJ437">
            <v>0.25</v>
          </cell>
          <cell r="AK437">
            <v>0.25</v>
          </cell>
          <cell r="AL437">
            <v>0.25</v>
          </cell>
          <cell r="AM437">
            <v>0.25</v>
          </cell>
          <cell r="AN437">
            <v>0.25</v>
          </cell>
          <cell r="AO437">
            <v>0.25</v>
          </cell>
          <cell r="AP437">
            <v>0.25</v>
          </cell>
          <cell r="AQ437">
            <v>0.25</v>
          </cell>
          <cell r="AR437">
            <v>0.25</v>
          </cell>
          <cell r="AS437">
            <v>0.25</v>
          </cell>
          <cell r="AT437">
            <v>-0.04</v>
          </cell>
          <cell r="AU437">
            <v>0.92</v>
          </cell>
          <cell r="AV437">
            <v>20</v>
          </cell>
          <cell r="AY437" t="str">
            <v/>
          </cell>
          <cell r="AZ437">
            <v>0.25</v>
          </cell>
          <cell r="BA437">
            <v>0.25</v>
          </cell>
        </row>
        <row r="438">
          <cell r="A438" t="str">
            <v>CASTELLO SRL</v>
          </cell>
          <cell r="D438" t="str">
            <v>VIA ADAMELLO, 4</v>
          </cell>
          <cell r="E438" t="str">
            <v>24036</v>
          </cell>
          <cell r="F438" t="str">
            <v>PONTE SAN PIETRO</v>
          </cell>
          <cell r="G438" t="str">
            <v>BG</v>
          </cell>
          <cell r="H438" t="str">
            <v>ITALIA</v>
          </cell>
          <cell r="J438" t="str">
            <v>03962420166</v>
          </cell>
          <cell r="M438" t="str">
            <v>UFFICIO ACQUISTI</v>
          </cell>
          <cell r="N438" t="str">
            <v>035 4155192</v>
          </cell>
          <cell r="P438" t="str">
            <v>info@castellosrl.it</v>
          </cell>
          <cell r="R438" t="str">
            <v>BONIFICO BANCARIO, ALLA DATA DELLA NOSTRA CONFERMA D'ORDINE</v>
          </cell>
          <cell r="X438">
            <v>0.2</v>
          </cell>
          <cell r="Y438">
            <v>-0.04</v>
          </cell>
          <cell r="AB438">
            <v>0.2</v>
          </cell>
          <cell r="AC438">
            <v>0.2</v>
          </cell>
          <cell r="AD438">
            <v>0.2</v>
          </cell>
          <cell r="AE438">
            <v>0.2</v>
          </cell>
          <cell r="AF438">
            <v>0.2</v>
          </cell>
          <cell r="AG438">
            <v>0.2</v>
          </cell>
          <cell r="AH438">
            <v>0.2</v>
          </cell>
          <cell r="AI438">
            <v>0.2</v>
          </cell>
          <cell r="AJ438">
            <v>0.2</v>
          </cell>
          <cell r="AK438">
            <v>0.2</v>
          </cell>
          <cell r="AL438">
            <v>0.2</v>
          </cell>
          <cell r="AM438">
            <v>0.2</v>
          </cell>
          <cell r="AN438">
            <v>0.2</v>
          </cell>
          <cell r="AO438">
            <v>0.2</v>
          </cell>
          <cell r="AP438">
            <v>0.2</v>
          </cell>
          <cell r="AQ438">
            <v>0.2</v>
          </cell>
          <cell r="AR438">
            <v>0.2</v>
          </cell>
          <cell r="AS438">
            <v>0.2</v>
          </cell>
          <cell r="AT438">
            <v>-0.04</v>
          </cell>
          <cell r="AU438">
            <v>0.92</v>
          </cell>
          <cell r="AV438">
            <v>20</v>
          </cell>
          <cell r="AZ438">
            <v>0.2</v>
          </cell>
          <cell r="BA438">
            <v>0.2</v>
          </cell>
        </row>
        <row r="439">
          <cell r="A439" t="str">
            <v>CASTIGLIERI PIER LUIGI</v>
          </cell>
          <cell r="D439" t="str">
            <v>VIA ERIDANIA 153 D</v>
          </cell>
          <cell r="E439" t="str">
            <v>45030</v>
          </cell>
          <cell r="F439" t="str">
            <v>S.M.MADDALENA-OCCHIOBELLO</v>
          </cell>
          <cell r="G439" t="str">
            <v>RO</v>
          </cell>
          <cell r="H439" t="str">
            <v>ITALIA</v>
          </cell>
          <cell r="J439" t="str">
            <v>01090870294</v>
          </cell>
          <cell r="M439" t="str">
            <v>UFFICIO ACQUISTI</v>
          </cell>
          <cell r="N439" t="str">
            <v>347 5018681</v>
          </cell>
          <cell r="O439" t="str">
            <v>335 210928</v>
          </cell>
          <cell r="P439" t="str">
            <v>info@castiglieri.it</v>
          </cell>
          <cell r="R439" t="str">
            <v>BONIFICO BANCARIO, ALLA DATA DELLA NOSTRA CONFERMA D'ORDINE</v>
          </cell>
          <cell r="X439">
            <v>0.25</v>
          </cell>
          <cell r="Y439">
            <v>-0.04</v>
          </cell>
          <cell r="AB439">
            <v>0.25</v>
          </cell>
          <cell r="AC439">
            <v>0.25</v>
          </cell>
          <cell r="AD439">
            <v>0.25</v>
          </cell>
          <cell r="AE439">
            <v>0.25</v>
          </cell>
          <cell r="AF439">
            <v>0.25</v>
          </cell>
          <cell r="AG439">
            <v>0.25</v>
          </cell>
          <cell r="AH439">
            <v>0.25</v>
          </cell>
          <cell r="AI439">
            <v>0.25</v>
          </cell>
          <cell r="AJ439">
            <v>0.25</v>
          </cell>
          <cell r="AK439">
            <v>0.25</v>
          </cell>
          <cell r="AL439">
            <v>0.25</v>
          </cell>
          <cell r="AM439">
            <v>0.25</v>
          </cell>
          <cell r="AN439">
            <v>0.25</v>
          </cell>
          <cell r="AO439">
            <v>0.25</v>
          </cell>
          <cell r="AP439">
            <v>0.25</v>
          </cell>
          <cell r="AQ439">
            <v>0.25</v>
          </cell>
          <cell r="AR439">
            <v>0.25</v>
          </cell>
          <cell r="AS439">
            <v>0.25</v>
          </cell>
          <cell r="AT439">
            <v>-0.04</v>
          </cell>
          <cell r="AU439">
            <v>0.92</v>
          </cell>
          <cell r="AV439">
            <v>20</v>
          </cell>
          <cell r="AY439" t="str">
            <v/>
          </cell>
          <cell r="AZ439">
            <v>0.25</v>
          </cell>
          <cell r="BA439">
            <v>0.25</v>
          </cell>
        </row>
        <row r="440">
          <cell r="A440" t="str">
            <v>CASTROVINCI INFISSI</v>
          </cell>
          <cell r="B440" t="str">
            <v>TIZIANA, INTERESSATA RICHIAMA LEI</v>
          </cell>
          <cell r="D440" t="str">
            <v>VIA C. ANTICA ANGOLO VIA OVIO 2/4</v>
          </cell>
          <cell r="E440" t="str">
            <v>98071</v>
          </cell>
          <cell r="F440" t="str">
            <v>CAPO D'ORLANDO</v>
          </cell>
          <cell r="G440" t="str">
            <v>ME</v>
          </cell>
          <cell r="H440" t="str">
            <v>ITALIA</v>
          </cell>
          <cell r="J440" t="str">
            <v>02551690833</v>
          </cell>
          <cell r="M440" t="str">
            <v>UFFICIO ACQUISTI</v>
          </cell>
          <cell r="N440" t="str">
            <v>0941 957530</v>
          </cell>
          <cell r="O440" t="str">
            <v>328 6624470</v>
          </cell>
          <cell r="R440" t="str">
            <v>BONIFICO BANCARIO, ALLA DATA DELLA NOSTRA CONFERMA D'ORDINE</v>
          </cell>
          <cell r="X440">
            <v>0.25</v>
          </cell>
          <cell r="Y440">
            <v>-0.04</v>
          </cell>
          <cell r="AB440">
            <v>0.25</v>
          </cell>
          <cell r="AC440">
            <v>0.25</v>
          </cell>
          <cell r="AD440">
            <v>0.25</v>
          </cell>
          <cell r="AE440">
            <v>0.25</v>
          </cell>
          <cell r="AF440">
            <v>0.25</v>
          </cell>
          <cell r="AG440">
            <v>0.25</v>
          </cell>
          <cell r="AH440">
            <v>0.25</v>
          </cell>
          <cell r="AI440">
            <v>0.25</v>
          </cell>
          <cell r="AJ440">
            <v>0.25</v>
          </cell>
          <cell r="AK440">
            <v>0.25</v>
          </cell>
          <cell r="AL440">
            <v>0.25</v>
          </cell>
          <cell r="AM440">
            <v>0.25</v>
          </cell>
          <cell r="AN440">
            <v>0.25</v>
          </cell>
          <cell r="AO440">
            <v>0.25</v>
          </cell>
          <cell r="AP440">
            <v>0.25</v>
          </cell>
          <cell r="AQ440">
            <v>0.25</v>
          </cell>
          <cell r="AR440">
            <v>0.25</v>
          </cell>
          <cell r="AS440">
            <v>0.25</v>
          </cell>
          <cell r="AT440">
            <v>-0.04</v>
          </cell>
          <cell r="AU440">
            <v>0.92</v>
          </cell>
          <cell r="AV440">
            <v>20</v>
          </cell>
          <cell r="AY440" t="str">
            <v/>
          </cell>
          <cell r="AZ440">
            <v>0.25</v>
          </cell>
          <cell r="BA440">
            <v>0.25</v>
          </cell>
        </row>
        <row r="441">
          <cell r="A441" t="str">
            <v>CASTROVINCI TIZIANA</v>
          </cell>
          <cell r="D441" t="str">
            <v>VIA CONSOLARE ANTICA - ANG. VIA OVIO, 2/4</v>
          </cell>
          <cell r="E441">
            <v>98071</v>
          </cell>
          <cell r="F441" t="str">
            <v>CAPO D'ORLANDO</v>
          </cell>
          <cell r="G441" t="str">
            <v>ME</v>
          </cell>
          <cell r="H441" t="str">
            <v>ITALIA</v>
          </cell>
          <cell r="J441" t="str">
            <v>02551690833</v>
          </cell>
          <cell r="K441" t="str">
            <v>SU9YNJA</v>
          </cell>
          <cell r="M441" t="str">
            <v>UFFICIO ACQUISTI</v>
          </cell>
          <cell r="N441" t="str">
            <v>0941 957530</v>
          </cell>
          <cell r="P441" t="str">
            <v>castrovincinfissi@gmail.com</v>
          </cell>
          <cell r="R441" t="str">
            <v>BONIFICO BANCARIO, ALLA DATA DELLA NOSTRA CONFERMA D'ORDINE</v>
          </cell>
          <cell r="X441">
            <v>0.25</v>
          </cell>
          <cell r="Y441">
            <v>-0.04</v>
          </cell>
          <cell r="AB441">
            <v>0.25</v>
          </cell>
          <cell r="AC441">
            <v>0.25</v>
          </cell>
          <cell r="AD441">
            <v>0.25</v>
          </cell>
          <cell r="AE441">
            <v>0.25</v>
          </cell>
          <cell r="AF441">
            <v>0.25</v>
          </cell>
          <cell r="AG441">
            <v>0.25</v>
          </cell>
          <cell r="AH441">
            <v>0.25</v>
          </cell>
          <cell r="AI441">
            <v>0.25</v>
          </cell>
          <cell r="AJ441">
            <v>0.25</v>
          </cell>
          <cell r="AK441">
            <v>0.25</v>
          </cell>
          <cell r="AL441">
            <v>0.25</v>
          </cell>
          <cell r="AM441">
            <v>0.25</v>
          </cell>
          <cell r="AN441">
            <v>0.25</v>
          </cell>
          <cell r="AO441">
            <v>0.25</v>
          </cell>
          <cell r="AP441">
            <v>0.25</v>
          </cell>
          <cell r="AQ441">
            <v>0.25</v>
          </cell>
          <cell r="AR441">
            <v>0.25</v>
          </cell>
          <cell r="AS441">
            <v>0.25</v>
          </cell>
          <cell r="AT441">
            <v>-0.04</v>
          </cell>
          <cell r="AU441">
            <v>0.92</v>
          </cell>
          <cell r="AV441">
            <v>20</v>
          </cell>
          <cell r="AY441" t="str">
            <v/>
          </cell>
          <cell r="AZ441">
            <v>0.25</v>
          </cell>
          <cell r="BA441">
            <v>0.25</v>
          </cell>
          <cell r="BF441" t="str">
            <v>CLICK RAPID con carpenteria 13/07/2020</v>
          </cell>
        </row>
        <row r="442">
          <cell r="A442" t="str">
            <v>CASU ANDREA SERRAMENTI</v>
          </cell>
          <cell r="B442" t="str">
            <v>SOLO BIGLIETTO DA VISITA</v>
          </cell>
          <cell r="D442" t="str">
            <v>ZONA ART.P.I.P.LOTTO N.15/16</v>
          </cell>
          <cell r="E442" t="str">
            <v>09025</v>
          </cell>
          <cell r="F442" t="str">
            <v>SANLURI</v>
          </cell>
          <cell r="G442" t="str">
            <v>VS</v>
          </cell>
          <cell r="H442" t="str">
            <v>ITALIA</v>
          </cell>
          <cell r="M442" t="str">
            <v>UFFICIO ACQUISTI</v>
          </cell>
          <cell r="N442" t="str">
            <v>070 9373032</v>
          </cell>
          <cell r="O442" t="str">
            <v>348 9330709</v>
          </cell>
          <cell r="P442" t="str">
            <v>info@andreacasuinfissi.it</v>
          </cell>
          <cell r="R442" t="str">
            <v>BONIFICO BANCARIO, ALLA DATA DELLA NOSTRA CONFERMA D'ORDINE</v>
          </cell>
          <cell r="X442">
            <v>0.25</v>
          </cell>
          <cell r="Y442">
            <v>-0.04</v>
          </cell>
          <cell r="AB442">
            <v>0.25</v>
          </cell>
          <cell r="AC442">
            <v>0.25</v>
          </cell>
          <cell r="AD442">
            <v>0.25</v>
          </cell>
          <cell r="AE442">
            <v>0.25</v>
          </cell>
          <cell r="AF442">
            <v>0.25</v>
          </cell>
          <cell r="AG442">
            <v>0.25</v>
          </cell>
          <cell r="AH442">
            <v>0.25</v>
          </cell>
          <cell r="AI442">
            <v>0.25</v>
          </cell>
          <cell r="AJ442">
            <v>0.25</v>
          </cell>
          <cell r="AK442">
            <v>0.25</v>
          </cell>
          <cell r="AL442">
            <v>0.25</v>
          </cell>
          <cell r="AM442">
            <v>0.25</v>
          </cell>
          <cell r="AN442">
            <v>0.25</v>
          </cell>
          <cell r="AO442">
            <v>0.25</v>
          </cell>
          <cell r="AP442">
            <v>0.25</v>
          </cell>
          <cell r="AQ442">
            <v>0.25</v>
          </cell>
          <cell r="AR442">
            <v>0.25</v>
          </cell>
          <cell r="AS442">
            <v>0.25</v>
          </cell>
          <cell r="AT442">
            <v>-0.04</v>
          </cell>
          <cell r="AU442">
            <v>0.92</v>
          </cell>
          <cell r="AV442">
            <v>20</v>
          </cell>
          <cell r="AZ442">
            <v>0.25</v>
          </cell>
          <cell r="BA442">
            <v>0.25</v>
          </cell>
        </row>
        <row r="443">
          <cell r="A443" t="str">
            <v>CATANOSSI FALEGNAMERIA</v>
          </cell>
          <cell r="D443" t="str">
            <v>VIA DEI MESTIERI,101</v>
          </cell>
          <cell r="E443" t="str">
            <v>06049</v>
          </cell>
          <cell r="F443" t="str">
            <v>SPOLETO</v>
          </cell>
          <cell r="G443" t="str">
            <v>PG</v>
          </cell>
          <cell r="H443" t="str">
            <v>ITALIA</v>
          </cell>
          <cell r="M443" t="str">
            <v>UFFICIO ACQUISTI</v>
          </cell>
          <cell r="O443" t="str">
            <v>349 7487241</v>
          </cell>
          <cell r="P443" t="str">
            <v>falegnameriacatanossi@gmail.com</v>
          </cell>
          <cell r="R443" t="str">
            <v>BONIFICO BANCARIO, ALLA DATA DELLA NOSTRA CONFERMA D'ORDINE</v>
          </cell>
          <cell r="Y443">
            <v>-0.04</v>
          </cell>
          <cell r="AT443">
            <v>-0.04</v>
          </cell>
          <cell r="AV443">
            <v>20</v>
          </cell>
          <cell r="AZ443">
            <v>0</v>
          </cell>
          <cell r="BA443">
            <v>0</v>
          </cell>
        </row>
        <row r="444">
          <cell r="A444" t="str">
            <v>CATAPANO SERRAMENTI</v>
          </cell>
          <cell r="D444" t="str">
            <v>VIA G.F. MEMOLI, 18</v>
          </cell>
          <cell r="E444">
            <v>84123</v>
          </cell>
          <cell r="F444" t="str">
            <v>SALERNO</v>
          </cell>
          <cell r="G444" t="str">
            <v>SA</v>
          </cell>
          <cell r="H444" t="str">
            <v>ITALIA</v>
          </cell>
          <cell r="J444" t="str">
            <v>04666770658</v>
          </cell>
          <cell r="M444" t="str">
            <v>UFFICIO ACQUISTI</v>
          </cell>
          <cell r="N444" t="str">
            <v>089 227343</v>
          </cell>
          <cell r="P444" t="str">
            <v>info@catapanoserramenti.it</v>
          </cell>
          <cell r="R444" t="str">
            <v>BONIFICO BANCARIO, ALLA DATA DELLA NOSTRA CONFERMA D'ORDINE</v>
          </cell>
          <cell r="X444">
            <v>0.25</v>
          </cell>
          <cell r="Y444">
            <v>-0.04</v>
          </cell>
          <cell r="AB444">
            <v>0.25</v>
          </cell>
          <cell r="AC444">
            <v>0.25</v>
          </cell>
          <cell r="AD444">
            <v>0.25</v>
          </cell>
          <cell r="AE444">
            <v>0.25</v>
          </cell>
          <cell r="AF444">
            <v>0.25</v>
          </cell>
          <cell r="AG444">
            <v>0.25</v>
          </cell>
          <cell r="AH444">
            <v>0.25</v>
          </cell>
          <cell r="AI444">
            <v>0.25</v>
          </cell>
          <cell r="AJ444">
            <v>0.25</v>
          </cell>
          <cell r="AK444">
            <v>0.25</v>
          </cell>
          <cell r="AL444">
            <v>0.25</v>
          </cell>
          <cell r="AM444">
            <v>0.25</v>
          </cell>
          <cell r="AN444">
            <v>0.25</v>
          </cell>
          <cell r="AO444">
            <v>0.25</v>
          </cell>
          <cell r="AP444">
            <v>0.25</v>
          </cell>
          <cell r="AQ444">
            <v>0.25</v>
          </cell>
          <cell r="AR444">
            <v>0.25</v>
          </cell>
          <cell r="AS444">
            <v>0.25</v>
          </cell>
          <cell r="AT444">
            <v>-0.04</v>
          </cell>
          <cell r="AU444">
            <v>0.92</v>
          </cell>
          <cell r="AV444">
            <v>20</v>
          </cell>
          <cell r="AZ444">
            <v>0.25</v>
          </cell>
          <cell r="BA444">
            <v>0.25</v>
          </cell>
        </row>
        <row r="445">
          <cell r="A445" t="str">
            <v>CATENA INFISSI  DI EMILIO DIEGO CATENA</v>
          </cell>
          <cell r="D445" t="str">
            <v>VIA CATANZARO, 2</v>
          </cell>
          <cell r="E445" t="str">
            <v>81031</v>
          </cell>
          <cell r="F445" t="str">
            <v>CASTEL VOLTURNO</v>
          </cell>
          <cell r="G445" t="str">
            <v>CE</v>
          </cell>
          <cell r="H445" t="str">
            <v>ITALIA</v>
          </cell>
          <cell r="M445" t="str">
            <v>UFFICIO ACQUISTI</v>
          </cell>
          <cell r="O445" t="str">
            <v>389 4375118</v>
          </cell>
          <cell r="P445" t="str">
            <v>emiliodiego89@gmail.com</v>
          </cell>
          <cell r="R445" t="str">
            <v>BONIFICO BANCARIO, ALLA DATA DELLA NOSTRA CONFERMA D'ORDINE</v>
          </cell>
          <cell r="X445">
            <v>0.25</v>
          </cell>
          <cell r="Y445">
            <v>-0.04</v>
          </cell>
          <cell r="AB445">
            <v>0.25</v>
          </cell>
          <cell r="AC445">
            <v>0.25</v>
          </cell>
          <cell r="AD445">
            <v>0.25</v>
          </cell>
          <cell r="AE445">
            <v>0.25</v>
          </cell>
          <cell r="AF445">
            <v>0.25</v>
          </cell>
          <cell r="AG445">
            <v>0.25</v>
          </cell>
          <cell r="AH445">
            <v>0.25</v>
          </cell>
          <cell r="AI445">
            <v>0.25</v>
          </cell>
          <cell r="AJ445">
            <v>0.25</v>
          </cell>
          <cell r="AK445">
            <v>0.25</v>
          </cell>
          <cell r="AL445">
            <v>0.25</v>
          </cell>
          <cell r="AM445">
            <v>0.25</v>
          </cell>
          <cell r="AN445">
            <v>0.25</v>
          </cell>
          <cell r="AO445">
            <v>0.25</v>
          </cell>
          <cell r="AP445">
            <v>0.25</v>
          </cell>
          <cell r="AQ445">
            <v>0.25</v>
          </cell>
          <cell r="AR445">
            <v>0.25</v>
          </cell>
          <cell r="AS445">
            <v>0.25</v>
          </cell>
          <cell r="AT445">
            <v>-0.04</v>
          </cell>
          <cell r="AU445">
            <v>0.92</v>
          </cell>
          <cell r="AV445">
            <v>20</v>
          </cell>
          <cell r="AY445" t="str">
            <v/>
          </cell>
          <cell r="AZ445">
            <v>0.25</v>
          </cell>
          <cell r="BA445">
            <v>0.25</v>
          </cell>
        </row>
        <row r="446">
          <cell r="A446" t="str">
            <v>CATTANEO</v>
          </cell>
          <cell r="D446" t="str">
            <v>VIA PADRE ERCOLE GIUDICI, 56</v>
          </cell>
          <cell r="E446">
            <v>21040</v>
          </cell>
          <cell r="F446" t="str">
            <v>UBOLDO</v>
          </cell>
          <cell r="G446" t="str">
            <v>VA</v>
          </cell>
          <cell r="H446" t="str">
            <v>ITALIA</v>
          </cell>
          <cell r="J446" t="str">
            <v>02403380120</v>
          </cell>
          <cell r="M446" t="str">
            <v>UFFICIO ACQUISTI</v>
          </cell>
          <cell r="N446" t="str">
            <v>02 96782174</v>
          </cell>
          <cell r="P446" t="str">
            <v>s.cattaneo@cattaneoserramenti.191.it</v>
          </cell>
          <cell r="R446" t="str">
            <v>BONIFICO BANCARIO, ALLA DATA DELLA NOSTRA CONFERMA D'ORDINE</v>
          </cell>
          <cell r="X446">
            <v>0.25</v>
          </cell>
          <cell r="Y446">
            <v>-0.04</v>
          </cell>
          <cell r="AB446">
            <v>0.25</v>
          </cell>
          <cell r="AC446">
            <v>0.25</v>
          </cell>
          <cell r="AD446">
            <v>0.25</v>
          </cell>
          <cell r="AE446">
            <v>0.25</v>
          </cell>
          <cell r="AF446">
            <v>0.25</v>
          </cell>
          <cell r="AG446">
            <v>0.25</v>
          </cell>
          <cell r="AH446">
            <v>0.25</v>
          </cell>
          <cell r="AI446">
            <v>0.25</v>
          </cell>
          <cell r="AJ446">
            <v>0.25</v>
          </cell>
          <cell r="AK446">
            <v>0.25</v>
          </cell>
          <cell r="AL446">
            <v>0.25</v>
          </cell>
          <cell r="AM446">
            <v>0.25</v>
          </cell>
          <cell r="AN446">
            <v>0.25</v>
          </cell>
          <cell r="AO446">
            <v>0.25</v>
          </cell>
          <cell r="AP446">
            <v>0.25</v>
          </cell>
          <cell r="AQ446">
            <v>0.25</v>
          </cell>
          <cell r="AR446">
            <v>0.25</v>
          </cell>
          <cell r="AS446">
            <v>0.25</v>
          </cell>
          <cell r="AT446">
            <v>-0.04</v>
          </cell>
          <cell r="AU446">
            <v>0.92</v>
          </cell>
          <cell r="AV446">
            <v>20</v>
          </cell>
          <cell r="AY446" t="str">
            <v/>
          </cell>
          <cell r="AZ446">
            <v>0.25</v>
          </cell>
          <cell r="BA446">
            <v>0.25</v>
          </cell>
        </row>
        <row r="447">
          <cell r="A447" t="str">
            <v>CAVALLO SERRAMENTI SRL</v>
          </cell>
          <cell r="B447" t="str">
            <v>VICINO A GOTTA MAURIZIO - EX ACQUASTOP - OGGI USANO STOPALLAGAMENTI 05/12 SIG. CAVALLO. DICE CHE QUALCUNA LA FANNO. DI MANDARE MAIL INFO COSI DA VEDERE COSA PRODUCIAMO E IN CASO DI RICHIESTA CI CHIEDERA' UN PREVENTIVO</v>
          </cell>
          <cell r="D447" t="str">
            <v>VIA PAGLIA, 70</v>
          </cell>
          <cell r="E447">
            <v>16154</v>
          </cell>
          <cell r="F447" t="str">
            <v>SESTRI PONENETE</v>
          </cell>
          <cell r="G447" t="str">
            <v>GE</v>
          </cell>
          <cell r="H447" t="str">
            <v>ITALIA</v>
          </cell>
          <cell r="J447" t="str">
            <v>01262630997</v>
          </cell>
          <cell r="K447" t="str">
            <v>K0ROACV</v>
          </cell>
          <cell r="L447" t="str">
            <v>VIA CAPITANO DEL POPOLO, 22 ROSSO</v>
          </cell>
          <cell r="M447" t="str">
            <v>UFFICIO ACQUISTI</v>
          </cell>
          <cell r="N447" t="str">
            <v>010 6500427</v>
          </cell>
          <cell r="O447" t="str">
            <v>338 8381160 GIOVANNI (PADRE) - 366 3119849 GIUSEPPE (FIGLIO)</v>
          </cell>
          <cell r="P447" t="str">
            <v>giuseppecavallo808@gmail.com</v>
          </cell>
          <cell r="R447" t="str">
            <v>BONIFICO BANCARIO, ALLA DATA DELLA NOSTRA CONFERMA D'ORDINE</v>
          </cell>
          <cell r="X447">
            <v>0.25</v>
          </cell>
          <cell r="Y447">
            <v>-0.04</v>
          </cell>
          <cell r="AB447">
            <v>0.25</v>
          </cell>
          <cell r="AC447">
            <v>0.25</v>
          </cell>
          <cell r="AD447">
            <v>0.25</v>
          </cell>
          <cell r="AE447">
            <v>0.25</v>
          </cell>
          <cell r="AF447">
            <v>0.25</v>
          </cell>
          <cell r="AG447">
            <v>0.25</v>
          </cell>
          <cell r="AH447">
            <v>0.25</v>
          </cell>
          <cell r="AI447">
            <v>0.25</v>
          </cell>
          <cell r="AJ447">
            <v>0.25</v>
          </cell>
          <cell r="AK447">
            <v>0.25</v>
          </cell>
          <cell r="AL447">
            <v>0.25</v>
          </cell>
          <cell r="AM447">
            <v>0.25</v>
          </cell>
          <cell r="AN447">
            <v>0.25</v>
          </cell>
          <cell r="AO447">
            <v>0.25</v>
          </cell>
          <cell r="AP447">
            <v>0.25</v>
          </cell>
          <cell r="AQ447">
            <v>0.25</v>
          </cell>
          <cell r="AR447">
            <v>0.25</v>
          </cell>
          <cell r="AS447">
            <v>0.25</v>
          </cell>
          <cell r="AT447">
            <v>-0.04</v>
          </cell>
          <cell r="AU447">
            <v>0.92</v>
          </cell>
          <cell r="AV447">
            <v>20</v>
          </cell>
          <cell r="AZ447">
            <v>0.25</v>
          </cell>
          <cell r="BA447">
            <v>0.25</v>
          </cell>
          <cell r="BF447" t="str">
            <v>CLICK RAPID con carpenteria 18/02/2021</v>
          </cell>
        </row>
        <row r="448">
          <cell r="A448" t="str">
            <v>CAVICCHIOLI SERRAMENTI SRL</v>
          </cell>
          <cell r="D448" t="str">
            <v>VIA W. TABACCHI, 9</v>
          </cell>
          <cell r="E448" t="str">
            <v>41030</v>
          </cell>
          <cell r="F448" t="str">
            <v>S. DI BOMPORTO</v>
          </cell>
          <cell r="G448" t="str">
            <v>MO</v>
          </cell>
          <cell r="H448" t="str">
            <v>ITALIA</v>
          </cell>
          <cell r="I448" t="str">
            <v>03339040366</v>
          </cell>
          <cell r="J448" t="str">
            <v>03339040366</v>
          </cell>
          <cell r="M448" t="str">
            <v>UFFICIO ACQUISTI</v>
          </cell>
          <cell r="N448" t="str">
            <v>059 814044</v>
          </cell>
          <cell r="P448" t="str">
            <v>lara@cavicchioliserramenti.it</v>
          </cell>
          <cell r="R448" t="str">
            <v>BONIFICO BANCARIO, ALLA DATA DELLA NOSTRA CONFERMA D'ORDINE</v>
          </cell>
          <cell r="X448">
            <v>0.25</v>
          </cell>
          <cell r="Y448">
            <v>-0.04</v>
          </cell>
          <cell r="AB448">
            <v>0.25</v>
          </cell>
          <cell r="AC448">
            <v>0.25</v>
          </cell>
          <cell r="AD448">
            <v>0.25</v>
          </cell>
          <cell r="AE448">
            <v>0.25</v>
          </cell>
          <cell r="AF448">
            <v>0.25</v>
          </cell>
          <cell r="AG448">
            <v>0.25</v>
          </cell>
          <cell r="AH448">
            <v>0.25</v>
          </cell>
          <cell r="AI448">
            <v>0.25</v>
          </cell>
          <cell r="AJ448">
            <v>0.25</v>
          </cell>
          <cell r="AK448">
            <v>0.25</v>
          </cell>
          <cell r="AL448">
            <v>0.25</v>
          </cell>
          <cell r="AM448">
            <v>0.25</v>
          </cell>
          <cell r="AN448">
            <v>0.25</v>
          </cell>
          <cell r="AO448">
            <v>0.25</v>
          </cell>
          <cell r="AP448">
            <v>0.25</v>
          </cell>
          <cell r="AQ448">
            <v>0.25</v>
          </cell>
          <cell r="AR448">
            <v>0.25</v>
          </cell>
          <cell r="AS448">
            <v>0.25</v>
          </cell>
          <cell r="AT448">
            <v>-0.04</v>
          </cell>
          <cell r="AU448">
            <v>0.92</v>
          </cell>
          <cell r="AV448">
            <v>20</v>
          </cell>
          <cell r="AZ448">
            <v>0.25</v>
          </cell>
          <cell r="BA448">
            <v>0.25</v>
          </cell>
        </row>
        <row r="449">
          <cell r="A449" t="str">
            <v>CBM SERRAMENTI  S.R.L.</v>
          </cell>
          <cell r="D449" t="str">
            <v>VIA CA' BASSA, 4</v>
          </cell>
          <cell r="E449">
            <v>21100</v>
          </cell>
          <cell r="F449" t="str">
            <v>VARESE</v>
          </cell>
          <cell r="G449" t="str">
            <v>VA</v>
          </cell>
          <cell r="H449" t="str">
            <v>ITALIA</v>
          </cell>
          <cell r="J449" t="str">
            <v>03329790129</v>
          </cell>
          <cell r="K449" t="str">
            <v>M5UXCR1</v>
          </cell>
          <cell r="M449" t="str">
            <v>UFFICIO ACQUISTI</v>
          </cell>
          <cell r="N449" t="str">
            <v>0332 1760550</v>
          </cell>
          <cell r="P449" t="str">
            <v>info@cbmserramenti.com</v>
          </cell>
          <cell r="R449" t="str">
            <v>BONIFICO BANCARIO, ALLA DATA DELLA NOSTRA CONFERMA D'ORDINE</v>
          </cell>
          <cell r="X449">
            <v>0.25</v>
          </cell>
          <cell r="Y449">
            <v>-0.04</v>
          </cell>
          <cell r="AB449">
            <v>0.25</v>
          </cell>
          <cell r="AC449">
            <v>0.25</v>
          </cell>
          <cell r="AD449">
            <v>0.25</v>
          </cell>
          <cell r="AE449">
            <v>0.25</v>
          </cell>
          <cell r="AF449">
            <v>0.25</v>
          </cell>
          <cell r="AG449">
            <v>0.25</v>
          </cell>
          <cell r="AH449">
            <v>0.25</v>
          </cell>
          <cell r="AI449">
            <v>0.25</v>
          </cell>
          <cell r="AJ449">
            <v>0.25</v>
          </cell>
          <cell r="AK449">
            <v>0.25</v>
          </cell>
          <cell r="AL449">
            <v>0.25</v>
          </cell>
          <cell r="AM449">
            <v>0.25</v>
          </cell>
          <cell r="AN449">
            <v>0.25</v>
          </cell>
          <cell r="AO449">
            <v>0.25</v>
          </cell>
          <cell r="AP449">
            <v>0.25</v>
          </cell>
          <cell r="AQ449">
            <v>0.25</v>
          </cell>
          <cell r="AR449">
            <v>0.25</v>
          </cell>
          <cell r="AS449">
            <v>0.25</v>
          </cell>
          <cell r="AT449">
            <v>-0.04</v>
          </cell>
          <cell r="AU449">
            <v>0.92</v>
          </cell>
          <cell r="AV449">
            <v>20</v>
          </cell>
          <cell r="AY449" t="str">
            <v/>
          </cell>
          <cell r="AZ449">
            <v>0.25</v>
          </cell>
          <cell r="BA449">
            <v>0.25</v>
          </cell>
          <cell r="BF449" t="str">
            <v>CLICK RAPID con carpenteria 11/08/2021</v>
          </cell>
        </row>
        <row r="450">
          <cell r="A450" t="str">
            <v>CCCM DI CAPOBIANCO CARMELO E MARCHESE CARMELO E C. SNC</v>
          </cell>
          <cell r="D450" t="str">
            <v>SS 115 CONTRADA CELONA</v>
          </cell>
          <cell r="E450" t="str">
            <v>92020</v>
          </cell>
          <cell r="F450" t="str">
            <v>PALMA DI MONTECHIARO</v>
          </cell>
          <cell r="G450" t="str">
            <v>AG</v>
          </cell>
          <cell r="H450" t="str">
            <v>ITALIA</v>
          </cell>
          <cell r="J450" t="str">
            <v>01609600844</v>
          </cell>
          <cell r="M450" t="str">
            <v>UFFICIO ACQUISTI</v>
          </cell>
          <cell r="N450" t="str">
            <v>0922 961435</v>
          </cell>
          <cell r="P450" t="str">
            <v>capobiancosnc@tiscali.it</v>
          </cell>
          <cell r="R450" t="str">
            <v>BONIFICO BANCARIO, ALLA DATA DELLA NOSTRA CONFERMA D'ORDINE</v>
          </cell>
          <cell r="X450">
            <v>0.25</v>
          </cell>
          <cell r="Y450">
            <v>-0.04</v>
          </cell>
          <cell r="AB450">
            <v>0.25</v>
          </cell>
          <cell r="AC450">
            <v>0.25</v>
          </cell>
          <cell r="AD450">
            <v>0.25</v>
          </cell>
          <cell r="AE450">
            <v>0.25</v>
          </cell>
          <cell r="AF450">
            <v>0.25</v>
          </cell>
          <cell r="AG450">
            <v>0.25</v>
          </cell>
          <cell r="AH450">
            <v>0.25</v>
          </cell>
          <cell r="AI450">
            <v>0.25</v>
          </cell>
          <cell r="AJ450">
            <v>0.25</v>
          </cell>
          <cell r="AK450">
            <v>0.25</v>
          </cell>
          <cell r="AL450">
            <v>0.25</v>
          </cell>
          <cell r="AM450">
            <v>0.25</v>
          </cell>
          <cell r="AN450">
            <v>0.25</v>
          </cell>
          <cell r="AO450">
            <v>0.25</v>
          </cell>
          <cell r="AP450">
            <v>0.25</v>
          </cell>
          <cell r="AQ450">
            <v>0.25</v>
          </cell>
          <cell r="AR450">
            <v>0.25</v>
          </cell>
          <cell r="AS450">
            <v>0.25</v>
          </cell>
          <cell r="AT450">
            <v>-0.04</v>
          </cell>
          <cell r="AU450">
            <v>0.92</v>
          </cell>
          <cell r="AV450">
            <v>20</v>
          </cell>
          <cell r="AY450" t="str">
            <v/>
          </cell>
          <cell r="AZ450">
            <v>0.25</v>
          </cell>
          <cell r="BA450">
            <v>0.25</v>
          </cell>
        </row>
        <row r="451">
          <cell r="A451" t="str">
            <v xml:space="preserve">CDS SERRAMENTI </v>
          </cell>
          <cell r="B451" t="str">
            <v>QUESTO SI LAMENTA MMA PROBABILMENTE DIVENTERA' RIVENDITORE</v>
          </cell>
          <cell r="D451" t="str">
            <v>VIA RAVEGNANA, 413</v>
          </cell>
          <cell r="E451" t="str">
            <v>47122</v>
          </cell>
          <cell r="F451" t="str">
            <v>FORLI</v>
          </cell>
          <cell r="G451" t="str">
            <v>FC</v>
          </cell>
          <cell r="H451" t="str">
            <v>ITALIA</v>
          </cell>
          <cell r="J451" t="str">
            <v>03936940406</v>
          </cell>
          <cell r="M451" t="str">
            <v>UFFICIO ACQUISTI</v>
          </cell>
          <cell r="O451" t="str">
            <v>333 5224530</v>
          </cell>
          <cell r="R451" t="str">
            <v>BONIFICO BANCARIO, ALLA DATA DELLA NOSTRA CONFERMA D'ORDINE</v>
          </cell>
          <cell r="X451">
            <v>0.25</v>
          </cell>
          <cell r="Y451">
            <v>-0.04</v>
          </cell>
          <cell r="AB451">
            <v>0.25</v>
          </cell>
          <cell r="AC451">
            <v>0.25</v>
          </cell>
          <cell r="AD451">
            <v>0.25</v>
          </cell>
          <cell r="AE451">
            <v>0.25</v>
          </cell>
          <cell r="AF451">
            <v>0.25</v>
          </cell>
          <cell r="AG451">
            <v>0.25</v>
          </cell>
          <cell r="AH451">
            <v>0.25</v>
          </cell>
          <cell r="AI451">
            <v>0.25</v>
          </cell>
          <cell r="AJ451">
            <v>0.25</v>
          </cell>
          <cell r="AK451">
            <v>0.25</v>
          </cell>
          <cell r="AL451">
            <v>0.25</v>
          </cell>
          <cell r="AM451">
            <v>0.25</v>
          </cell>
          <cell r="AN451">
            <v>0.25</v>
          </cell>
          <cell r="AO451">
            <v>0.25</v>
          </cell>
          <cell r="AP451">
            <v>0.25</v>
          </cell>
          <cell r="AQ451">
            <v>0.25</v>
          </cell>
          <cell r="AR451">
            <v>0.25</v>
          </cell>
          <cell r="AS451">
            <v>0.25</v>
          </cell>
          <cell r="AT451">
            <v>-0.04</v>
          </cell>
          <cell r="AU451">
            <v>0.92</v>
          </cell>
          <cell r="AV451">
            <v>20</v>
          </cell>
          <cell r="AZ451">
            <v>0.25</v>
          </cell>
          <cell r="BA451">
            <v>0.25</v>
          </cell>
        </row>
        <row r="452">
          <cell r="A452" t="str">
            <v>CELESTINO GIUSEPPE S.A.S.</v>
          </cell>
          <cell r="D452" t="str">
            <v>C. DA TORRICELLA INF- SS.106 BIS</v>
          </cell>
          <cell r="E452">
            <v>87064</v>
          </cell>
          <cell r="F452" t="str">
            <v>CORTIGLIANO CALABRO</v>
          </cell>
          <cell r="G452" t="str">
            <v>CS</v>
          </cell>
          <cell r="H452" t="str">
            <v>ITALIA</v>
          </cell>
          <cell r="M452" t="str">
            <v>UFFICIO ACQUISTI</v>
          </cell>
          <cell r="N452" t="str">
            <v>0983 87015</v>
          </cell>
          <cell r="O452" t="str">
            <v>335 6578030</v>
          </cell>
          <cell r="P452" t="str">
            <v>celestinoport@virgilio.it</v>
          </cell>
          <cell r="R452" t="str">
            <v>BONIFICO BANCARIO, ALLA DATA DELLA NOSTRA CONFERMA D'ORDINE</v>
          </cell>
          <cell r="X452">
            <v>0.25</v>
          </cell>
          <cell r="Y452">
            <v>-0.04</v>
          </cell>
          <cell r="AB452">
            <v>0.25</v>
          </cell>
          <cell r="AC452">
            <v>0.25</v>
          </cell>
          <cell r="AD452">
            <v>0.25</v>
          </cell>
          <cell r="AE452">
            <v>0.25</v>
          </cell>
          <cell r="AF452">
            <v>0.25</v>
          </cell>
          <cell r="AG452">
            <v>0.25</v>
          </cell>
          <cell r="AH452">
            <v>0.25</v>
          </cell>
          <cell r="AI452">
            <v>0.25</v>
          </cell>
          <cell r="AJ452">
            <v>0.25</v>
          </cell>
          <cell r="AK452">
            <v>0.25</v>
          </cell>
          <cell r="AL452">
            <v>0.25</v>
          </cell>
          <cell r="AM452">
            <v>0.25</v>
          </cell>
          <cell r="AN452">
            <v>0.25</v>
          </cell>
          <cell r="AO452">
            <v>0.25</v>
          </cell>
          <cell r="AP452">
            <v>0.25</v>
          </cell>
          <cell r="AQ452">
            <v>0.25</v>
          </cell>
          <cell r="AR452">
            <v>0.25</v>
          </cell>
          <cell r="AS452">
            <v>0.25</v>
          </cell>
          <cell r="AT452">
            <v>-0.04</v>
          </cell>
          <cell r="AU452">
            <v>0.92</v>
          </cell>
          <cell r="AV452">
            <v>20</v>
          </cell>
          <cell r="AW452" t="str">
            <v>PIETRO OLIVADOTI</v>
          </cell>
          <cell r="AX452">
            <v>0.95</v>
          </cell>
          <cell r="AY452" t="str">
            <v/>
          </cell>
          <cell r="AZ452">
            <v>0.25</v>
          </cell>
          <cell r="BA452">
            <v>0.25</v>
          </cell>
        </row>
        <row r="453">
          <cell r="A453" t="str">
            <v>CELI SERRAMENTI</v>
          </cell>
          <cell r="B453" t="str">
            <v xml:space="preserve">GUARDARE LA SCHEDA CLIENTE </v>
          </cell>
          <cell r="D453" t="str">
            <v>VIA F.CONFALONIERI, 9A</v>
          </cell>
          <cell r="E453">
            <v>95123</v>
          </cell>
          <cell r="F453" t="str">
            <v>CATANIA</v>
          </cell>
          <cell r="G453" t="str">
            <v>CT</v>
          </cell>
          <cell r="H453" t="str">
            <v>ITALIA</v>
          </cell>
          <cell r="J453" t="str">
            <v>04923180877</v>
          </cell>
          <cell r="M453" t="str">
            <v>UFFICIO ACQUISTI</v>
          </cell>
          <cell r="N453" t="str">
            <v>095 7315800</v>
          </cell>
          <cell r="P453" t="str">
            <v>info@celiserramenti.it</v>
          </cell>
          <cell r="R453" t="str">
            <v>BONIFICO BANCARIO, ALLA DATA DELLA NOSTRA CONFERMA D'ORDINE</v>
          </cell>
          <cell r="X453">
            <v>0.25</v>
          </cell>
          <cell r="Y453">
            <v>-0.04</v>
          </cell>
          <cell r="AB453">
            <v>0.25</v>
          </cell>
          <cell r="AC453">
            <v>0.25</v>
          </cell>
          <cell r="AD453">
            <v>0.25</v>
          </cell>
          <cell r="AE453">
            <v>0.25</v>
          </cell>
          <cell r="AF453">
            <v>0.25</v>
          </cell>
          <cell r="AG453">
            <v>0.25</v>
          </cell>
          <cell r="AH453">
            <v>0.25</v>
          </cell>
          <cell r="AI453">
            <v>0.25</v>
          </cell>
          <cell r="AJ453">
            <v>0.25</v>
          </cell>
          <cell r="AK453">
            <v>0.25</v>
          </cell>
          <cell r="AL453">
            <v>0.25</v>
          </cell>
          <cell r="AM453">
            <v>0.25</v>
          </cell>
          <cell r="AN453">
            <v>0.25</v>
          </cell>
          <cell r="AO453">
            <v>0.25</v>
          </cell>
          <cell r="AP453">
            <v>0.25</v>
          </cell>
          <cell r="AQ453">
            <v>0.25</v>
          </cell>
          <cell r="AR453">
            <v>0.25</v>
          </cell>
          <cell r="AS453">
            <v>0.25</v>
          </cell>
          <cell r="AT453">
            <v>-0.04</v>
          </cell>
          <cell r="AU453">
            <v>0.92</v>
          </cell>
          <cell r="AV453">
            <v>20</v>
          </cell>
          <cell r="AY453" t="str">
            <v/>
          </cell>
          <cell r="AZ453">
            <v>0.25</v>
          </cell>
          <cell r="BA453">
            <v>0.25</v>
          </cell>
        </row>
        <row r="454">
          <cell r="A454" t="str">
            <v>CELONA INFISSI</v>
          </cell>
          <cell r="D454" t="str">
            <v>VIA S.VITO, 8</v>
          </cell>
          <cell r="E454">
            <v>38051</v>
          </cell>
          <cell r="F454" t="str">
            <v>BARCELLONA P.G.</v>
          </cell>
          <cell r="G454" t="str">
            <v>ME</v>
          </cell>
          <cell r="H454" t="str">
            <v>ITALIA</v>
          </cell>
          <cell r="I454" t="str">
            <v>CLNCV84R16F206T</v>
          </cell>
          <cell r="J454" t="str">
            <v>03357140833</v>
          </cell>
          <cell r="M454" t="str">
            <v>UFFICIO ACQUISTI</v>
          </cell>
          <cell r="O454" t="str">
            <v>349 0751213</v>
          </cell>
          <cell r="P454" t="str">
            <v>fabio.c84@live.it</v>
          </cell>
          <cell r="R454" t="str">
            <v>BONIFICO BANCARIO, ALLA DATA DELLA NOSTRA CONFERMA D'ORDINE</v>
          </cell>
          <cell r="X454">
            <v>0.25</v>
          </cell>
          <cell r="Y454">
            <v>-0.04</v>
          </cell>
          <cell r="AB454">
            <v>0.25</v>
          </cell>
          <cell r="AC454">
            <v>0.25</v>
          </cell>
          <cell r="AD454">
            <v>0.25</v>
          </cell>
          <cell r="AE454">
            <v>0.25</v>
          </cell>
          <cell r="AF454">
            <v>0.25</v>
          </cell>
          <cell r="AG454">
            <v>0.25</v>
          </cell>
          <cell r="AH454">
            <v>0.25</v>
          </cell>
          <cell r="AI454">
            <v>0.25</v>
          </cell>
          <cell r="AJ454">
            <v>0.25</v>
          </cell>
          <cell r="AK454">
            <v>0.25</v>
          </cell>
          <cell r="AL454">
            <v>0.25</v>
          </cell>
          <cell r="AM454">
            <v>0.25</v>
          </cell>
          <cell r="AN454">
            <v>0.25</v>
          </cell>
          <cell r="AO454">
            <v>0.25</v>
          </cell>
          <cell r="AP454">
            <v>0.25</v>
          </cell>
          <cell r="AQ454">
            <v>0.25</v>
          </cell>
          <cell r="AR454">
            <v>0.25</v>
          </cell>
          <cell r="AS454">
            <v>0.25</v>
          </cell>
          <cell r="AT454">
            <v>-0.04</v>
          </cell>
          <cell r="AU454">
            <v>0.92</v>
          </cell>
          <cell r="AV454">
            <v>20</v>
          </cell>
          <cell r="AY454" t="str">
            <v/>
          </cell>
          <cell r="AZ454">
            <v>0.25</v>
          </cell>
          <cell r="BA454">
            <v>0.25</v>
          </cell>
        </row>
        <row r="455">
          <cell r="A455" t="str">
            <v>CENTRO ASSISTENZA INFISSI</v>
          </cell>
          <cell r="D455" t="str">
            <v>VIA M.MASTACCHI, 249</v>
          </cell>
          <cell r="E455">
            <v>57124</v>
          </cell>
          <cell r="F455" t="str">
            <v>LIVORNO</v>
          </cell>
          <cell r="G455" t="str">
            <v>LI</v>
          </cell>
          <cell r="H455" t="str">
            <v>ITALIA</v>
          </cell>
          <cell r="M455" t="str">
            <v>UFFICIO ACQUISTI</v>
          </cell>
          <cell r="N455" t="str">
            <v>0586 862350</v>
          </cell>
          <cell r="P455" t="str">
            <v>info@serramentivalente.com</v>
          </cell>
          <cell r="R455" t="str">
            <v>BONIFICO BANCARIO, ALLA DATA DELLA NOSTRA CONFERMA D'ORDINE</v>
          </cell>
          <cell r="X455">
            <v>0.25</v>
          </cell>
          <cell r="Y455">
            <v>-0.04</v>
          </cell>
          <cell r="AB455">
            <v>0.25</v>
          </cell>
          <cell r="AC455">
            <v>0.25</v>
          </cell>
          <cell r="AD455">
            <v>0.25</v>
          </cell>
          <cell r="AE455">
            <v>0.25</v>
          </cell>
          <cell r="AF455">
            <v>0.25</v>
          </cell>
          <cell r="AG455">
            <v>0.25</v>
          </cell>
          <cell r="AH455">
            <v>0.25</v>
          </cell>
          <cell r="AI455">
            <v>0.25</v>
          </cell>
          <cell r="AJ455">
            <v>0.25</v>
          </cell>
          <cell r="AK455">
            <v>0.25</v>
          </cell>
          <cell r="AL455">
            <v>0.25</v>
          </cell>
          <cell r="AM455">
            <v>0.25</v>
          </cell>
          <cell r="AN455">
            <v>0.25</v>
          </cell>
          <cell r="AO455">
            <v>0.25</v>
          </cell>
          <cell r="AP455">
            <v>0.25</v>
          </cell>
          <cell r="AQ455">
            <v>0.25</v>
          </cell>
          <cell r="AR455">
            <v>0.25</v>
          </cell>
          <cell r="AS455">
            <v>0.25</v>
          </cell>
          <cell r="AT455">
            <v>-0.04</v>
          </cell>
          <cell r="AU455">
            <v>0.92</v>
          </cell>
          <cell r="AV455">
            <v>20</v>
          </cell>
          <cell r="AY455" t="str">
            <v/>
          </cell>
          <cell r="AZ455">
            <v>0.25</v>
          </cell>
          <cell r="BA455">
            <v>0.25</v>
          </cell>
        </row>
        <row r="456">
          <cell r="A456" t="str">
            <v>CENTRO DEL SERRAMENTO DI VANNOZZI</v>
          </cell>
          <cell r="D456" t="str">
            <v>VIA DEL FOSSO VECCHIO, 148</v>
          </cell>
          <cell r="E456">
            <v>56021</v>
          </cell>
          <cell r="F456" t="str">
            <v>CASCINA</v>
          </cell>
          <cell r="G456" t="str">
            <v>PI</v>
          </cell>
          <cell r="H456" t="str">
            <v>ITALIA</v>
          </cell>
          <cell r="J456" t="str">
            <v>00842870503</v>
          </cell>
          <cell r="M456" t="str">
            <v>UFFICIO ACQUISTI</v>
          </cell>
          <cell r="N456" t="str">
            <v>050 742063</v>
          </cell>
          <cell r="P456" t="str">
            <v>centrodelserramento@tin.it</v>
          </cell>
          <cell r="R456" t="str">
            <v>BONIFICO BANCARIO, ALLA DATA DELLA NOSTRA CONFERMA D'ORDINE</v>
          </cell>
          <cell r="X456">
            <v>0.25</v>
          </cell>
          <cell r="Y456">
            <v>-0.04</v>
          </cell>
          <cell r="AB456">
            <v>0.25</v>
          </cell>
          <cell r="AC456">
            <v>0.25</v>
          </cell>
          <cell r="AD456">
            <v>0.25</v>
          </cell>
          <cell r="AE456">
            <v>0.25</v>
          </cell>
          <cell r="AF456">
            <v>0.25</v>
          </cell>
          <cell r="AG456">
            <v>0.25</v>
          </cell>
          <cell r="AH456">
            <v>0.25</v>
          </cell>
          <cell r="AI456">
            <v>0.25</v>
          </cell>
          <cell r="AJ456">
            <v>0.25</v>
          </cell>
          <cell r="AK456">
            <v>0.25</v>
          </cell>
          <cell r="AL456">
            <v>0.25</v>
          </cell>
          <cell r="AM456">
            <v>0.25</v>
          </cell>
          <cell r="AN456">
            <v>0.25</v>
          </cell>
          <cell r="AO456">
            <v>0.25</v>
          </cell>
          <cell r="AP456">
            <v>0.25</v>
          </cell>
          <cell r="AQ456">
            <v>0.25</v>
          </cell>
          <cell r="AR456">
            <v>0.25</v>
          </cell>
          <cell r="AS456">
            <v>0.25</v>
          </cell>
          <cell r="AT456">
            <v>-0.04</v>
          </cell>
          <cell r="AU456">
            <v>0.92</v>
          </cell>
          <cell r="AV456">
            <v>20</v>
          </cell>
          <cell r="AY456" t="str">
            <v/>
          </cell>
          <cell r="AZ456">
            <v>0.25</v>
          </cell>
          <cell r="BA456">
            <v>0.25</v>
          </cell>
        </row>
        <row r="457">
          <cell r="A457" t="str">
            <v>CENTRO EDILE BUDONI</v>
          </cell>
          <cell r="D457" t="str">
            <v>VIA NAZIONALE, 250</v>
          </cell>
          <cell r="E457" t="str">
            <v>08020</v>
          </cell>
          <cell r="F457" t="str">
            <v>BUDONI</v>
          </cell>
          <cell r="G457" t="str">
            <v>SS</v>
          </cell>
          <cell r="H457" t="str">
            <v>ITALIA</v>
          </cell>
          <cell r="J457" t="str">
            <v>01558780910</v>
          </cell>
          <cell r="M457" t="str">
            <v>UFFICIO ACQUISTI</v>
          </cell>
          <cell r="N457" t="str">
            <v>0784 844176</v>
          </cell>
          <cell r="P457" t="str">
            <v>edilbudoni@libero.it</v>
          </cell>
          <cell r="R457" t="str">
            <v>BONIFICO BANCARIO, ALLA DATA DELLA NOSTRA CONFERMA D'ORDINE</v>
          </cell>
          <cell r="X457">
            <v>0.2</v>
          </cell>
          <cell r="Y457">
            <v>-0.04</v>
          </cell>
          <cell r="AB457">
            <v>0.2</v>
          </cell>
          <cell r="AC457">
            <v>0.2</v>
          </cell>
          <cell r="AD457">
            <v>0.2</v>
          </cell>
          <cell r="AE457">
            <v>0.2</v>
          </cell>
          <cell r="AF457">
            <v>0.2</v>
          </cell>
          <cell r="AG457">
            <v>0.2</v>
          </cell>
          <cell r="AH457">
            <v>0.2</v>
          </cell>
          <cell r="AI457">
            <v>0.2</v>
          </cell>
          <cell r="AJ457">
            <v>0.2</v>
          </cell>
          <cell r="AK457">
            <v>0.2</v>
          </cell>
          <cell r="AL457">
            <v>0.2</v>
          </cell>
          <cell r="AM457">
            <v>0.2</v>
          </cell>
          <cell r="AN457">
            <v>0.2</v>
          </cell>
          <cell r="AO457">
            <v>0.2</v>
          </cell>
          <cell r="AP457">
            <v>0.2</v>
          </cell>
          <cell r="AQ457">
            <v>0.2</v>
          </cell>
          <cell r="AR457">
            <v>0.2</v>
          </cell>
          <cell r="AS457">
            <v>0.2</v>
          </cell>
          <cell r="AT457">
            <v>-0.04</v>
          </cell>
          <cell r="AU457">
            <v>0.92</v>
          </cell>
          <cell r="AV457">
            <v>20</v>
          </cell>
          <cell r="AZ457">
            <v>0.2</v>
          </cell>
          <cell r="BA457">
            <v>0.2</v>
          </cell>
        </row>
        <row r="458">
          <cell r="A458" t="str">
            <v>CENTRO INFIISSI DI COSSU MARIA VIOLA</v>
          </cell>
          <cell r="B458" t="str">
            <v>SOLO BIGLIETTO DA VISITA</v>
          </cell>
          <cell r="D458" t="str">
            <v>VIA V.CUOCO, 32/34</v>
          </cell>
          <cell r="E458" t="str">
            <v>09134</v>
          </cell>
          <cell r="F458" t="str">
            <v>PIRRI</v>
          </cell>
          <cell r="G458" t="str">
            <v>CA</v>
          </cell>
          <cell r="H458" t="str">
            <v>ITALIA</v>
          </cell>
          <cell r="I458" t="str">
            <v>CSSMVL53R59B354K</v>
          </cell>
          <cell r="J458" t="str">
            <v>03824520922</v>
          </cell>
          <cell r="M458" t="str">
            <v>UFFICIO ACQUISTI</v>
          </cell>
          <cell r="O458" t="str">
            <v>351 6998694 VIOLA</v>
          </cell>
          <cell r="R458" t="str">
            <v>BONIFICO BANCARIO, ALLA DATA DELLA NOSTRA CONFERMA D'ORDINE</v>
          </cell>
          <cell r="X458">
            <v>0.25</v>
          </cell>
          <cell r="Y458">
            <v>-0.04</v>
          </cell>
          <cell r="AB458">
            <v>0.25</v>
          </cell>
          <cell r="AC458">
            <v>0.25</v>
          </cell>
          <cell r="AD458">
            <v>0.25</v>
          </cell>
          <cell r="AE458">
            <v>0.25</v>
          </cell>
          <cell r="AF458">
            <v>0.25</v>
          </cell>
          <cell r="AG458">
            <v>0.25</v>
          </cell>
          <cell r="AH458">
            <v>0.25</v>
          </cell>
          <cell r="AI458">
            <v>0.25</v>
          </cell>
          <cell r="AJ458">
            <v>0.25</v>
          </cell>
          <cell r="AK458">
            <v>0.25</v>
          </cell>
          <cell r="AL458">
            <v>0.25</v>
          </cell>
          <cell r="AM458">
            <v>0.25</v>
          </cell>
          <cell r="AN458">
            <v>0.25</v>
          </cell>
          <cell r="AO458">
            <v>0.25</v>
          </cell>
          <cell r="AP458">
            <v>0.25</v>
          </cell>
          <cell r="AQ458">
            <v>0.25</v>
          </cell>
          <cell r="AR458">
            <v>0.25</v>
          </cell>
          <cell r="AS458">
            <v>0.25</v>
          </cell>
          <cell r="AT458">
            <v>-0.04</v>
          </cell>
          <cell r="AU458">
            <v>0.92</v>
          </cell>
          <cell r="AV458">
            <v>20</v>
          </cell>
          <cell r="AZ458">
            <v>0.25</v>
          </cell>
          <cell r="BA458">
            <v>0.25</v>
          </cell>
        </row>
        <row r="459">
          <cell r="A459" t="str">
            <v>CENTRO INFISSI EFISIO OLLA SNC</v>
          </cell>
          <cell r="D459" t="str">
            <v>ZONA INDUSTRIALE STRADA, 1 - LOTTO A7</v>
          </cell>
          <cell r="E459" t="str">
            <v>08029</v>
          </cell>
          <cell r="F459" t="str">
            <v>SINISCOLA</v>
          </cell>
          <cell r="G459" t="str">
            <v>NU</v>
          </cell>
          <cell r="H459" t="str">
            <v>ITALIA</v>
          </cell>
          <cell r="J459" t="str">
            <v>01378380917</v>
          </cell>
          <cell r="K459" t="str">
            <v>W7YVJK9</v>
          </cell>
          <cell r="M459" t="str">
            <v>UFFICIO ACQUISTI</v>
          </cell>
          <cell r="N459" t="str">
            <v>0784 874011</v>
          </cell>
          <cell r="O459" t="str">
            <v>346 8505288 PAOLO - 349 0772994 EFISIO</v>
          </cell>
          <cell r="P459" t="str">
            <v>centroinfissieo@tiscali.it</v>
          </cell>
          <cell r="R459" t="str">
            <v>BONIFICO BANCARIO, ALLA DATA DELLA NOSTRA CONFERMA D'ORDINE</v>
          </cell>
          <cell r="X459">
            <v>0.25</v>
          </cell>
          <cell r="Y459">
            <v>-0.04</v>
          </cell>
          <cell r="AB459">
            <v>0.25</v>
          </cell>
          <cell r="AC459">
            <v>0.25</v>
          </cell>
          <cell r="AD459">
            <v>0.25</v>
          </cell>
          <cell r="AE459">
            <v>0.25</v>
          </cell>
          <cell r="AF459">
            <v>0.25</v>
          </cell>
          <cell r="AG459">
            <v>0.25</v>
          </cell>
          <cell r="AH459">
            <v>0.25</v>
          </cell>
          <cell r="AI459">
            <v>0.25</v>
          </cell>
          <cell r="AJ459">
            <v>0.25</v>
          </cell>
          <cell r="AK459">
            <v>0.25</v>
          </cell>
          <cell r="AL459">
            <v>0.25</v>
          </cell>
          <cell r="AM459">
            <v>0.25</v>
          </cell>
          <cell r="AN459">
            <v>0.25</v>
          </cell>
          <cell r="AO459">
            <v>0.25</v>
          </cell>
          <cell r="AP459">
            <v>0.25</v>
          </cell>
          <cell r="AQ459">
            <v>0.25</v>
          </cell>
          <cell r="AR459">
            <v>0.25</v>
          </cell>
          <cell r="AS459">
            <v>0.25</v>
          </cell>
          <cell r="AT459">
            <v>-0.04</v>
          </cell>
          <cell r="AU459">
            <v>0.92</v>
          </cell>
          <cell r="AV459">
            <v>20</v>
          </cell>
          <cell r="AZ459">
            <v>0.25</v>
          </cell>
          <cell r="BA459">
            <v>0.25</v>
          </cell>
          <cell r="BF459" t="str">
            <v>CLICK RAPID con carpenteria 14/04/2021</v>
          </cell>
        </row>
        <row r="460">
          <cell r="A460" t="str">
            <v>CENTRO INFISSI EFISIO OLLA SNC DI  MELINO PAOLO E OLLA GIAMBATTISTA</v>
          </cell>
          <cell r="B460" t="str">
            <v>QUALCHE CAVALIERE IN PIU'</v>
          </cell>
          <cell r="D460" t="str">
            <v>ZONA INDUSTRIALE STRADA 1 LOTTO A7</v>
          </cell>
          <cell r="E460" t="str">
            <v>08029</v>
          </cell>
          <cell r="F460" t="str">
            <v>SINISCOLA</v>
          </cell>
          <cell r="G460" t="str">
            <v>NU</v>
          </cell>
          <cell r="H460" t="str">
            <v>ITALIA</v>
          </cell>
          <cell r="J460" t="str">
            <v>01378380917</v>
          </cell>
          <cell r="K460" t="str">
            <v>W7YVJK9</v>
          </cell>
          <cell r="M460" t="str">
            <v>UFFICIO ACQUISTI</v>
          </cell>
          <cell r="N460" t="str">
            <v>0784 874011</v>
          </cell>
          <cell r="O460" t="str">
            <v>346 8505288 PAOLO  349 0772994 EFISIO</v>
          </cell>
          <cell r="P460" t="str">
            <v>centroinfissieo@tiscali.it</v>
          </cell>
          <cell r="R460" t="str">
            <v>BONIFICO BANCARIO, ALLA DATA DELLA NOSTRA CONFERMA D'ORDINE</v>
          </cell>
          <cell r="X460">
            <v>0.2</v>
          </cell>
          <cell r="Y460">
            <v>-0.04</v>
          </cell>
          <cell r="AB460">
            <v>0.2</v>
          </cell>
          <cell r="AC460">
            <v>0.2</v>
          </cell>
          <cell r="AD460">
            <v>0.2</v>
          </cell>
          <cell r="AE460">
            <v>0.2</v>
          </cell>
          <cell r="AF460">
            <v>0.2</v>
          </cell>
          <cell r="AG460">
            <v>0.2</v>
          </cell>
          <cell r="AH460">
            <v>0.2</v>
          </cell>
          <cell r="AI460">
            <v>0.2</v>
          </cell>
          <cell r="AJ460">
            <v>0.2</v>
          </cell>
          <cell r="AK460">
            <v>0.2</v>
          </cell>
          <cell r="AL460">
            <v>0.2</v>
          </cell>
          <cell r="AM460">
            <v>0.2</v>
          </cell>
          <cell r="AN460">
            <v>0.2</v>
          </cell>
          <cell r="AO460">
            <v>0.2</v>
          </cell>
          <cell r="AP460">
            <v>0.2</v>
          </cell>
          <cell r="AQ460">
            <v>0.2</v>
          </cell>
          <cell r="AR460">
            <v>0.2</v>
          </cell>
          <cell r="AS460">
            <v>0.2</v>
          </cell>
          <cell r="AT460">
            <v>-0.04</v>
          </cell>
          <cell r="AU460">
            <v>0.92</v>
          </cell>
          <cell r="AV460">
            <v>20</v>
          </cell>
          <cell r="AZ460">
            <v>0.2</v>
          </cell>
          <cell r="BA460">
            <v>0.2</v>
          </cell>
        </row>
        <row r="461">
          <cell r="A461" t="str">
            <v xml:space="preserve">CENTRO INFISSI EGI </v>
          </cell>
          <cell r="D461" t="str">
            <v>VIA A.ROBINO, 251 R</v>
          </cell>
          <cell r="E461">
            <v>16142</v>
          </cell>
          <cell r="F461" t="str">
            <v>GENOVA</v>
          </cell>
          <cell r="G461" t="str">
            <v>GE</v>
          </cell>
          <cell r="H461" t="str">
            <v>ITALIA</v>
          </cell>
          <cell r="J461" t="str">
            <v>03390220105</v>
          </cell>
          <cell r="M461" t="str">
            <v>SIGG.ANDREA E MARCO</v>
          </cell>
          <cell r="N461" t="str">
            <v>010 8398364</v>
          </cell>
          <cell r="O461" t="str">
            <v>335 1361503</v>
          </cell>
          <cell r="P461" t="str">
            <v>email@centroinfissigenova.it</v>
          </cell>
          <cell r="R461" t="str">
            <v>BONIFICO BANCARIO, ALLA DATA DELLA NOSTRA CONFERMA D'ORDINE</v>
          </cell>
          <cell r="X461">
            <v>0.25</v>
          </cell>
          <cell r="Y461">
            <v>-0.04</v>
          </cell>
          <cell r="AB461">
            <v>0.25</v>
          </cell>
          <cell r="AC461">
            <v>0.25</v>
          </cell>
          <cell r="AD461">
            <v>0.25</v>
          </cell>
          <cell r="AE461">
            <v>0.25</v>
          </cell>
          <cell r="AF461">
            <v>0.25</v>
          </cell>
          <cell r="AG461">
            <v>0.25</v>
          </cell>
          <cell r="AH461">
            <v>0.25</v>
          </cell>
          <cell r="AI461">
            <v>0.25</v>
          </cell>
          <cell r="AJ461">
            <v>0.25</v>
          </cell>
          <cell r="AK461">
            <v>0.25</v>
          </cell>
          <cell r="AL461">
            <v>0.25</v>
          </cell>
          <cell r="AM461">
            <v>0.25</v>
          </cell>
          <cell r="AN461">
            <v>0.25</v>
          </cell>
          <cell r="AO461">
            <v>0.25</v>
          </cell>
          <cell r="AP461">
            <v>0.25</v>
          </cell>
          <cell r="AQ461">
            <v>0.25</v>
          </cell>
          <cell r="AR461">
            <v>0.25</v>
          </cell>
          <cell r="AS461">
            <v>0.25</v>
          </cell>
          <cell r="AT461">
            <v>-0.04</v>
          </cell>
          <cell r="AU461">
            <v>0.92</v>
          </cell>
          <cell r="AV461">
            <v>20</v>
          </cell>
          <cell r="AY461" t="str">
            <v/>
          </cell>
          <cell r="AZ461">
            <v>0.25</v>
          </cell>
          <cell r="BA461">
            <v>0.25</v>
          </cell>
        </row>
        <row r="462">
          <cell r="A462" t="str">
            <v>CENTRO INFISSI G &amp; G</v>
          </cell>
          <cell r="D462" t="str">
            <v>S. DA DI CERCHAIA, 47</v>
          </cell>
          <cell r="E462" t="str">
            <v>53100</v>
          </cell>
          <cell r="F462" t="str">
            <v>SIENA</v>
          </cell>
          <cell r="G462" t="str">
            <v>SI</v>
          </cell>
          <cell r="H462" t="str">
            <v>ITALIA</v>
          </cell>
          <cell r="M462" t="str">
            <v>UFFICIO ACQUISTI</v>
          </cell>
          <cell r="N462" t="str">
            <v>0577 532993</v>
          </cell>
          <cell r="P462" t="str">
            <v>info@centroinfissigeg.it</v>
          </cell>
          <cell r="R462" t="str">
            <v>BONIFICO BANCARIO, ALLA DATA DELLA NOSTRA CONFERMA D'ORDINE</v>
          </cell>
          <cell r="X462">
            <v>0.25</v>
          </cell>
          <cell r="Y462">
            <v>-0.04</v>
          </cell>
          <cell r="AB462">
            <v>0.25</v>
          </cell>
          <cell r="AC462">
            <v>0.25</v>
          </cell>
          <cell r="AD462">
            <v>0.25</v>
          </cell>
          <cell r="AE462">
            <v>0.25</v>
          </cell>
          <cell r="AF462">
            <v>0.25</v>
          </cell>
          <cell r="AG462">
            <v>0.25</v>
          </cell>
          <cell r="AH462">
            <v>0.25</v>
          </cell>
          <cell r="AI462">
            <v>0.25</v>
          </cell>
          <cell r="AJ462">
            <v>0.25</v>
          </cell>
          <cell r="AK462">
            <v>0.25</v>
          </cell>
          <cell r="AL462">
            <v>0.25</v>
          </cell>
          <cell r="AM462">
            <v>0.25</v>
          </cell>
          <cell r="AN462">
            <v>0.25</v>
          </cell>
          <cell r="AO462">
            <v>0.25</v>
          </cell>
          <cell r="AP462">
            <v>0.25</v>
          </cell>
          <cell r="AQ462">
            <v>0.25</v>
          </cell>
          <cell r="AR462">
            <v>0.25</v>
          </cell>
          <cell r="AS462">
            <v>0.25</v>
          </cell>
          <cell r="AT462">
            <v>-0.04</v>
          </cell>
          <cell r="AU462">
            <v>0.92</v>
          </cell>
          <cell r="AV462">
            <v>20</v>
          </cell>
          <cell r="AY462" t="str">
            <v/>
          </cell>
          <cell r="AZ462">
            <v>0.25</v>
          </cell>
          <cell r="BA462">
            <v>0.25</v>
          </cell>
        </row>
        <row r="463">
          <cell r="A463" t="str">
            <v>CENTRO INFISSI GAGGIANO</v>
          </cell>
          <cell r="D463" t="str">
            <v>VIA DANIMARCA, 7</v>
          </cell>
          <cell r="E463">
            <v>20083</v>
          </cell>
          <cell r="F463" t="str">
            <v>VIGANO DI GAGGIANO</v>
          </cell>
          <cell r="G463" t="str">
            <v>MI</v>
          </cell>
          <cell r="H463" t="str">
            <v>ITALIA</v>
          </cell>
          <cell r="J463" t="str">
            <v>06552930965</v>
          </cell>
          <cell r="M463" t="str">
            <v>UFFICIO ACQUISTI</v>
          </cell>
          <cell r="N463" t="str">
            <v>02 9086909</v>
          </cell>
          <cell r="O463" t="str">
            <v>393 3649664</v>
          </cell>
          <cell r="P463" t="str">
            <v>giorgio@centroinfissigaggiano.it</v>
          </cell>
          <cell r="R463" t="str">
            <v>BONIFICO BANCARIO, ALLA DATA DELLA NOSTRA CONFERMA D'ORDINE</v>
          </cell>
          <cell r="X463">
            <v>0.25</v>
          </cell>
          <cell r="Y463">
            <v>-0.04</v>
          </cell>
          <cell r="AB463">
            <v>0.25</v>
          </cell>
          <cell r="AC463">
            <v>0.25</v>
          </cell>
          <cell r="AD463">
            <v>0.25</v>
          </cell>
          <cell r="AE463">
            <v>0.25</v>
          </cell>
          <cell r="AF463">
            <v>0.25</v>
          </cell>
          <cell r="AG463">
            <v>0.25</v>
          </cell>
          <cell r="AH463">
            <v>0.25</v>
          </cell>
          <cell r="AI463">
            <v>0.25</v>
          </cell>
          <cell r="AJ463">
            <v>0.25</v>
          </cell>
          <cell r="AK463">
            <v>0.25</v>
          </cell>
          <cell r="AL463">
            <v>0.25</v>
          </cell>
          <cell r="AM463">
            <v>0.25</v>
          </cell>
          <cell r="AN463">
            <v>0.25</v>
          </cell>
          <cell r="AO463">
            <v>0.25</v>
          </cell>
          <cell r="AP463">
            <v>0.25</v>
          </cell>
          <cell r="AQ463">
            <v>0.25</v>
          </cell>
          <cell r="AR463">
            <v>0.25</v>
          </cell>
          <cell r="AS463">
            <v>0.25</v>
          </cell>
          <cell r="AT463">
            <v>-0.04</v>
          </cell>
          <cell r="AU463">
            <v>0.92</v>
          </cell>
          <cell r="AV463">
            <v>20</v>
          </cell>
          <cell r="AY463" t="str">
            <v/>
          </cell>
          <cell r="AZ463">
            <v>0.25</v>
          </cell>
          <cell r="BA463">
            <v>0.25</v>
          </cell>
        </row>
        <row r="464">
          <cell r="A464" t="str">
            <v>CENTRO INFISSI GALLURA SAS DI DEBIDDA PAOLO &amp; C.</v>
          </cell>
          <cell r="D464" t="str">
            <v>LABORATORIO ZONA ARTIGIANALE S.P.90</v>
          </cell>
          <cell r="E464" t="str">
            <v>00728</v>
          </cell>
          <cell r="F464" t="str">
            <v>SANTA TERESA DI GALLURA</v>
          </cell>
          <cell r="G464" t="str">
            <v>SS</v>
          </cell>
          <cell r="H464" t="str">
            <v>ITALIA</v>
          </cell>
          <cell r="J464" t="str">
            <v>01896970900</v>
          </cell>
          <cell r="M464" t="str">
            <v>UFFICIO ACQUISTI</v>
          </cell>
          <cell r="N464" t="str">
            <v xml:space="preserve">0789 754694 </v>
          </cell>
          <cell r="O464" t="str">
            <v>347 9488280</v>
          </cell>
          <cell r="P464" t="str">
            <v>centroinfissigallura@tiscali.it</v>
          </cell>
          <cell r="R464" t="str">
            <v>BONIFICO BANCARIO, ALLA DATA DELLA NOSTRA CONFERMA D'ORDINE</v>
          </cell>
          <cell r="X464">
            <v>0.2</v>
          </cell>
          <cell r="Y464">
            <v>-0.04</v>
          </cell>
          <cell r="AB464">
            <v>0.2</v>
          </cell>
          <cell r="AC464">
            <v>0.2</v>
          </cell>
          <cell r="AD464">
            <v>0.2</v>
          </cell>
          <cell r="AE464">
            <v>0.2</v>
          </cell>
          <cell r="AF464">
            <v>0.2</v>
          </cell>
          <cell r="AG464">
            <v>0.2</v>
          </cell>
          <cell r="AH464">
            <v>0.2</v>
          </cell>
          <cell r="AI464">
            <v>0.2</v>
          </cell>
          <cell r="AJ464">
            <v>0.2</v>
          </cell>
          <cell r="AK464">
            <v>0.2</v>
          </cell>
          <cell r="AL464">
            <v>0.2</v>
          </cell>
          <cell r="AM464">
            <v>0.2</v>
          </cell>
          <cell r="AN464">
            <v>0.2</v>
          </cell>
          <cell r="AO464">
            <v>0.2</v>
          </cell>
          <cell r="AP464">
            <v>0.2</v>
          </cell>
          <cell r="AQ464">
            <v>0.2</v>
          </cell>
          <cell r="AR464">
            <v>0.2</v>
          </cell>
          <cell r="AS464">
            <v>0.2</v>
          </cell>
          <cell r="AT464">
            <v>-0.04</v>
          </cell>
          <cell r="AU464">
            <v>0.92</v>
          </cell>
          <cell r="AV464">
            <v>20</v>
          </cell>
          <cell r="AZ464">
            <v>0.2</v>
          </cell>
          <cell r="BA464">
            <v>0.2</v>
          </cell>
        </row>
        <row r="465">
          <cell r="A465" t="str">
            <v xml:space="preserve">CENTRO INFISSI NEMA DI NESTOLA MARIO </v>
          </cell>
          <cell r="B465" t="str">
            <v>CAMPIONE 238,5 X 40  + VOLANTINI+LETTERA + VETROFANIE</v>
          </cell>
          <cell r="D465" t="str">
            <v>VIA C.MARIANO, 257</v>
          </cell>
          <cell r="E465">
            <v>73043</v>
          </cell>
          <cell r="F465" t="str">
            <v>COPERTINO</v>
          </cell>
          <cell r="G465" t="str">
            <v>LE</v>
          </cell>
          <cell r="H465" t="str">
            <v>ITALIA</v>
          </cell>
          <cell r="J465" t="str">
            <v>02171870757</v>
          </cell>
          <cell r="M465" t="str">
            <v>UFFICIO ACQUISTI</v>
          </cell>
          <cell r="N465" t="str">
            <v>0832 933262</v>
          </cell>
          <cell r="O465" t="str">
            <v>334 3458985</v>
          </cell>
          <cell r="P465" t="str">
            <v>marionestola@gmail.com</v>
          </cell>
          <cell r="R465" t="str">
            <v>BONIFICO BANCARIO, ALLA DATA DELLA NOSTRA CONFERMA D'ORDINE</v>
          </cell>
          <cell r="X465">
            <v>0.25</v>
          </cell>
          <cell r="Y465">
            <v>-0.04</v>
          </cell>
          <cell r="AB465">
            <v>0.25</v>
          </cell>
          <cell r="AC465">
            <v>0.25</v>
          </cell>
          <cell r="AD465">
            <v>0.25</v>
          </cell>
          <cell r="AE465">
            <v>0.25</v>
          </cell>
          <cell r="AF465">
            <v>0.25</v>
          </cell>
          <cell r="AG465">
            <v>0.25</v>
          </cell>
          <cell r="AH465">
            <v>0.25</v>
          </cell>
          <cell r="AI465">
            <v>0.25</v>
          </cell>
          <cell r="AJ465">
            <v>0.25</v>
          </cell>
          <cell r="AK465">
            <v>0.25</v>
          </cell>
          <cell r="AL465">
            <v>0.25</v>
          </cell>
          <cell r="AM465">
            <v>0.25</v>
          </cell>
          <cell r="AN465">
            <v>0.25</v>
          </cell>
          <cell r="AO465">
            <v>0.25</v>
          </cell>
          <cell r="AP465">
            <v>0.25</v>
          </cell>
          <cell r="AQ465">
            <v>0.25</v>
          </cell>
          <cell r="AR465">
            <v>0.25</v>
          </cell>
          <cell r="AS465">
            <v>0.25</v>
          </cell>
          <cell r="AT465">
            <v>-0.04</v>
          </cell>
          <cell r="AU465">
            <v>0.92</v>
          </cell>
          <cell r="AV465">
            <v>20</v>
          </cell>
          <cell r="AY465" t="str">
            <v/>
          </cell>
          <cell r="AZ465">
            <v>0.25</v>
          </cell>
          <cell r="BA465">
            <v>0.25</v>
          </cell>
        </row>
        <row r="466">
          <cell r="A466" t="str">
            <v>CENTRO INFISSI SRL</v>
          </cell>
          <cell r="D466" t="str">
            <v>VIA PIER LUIGI NERVI 36</v>
          </cell>
          <cell r="E466" t="str">
            <v>30016</v>
          </cell>
          <cell r="F466" t="str">
            <v>JESOLO</v>
          </cell>
          <cell r="G466" t="str">
            <v>VE</v>
          </cell>
          <cell r="H466" t="str">
            <v>ITALIA</v>
          </cell>
          <cell r="M466" t="str">
            <v>UFFICIO ACQUISTI</v>
          </cell>
          <cell r="N466" t="str">
            <v>0421 351075</v>
          </cell>
          <cell r="O466" t="str">
            <v>331 3266999</v>
          </cell>
          <cell r="P466" t="str">
            <v>info@centroinfissisrl.it</v>
          </cell>
          <cell r="R466" t="str">
            <v>BONIFICO BANCARIO, ALLA DATA DELLA NOSTRA CONFERMA D'ORDINE</v>
          </cell>
          <cell r="X466">
            <v>0.25</v>
          </cell>
          <cell r="Y466">
            <v>-0.04</v>
          </cell>
          <cell r="AB466">
            <v>0.25</v>
          </cell>
          <cell r="AC466">
            <v>0.25</v>
          </cell>
          <cell r="AD466">
            <v>0.25</v>
          </cell>
          <cell r="AE466">
            <v>0.25</v>
          </cell>
          <cell r="AF466">
            <v>0.25</v>
          </cell>
          <cell r="AG466">
            <v>0.25</v>
          </cell>
          <cell r="AH466">
            <v>0.25</v>
          </cell>
          <cell r="AI466">
            <v>0.25</v>
          </cell>
          <cell r="AJ466">
            <v>0.25</v>
          </cell>
          <cell r="AK466">
            <v>0.25</v>
          </cell>
          <cell r="AL466">
            <v>0.25</v>
          </cell>
          <cell r="AM466">
            <v>0.25</v>
          </cell>
          <cell r="AN466">
            <v>0.25</v>
          </cell>
          <cell r="AO466">
            <v>0.25</v>
          </cell>
          <cell r="AP466">
            <v>0.25</v>
          </cell>
          <cell r="AQ466">
            <v>0.25</v>
          </cell>
          <cell r="AR466">
            <v>0.25</v>
          </cell>
          <cell r="AS466">
            <v>0.25</v>
          </cell>
          <cell r="AT466">
            <v>-0.04</v>
          </cell>
          <cell r="AU466">
            <v>0.92</v>
          </cell>
          <cell r="AV466">
            <v>20</v>
          </cell>
          <cell r="AY466" t="str">
            <v/>
          </cell>
          <cell r="AZ466">
            <v>0.25</v>
          </cell>
          <cell r="BA466">
            <v>0.25</v>
          </cell>
        </row>
        <row r="467">
          <cell r="A467" t="str">
            <v>CENTRO INFISSI STELLA  SRL</v>
          </cell>
          <cell r="B467" t="str">
            <v>VINCENZO STELLA AMMINISTRATORE UNICO</v>
          </cell>
          <cell r="D467" t="str">
            <v>VIA M. NICOLETTA, 106</v>
          </cell>
          <cell r="E467">
            <v>88900</v>
          </cell>
          <cell r="F467" t="str">
            <v>CROTONE</v>
          </cell>
          <cell r="G467" t="str">
            <v>KR</v>
          </cell>
          <cell r="H467" t="str">
            <v>ITALIA</v>
          </cell>
          <cell r="I467" t="str">
            <v>02037040793</v>
          </cell>
          <cell r="J467" t="str">
            <v>02037040793</v>
          </cell>
          <cell r="M467" t="str">
            <v>UFFICIO ACQUISTI</v>
          </cell>
          <cell r="N467" t="str">
            <v>0962 22439</v>
          </cell>
          <cell r="P467" t="str">
            <v>infissistella@infissistella.it</v>
          </cell>
          <cell r="R467" t="str">
            <v>BONIFICO BANCARIO, ALLA DATA DELLA NOSTRA CONFERMA D'ORDINE</v>
          </cell>
          <cell r="X467">
            <v>0.25</v>
          </cell>
          <cell r="Y467">
            <v>-0.04</v>
          </cell>
          <cell r="AB467">
            <v>0.25</v>
          </cell>
          <cell r="AC467">
            <v>0.25</v>
          </cell>
          <cell r="AD467">
            <v>0.25</v>
          </cell>
          <cell r="AE467">
            <v>0.25</v>
          </cell>
          <cell r="AF467">
            <v>0.25</v>
          </cell>
          <cell r="AG467">
            <v>0.25</v>
          </cell>
          <cell r="AH467">
            <v>0.25</v>
          </cell>
          <cell r="AI467">
            <v>0.25</v>
          </cell>
          <cell r="AJ467">
            <v>0.25</v>
          </cell>
          <cell r="AK467">
            <v>0.25</v>
          </cell>
          <cell r="AL467">
            <v>0.25</v>
          </cell>
          <cell r="AM467">
            <v>0.25</v>
          </cell>
          <cell r="AN467">
            <v>0.25</v>
          </cell>
          <cell r="AO467">
            <v>0.25</v>
          </cell>
          <cell r="AP467">
            <v>0.25</v>
          </cell>
          <cell r="AQ467">
            <v>0.25</v>
          </cell>
          <cell r="AR467">
            <v>0.25</v>
          </cell>
          <cell r="AS467">
            <v>0.25</v>
          </cell>
          <cell r="AT467">
            <v>-0.04</v>
          </cell>
          <cell r="AU467">
            <v>0.92</v>
          </cell>
          <cell r="AV467">
            <v>20</v>
          </cell>
          <cell r="AW467" t="str">
            <v>PIETRO OLIVADOTI</v>
          </cell>
          <cell r="AX467">
            <v>0.95</v>
          </cell>
          <cell r="AY467" t="str">
            <v/>
          </cell>
          <cell r="AZ467">
            <v>0.25</v>
          </cell>
          <cell r="BA467">
            <v>0.25</v>
          </cell>
        </row>
        <row r="468">
          <cell r="A468" t="str">
            <v>CENTRO INFISSI VENEGGIA</v>
          </cell>
          <cell r="B468" t="str">
            <v>NON VUOLE RICEVERE EMAIL - NEWSLETTER</v>
          </cell>
          <cell r="D468" t="str">
            <v>VIA DEL CANDEL 59</v>
          </cell>
          <cell r="E468" t="str">
            <v>32100</v>
          </cell>
          <cell r="F468" t="str">
            <v>BELLUNO</v>
          </cell>
          <cell r="G468" t="str">
            <v>BL</v>
          </cell>
          <cell r="H468" t="str">
            <v>ITALIA</v>
          </cell>
          <cell r="J468" t="str">
            <v>01210310254</v>
          </cell>
          <cell r="M468" t="str">
            <v>UFFICIO ACQUISTI</v>
          </cell>
          <cell r="N468" t="str">
            <v>0437 33535</v>
          </cell>
          <cell r="O468" t="str">
            <v>351 8653009</v>
          </cell>
          <cell r="P468" t="str">
            <v>infissiveneggia@alice.it</v>
          </cell>
          <cell r="R468" t="str">
            <v>BONIFICO BANCARIO, ALLA DATA DELLA NOSTRA CONFERMA D'ORDINE</v>
          </cell>
          <cell r="X468">
            <v>0.25</v>
          </cell>
          <cell r="Y468">
            <v>-0.04</v>
          </cell>
          <cell r="AB468">
            <v>0.25</v>
          </cell>
          <cell r="AC468">
            <v>0.25</v>
          </cell>
          <cell r="AD468">
            <v>0.25</v>
          </cell>
          <cell r="AE468">
            <v>0.25</v>
          </cell>
          <cell r="AF468">
            <v>0.25</v>
          </cell>
          <cell r="AG468">
            <v>0.25</v>
          </cell>
          <cell r="AH468">
            <v>0.25</v>
          </cell>
          <cell r="AI468">
            <v>0.25</v>
          </cell>
          <cell r="AJ468">
            <v>0.25</v>
          </cell>
          <cell r="AK468">
            <v>0.25</v>
          </cell>
          <cell r="AL468">
            <v>0.25</v>
          </cell>
          <cell r="AM468">
            <v>0.25</v>
          </cell>
          <cell r="AN468">
            <v>0.25</v>
          </cell>
          <cell r="AO468">
            <v>0.25</v>
          </cell>
          <cell r="AP468">
            <v>0.25</v>
          </cell>
          <cell r="AQ468">
            <v>0.25</v>
          </cell>
          <cell r="AR468">
            <v>0.25</v>
          </cell>
          <cell r="AS468">
            <v>0.25</v>
          </cell>
          <cell r="AT468">
            <v>-0.04</v>
          </cell>
          <cell r="AU468">
            <v>0.92</v>
          </cell>
          <cell r="AV468">
            <v>20</v>
          </cell>
          <cell r="AY468" t="str">
            <v/>
          </cell>
          <cell r="AZ468">
            <v>0.25</v>
          </cell>
          <cell r="BA468">
            <v>0.25</v>
          </cell>
        </row>
        <row r="469">
          <cell r="A469" t="str">
            <v>CENTRO ITALIA INFISSI SRL</v>
          </cell>
          <cell r="B469" t="str">
            <v>02/03/23 GRAZIANO, TITOLARE. RICHIAMA LUI</v>
          </cell>
          <cell r="D469" t="str">
            <v>CORSO UMBERTO, 590</v>
          </cell>
          <cell r="E469" t="str">
            <v>65015</v>
          </cell>
          <cell r="F469" t="str">
            <v>MONTESILVANO</v>
          </cell>
          <cell r="G469" t="str">
            <v>PE</v>
          </cell>
          <cell r="H469" t="str">
            <v>ITALIA</v>
          </cell>
          <cell r="J469" t="str">
            <v>01593550682</v>
          </cell>
          <cell r="M469" t="str">
            <v>UFFICIO ACQUISTI</v>
          </cell>
          <cell r="N469" t="str">
            <v>085 4451833 - 085 8621356</v>
          </cell>
          <cell r="P469" t="str">
            <v>info@centroitaliainfissi.it</v>
          </cell>
          <cell r="R469" t="str">
            <v>BONIFICO BANCARIO, ALLA DATA DELLA NOSTRA CONFERMA D'ORDINE</v>
          </cell>
          <cell r="X469">
            <v>0.25</v>
          </cell>
          <cell r="Y469">
            <v>-0.04</v>
          </cell>
          <cell r="AB469">
            <v>0.25</v>
          </cell>
          <cell r="AC469">
            <v>0.25</v>
          </cell>
          <cell r="AD469">
            <v>0.25</v>
          </cell>
          <cell r="AE469">
            <v>0.25</v>
          </cell>
          <cell r="AF469">
            <v>0.25</v>
          </cell>
          <cell r="AG469">
            <v>0.25</v>
          </cell>
          <cell r="AH469">
            <v>0.25</v>
          </cell>
          <cell r="AI469">
            <v>0.25</v>
          </cell>
          <cell r="AJ469">
            <v>0.25</v>
          </cell>
          <cell r="AK469">
            <v>0.25</v>
          </cell>
          <cell r="AL469">
            <v>0.25</v>
          </cell>
          <cell r="AM469">
            <v>0.25</v>
          </cell>
          <cell r="AN469">
            <v>0.25</v>
          </cell>
          <cell r="AO469">
            <v>0.25</v>
          </cell>
          <cell r="AP469">
            <v>0.25</v>
          </cell>
          <cell r="AQ469">
            <v>0.25</v>
          </cell>
          <cell r="AR469">
            <v>0.25</v>
          </cell>
          <cell r="AS469">
            <v>0.25</v>
          </cell>
          <cell r="AT469">
            <v>-0.04</v>
          </cell>
          <cell r="AU469">
            <v>0.92</v>
          </cell>
          <cell r="AV469">
            <v>20</v>
          </cell>
          <cell r="AY469" t="str">
            <v/>
          </cell>
          <cell r="AZ469">
            <v>0.25</v>
          </cell>
          <cell r="BA469">
            <v>0.25</v>
          </cell>
        </row>
        <row r="470">
          <cell r="A470" t="str">
            <v>CENTRO LEGNO</v>
          </cell>
          <cell r="B470" t="str">
            <v>mandare listino PDF</v>
          </cell>
          <cell r="D470" t="str">
            <v>CORSO GENOVA, 47 A</v>
          </cell>
          <cell r="E470">
            <v>18039</v>
          </cell>
          <cell r="F470" t="str">
            <v>VENTIMIGLIA</v>
          </cell>
          <cell r="G470" t="str">
            <v>IM</v>
          </cell>
          <cell r="H470" t="str">
            <v>ITALIA</v>
          </cell>
          <cell r="J470" t="str">
            <v>00688610088</v>
          </cell>
          <cell r="M470" t="str">
            <v>SIG. ROBERTO</v>
          </cell>
          <cell r="N470" t="str">
            <v>0184 295603</v>
          </cell>
          <cell r="P470" t="str">
            <v>info@centrolegno.biz</v>
          </cell>
          <cell r="R470" t="str">
            <v>BONIFICO BANCARIO, ALLA DATA DELLA NOSTRA CONFERMA D'ORDINE</v>
          </cell>
          <cell r="X470">
            <v>0.25</v>
          </cell>
          <cell r="Y470">
            <v>-0.04</v>
          </cell>
          <cell r="AB470">
            <v>0.25</v>
          </cell>
          <cell r="AC470">
            <v>0.25</v>
          </cell>
          <cell r="AD470">
            <v>0.25</v>
          </cell>
          <cell r="AE470">
            <v>0.25</v>
          </cell>
          <cell r="AF470">
            <v>0.25</v>
          </cell>
          <cell r="AG470">
            <v>0.25</v>
          </cell>
          <cell r="AH470">
            <v>0.25</v>
          </cell>
          <cell r="AI470">
            <v>0.25</v>
          </cell>
          <cell r="AJ470">
            <v>0.25</v>
          </cell>
          <cell r="AK470">
            <v>0.25</v>
          </cell>
          <cell r="AL470">
            <v>0.25</v>
          </cell>
          <cell r="AM470">
            <v>0.25</v>
          </cell>
          <cell r="AN470">
            <v>0.25</v>
          </cell>
          <cell r="AO470">
            <v>0.25</v>
          </cell>
          <cell r="AP470">
            <v>0.25</v>
          </cell>
          <cell r="AQ470">
            <v>0.25</v>
          </cell>
          <cell r="AR470">
            <v>0.25</v>
          </cell>
          <cell r="AS470">
            <v>0.25</v>
          </cell>
          <cell r="AT470">
            <v>-0.04</v>
          </cell>
          <cell r="AU470">
            <v>0.92</v>
          </cell>
          <cell r="AV470">
            <v>20</v>
          </cell>
          <cell r="AY470" t="str">
            <v/>
          </cell>
          <cell r="AZ470">
            <v>0.25</v>
          </cell>
          <cell r="BA470">
            <v>0.25</v>
          </cell>
        </row>
        <row r="471">
          <cell r="A471" t="str">
            <v xml:space="preserve">CENTRO PARATI </v>
          </cell>
          <cell r="D471" t="str">
            <v>VIALE DELLA STAZIONE, 74/76</v>
          </cell>
          <cell r="E471" t="str">
            <v>05100</v>
          </cell>
          <cell r="F471" t="str">
            <v>TERNI</v>
          </cell>
          <cell r="G471" t="str">
            <v>TR</v>
          </cell>
          <cell r="H471" t="str">
            <v>ITALIA</v>
          </cell>
          <cell r="M471" t="str">
            <v>UFFICIO ACQUISTI</v>
          </cell>
          <cell r="N471" t="str">
            <v>0744 424666</v>
          </cell>
          <cell r="P471" t="str">
            <v>centroparatiterni@gmail.com</v>
          </cell>
          <cell r="R471" t="str">
            <v>BONIFICO BANCARIO, ALLA DATA DELLA NOSTRA CONFERMA D'ORDINE</v>
          </cell>
          <cell r="Y471">
            <v>-0.04</v>
          </cell>
          <cell r="AT471">
            <v>-0.04</v>
          </cell>
          <cell r="AV471">
            <v>20</v>
          </cell>
          <cell r="AZ471">
            <v>0</v>
          </cell>
          <cell r="BA471">
            <v>0</v>
          </cell>
        </row>
        <row r="472">
          <cell r="A472" t="str">
            <v>CENTRO PORTE CIURCA</v>
          </cell>
          <cell r="B472" t="str">
            <v>DAVIDE CIURCA, CAMPIONE SCONTO 30%, CARPENTERIA GRATUITA</v>
          </cell>
          <cell r="D472" t="str">
            <v>VIA REGIONE SICILIANA, 10</v>
          </cell>
          <cell r="E472" t="str">
            <v>92100</v>
          </cell>
          <cell r="F472" t="str">
            <v>AGRIGENTO</v>
          </cell>
          <cell r="G472" t="str">
            <v>AG</v>
          </cell>
          <cell r="H472" t="str">
            <v>ITALIA</v>
          </cell>
          <cell r="M472" t="str">
            <v>UFFICIO ACQUISTI</v>
          </cell>
          <cell r="N472" t="str">
            <v>0922 613027</v>
          </cell>
          <cell r="P472" t="str">
            <v>centroporteciurca@alice.it</v>
          </cell>
          <cell r="R472" t="str">
            <v>BONIFICO BANCARIO, ALLA DATA DELLA NOSTRA CONFERMA D'ORDINE</v>
          </cell>
          <cell r="X472">
            <v>0.25</v>
          </cell>
          <cell r="Y472">
            <v>-0.04</v>
          </cell>
          <cell r="AB472">
            <v>0.25</v>
          </cell>
          <cell r="AC472">
            <v>0.25</v>
          </cell>
          <cell r="AD472">
            <v>0.25</v>
          </cell>
          <cell r="AE472">
            <v>0.25</v>
          </cell>
          <cell r="AF472">
            <v>0.25</v>
          </cell>
          <cell r="AG472">
            <v>0.25</v>
          </cell>
          <cell r="AH472">
            <v>0.25</v>
          </cell>
          <cell r="AI472">
            <v>0.25</v>
          </cell>
          <cell r="AJ472">
            <v>0.25</v>
          </cell>
          <cell r="AK472">
            <v>0.25</v>
          </cell>
          <cell r="AL472">
            <v>0.25</v>
          </cell>
          <cell r="AM472">
            <v>0.25</v>
          </cell>
          <cell r="AN472">
            <v>0.25</v>
          </cell>
          <cell r="AO472">
            <v>0.25</v>
          </cell>
          <cell r="AP472">
            <v>0.25</v>
          </cell>
          <cell r="AQ472">
            <v>0.25</v>
          </cell>
          <cell r="AR472">
            <v>0.25</v>
          </cell>
          <cell r="AS472">
            <v>0.25</v>
          </cell>
          <cell r="AT472">
            <v>-0.04</v>
          </cell>
          <cell r="AU472">
            <v>0.92</v>
          </cell>
          <cell r="AV472">
            <v>20</v>
          </cell>
          <cell r="AZ472">
            <v>0.25</v>
          </cell>
          <cell r="BA472">
            <v>0.25</v>
          </cell>
        </row>
        <row r="473">
          <cell r="A473" t="str">
            <v>CENTRO PORTE SRL</v>
          </cell>
          <cell r="B473" t="str">
            <v xml:space="preserve">MATTEO </v>
          </cell>
          <cell r="D473" t="str">
            <v>S.S.554 KM.10,200</v>
          </cell>
          <cell r="E473" t="str">
            <v>09044</v>
          </cell>
          <cell r="F473" t="str">
            <v>QUARTUCCIU</v>
          </cell>
          <cell r="G473" t="str">
            <v>CA</v>
          </cell>
          <cell r="H473" t="str">
            <v>ITALIA</v>
          </cell>
          <cell r="J473" t="str">
            <v>01834600924</v>
          </cell>
          <cell r="M473" t="str">
            <v>UFFICIO ACQUISTI</v>
          </cell>
          <cell r="N473" t="str">
            <v>070 852283</v>
          </cell>
          <cell r="O473" t="str">
            <v>393 8192561 ROBERTA ATZENI</v>
          </cell>
          <cell r="P473" t="str">
            <v>info@centroporte.it</v>
          </cell>
          <cell r="R473" t="str">
            <v>BONIFICO BANCARIO, ALLA DATA DELLA NOSTRA CONFERMA D'ORDINE</v>
          </cell>
          <cell r="X473">
            <v>0.2</v>
          </cell>
          <cell r="Y473">
            <v>-0.04</v>
          </cell>
          <cell r="AB473">
            <v>0.2</v>
          </cell>
          <cell r="AC473">
            <v>0.2</v>
          </cell>
          <cell r="AD473">
            <v>0.2</v>
          </cell>
          <cell r="AE473">
            <v>0.2</v>
          </cell>
          <cell r="AF473">
            <v>0.2</v>
          </cell>
          <cell r="AG473">
            <v>0.2</v>
          </cell>
          <cell r="AH473">
            <v>0.2</v>
          </cell>
          <cell r="AI473">
            <v>0.2</v>
          </cell>
          <cell r="AJ473">
            <v>0.2</v>
          </cell>
          <cell r="AK473">
            <v>0.2</v>
          </cell>
          <cell r="AL473">
            <v>0.2</v>
          </cell>
          <cell r="AM473">
            <v>0.2</v>
          </cell>
          <cell r="AN473">
            <v>0.2</v>
          </cell>
          <cell r="AO473">
            <v>0.2</v>
          </cell>
          <cell r="AP473">
            <v>0.2</v>
          </cell>
          <cell r="AQ473">
            <v>0.2</v>
          </cell>
          <cell r="AR473">
            <v>0.2</v>
          </cell>
          <cell r="AS473">
            <v>0.2</v>
          </cell>
          <cell r="AT473">
            <v>-0.04</v>
          </cell>
          <cell r="AU473">
            <v>0.92</v>
          </cell>
          <cell r="AV473">
            <v>20</v>
          </cell>
          <cell r="AZ473">
            <v>0.2</v>
          </cell>
          <cell r="BA473">
            <v>0.2</v>
          </cell>
        </row>
        <row r="474">
          <cell r="A474" t="str">
            <v>CENTRO SERRAMENTI</v>
          </cell>
          <cell r="D474" t="str">
            <v>VIALE DELLA MECCANICA, 27/ 5</v>
          </cell>
          <cell r="E474">
            <v>41012</v>
          </cell>
          <cell r="F474" t="str">
            <v>CARPI</v>
          </cell>
          <cell r="G474" t="str">
            <v>MO</v>
          </cell>
          <cell r="H474" t="str">
            <v>ITALIA</v>
          </cell>
          <cell r="M474" t="str">
            <v>UFFICIO ACQUISTI</v>
          </cell>
          <cell r="N474" t="str">
            <v>059 654082</v>
          </cell>
          <cell r="P474" t="str">
            <v>info@centroserramenti.net</v>
          </cell>
          <cell r="R474" t="str">
            <v>BONIFICO BANCARIO, ALLA DATA DELLA NOSTRA CONFERMA D'ORDINE</v>
          </cell>
          <cell r="X474">
            <v>0.25</v>
          </cell>
          <cell r="Y474">
            <v>-0.04</v>
          </cell>
          <cell r="AB474">
            <v>0.25</v>
          </cell>
          <cell r="AC474">
            <v>0.25</v>
          </cell>
          <cell r="AD474">
            <v>0.25</v>
          </cell>
          <cell r="AE474">
            <v>0.25</v>
          </cell>
          <cell r="AF474">
            <v>0.25</v>
          </cell>
          <cell r="AG474">
            <v>0.25</v>
          </cell>
          <cell r="AH474">
            <v>0.25</v>
          </cell>
          <cell r="AI474">
            <v>0.25</v>
          </cell>
          <cell r="AJ474">
            <v>0.25</v>
          </cell>
          <cell r="AK474">
            <v>0.25</v>
          </cell>
          <cell r="AL474">
            <v>0.25</v>
          </cell>
          <cell r="AM474">
            <v>0.25</v>
          </cell>
          <cell r="AN474">
            <v>0.25</v>
          </cell>
          <cell r="AO474">
            <v>0.25</v>
          </cell>
          <cell r="AP474">
            <v>0.25</v>
          </cell>
          <cell r="AQ474">
            <v>0.25</v>
          </cell>
          <cell r="AR474">
            <v>0.25</v>
          </cell>
          <cell r="AS474">
            <v>0.25</v>
          </cell>
          <cell r="AT474">
            <v>-0.04</v>
          </cell>
          <cell r="AU474">
            <v>0.92</v>
          </cell>
          <cell r="AV474">
            <v>20</v>
          </cell>
          <cell r="AZ474">
            <v>0.25</v>
          </cell>
          <cell r="BA474">
            <v>0.25</v>
          </cell>
        </row>
        <row r="475">
          <cell r="A475" t="str">
            <v>CENTRO SERRAMENTI</v>
          </cell>
          <cell r="D475" t="str">
            <v>VIA G.TRISORIO LIUZZI,  65</v>
          </cell>
          <cell r="E475" t="str">
            <v>70129</v>
          </cell>
          <cell r="F475" t="str">
            <v>BARI</v>
          </cell>
          <cell r="G475" t="str">
            <v>BA</v>
          </cell>
          <cell r="H475" t="str">
            <v>ITALIA</v>
          </cell>
          <cell r="M475" t="str">
            <v>UFFICIO ACQUISTI</v>
          </cell>
          <cell r="N475" t="str">
            <v>080 5036254</v>
          </cell>
          <cell r="O475" t="str">
            <v>340 9735032</v>
          </cell>
          <cell r="P475" t="str">
            <v>centroserramenti@libero.it</v>
          </cell>
          <cell r="R475" t="str">
            <v>BONIFICO BANCARIO, ALLA DATA DELLA NOSTRA CONFERMA D'ORDINE</v>
          </cell>
          <cell r="X475">
            <v>0.2</v>
          </cell>
          <cell r="Y475">
            <v>-0.04</v>
          </cell>
          <cell r="AB475">
            <v>0.2</v>
          </cell>
          <cell r="AC475">
            <v>0.2</v>
          </cell>
          <cell r="AD475">
            <v>0.2</v>
          </cell>
          <cell r="AE475">
            <v>0.2</v>
          </cell>
          <cell r="AF475">
            <v>0.2</v>
          </cell>
          <cell r="AG475">
            <v>0.2</v>
          </cell>
          <cell r="AH475">
            <v>0.2</v>
          </cell>
          <cell r="AI475">
            <v>0.2</v>
          </cell>
          <cell r="AJ475">
            <v>0.2</v>
          </cell>
          <cell r="AK475">
            <v>0.2</v>
          </cell>
          <cell r="AL475">
            <v>0.2</v>
          </cell>
          <cell r="AM475">
            <v>0.2</v>
          </cell>
          <cell r="AN475">
            <v>0.2</v>
          </cell>
          <cell r="AO475">
            <v>0.2</v>
          </cell>
          <cell r="AP475">
            <v>0.2</v>
          </cell>
          <cell r="AQ475">
            <v>0.2</v>
          </cell>
          <cell r="AR475">
            <v>0.2</v>
          </cell>
          <cell r="AS475">
            <v>0.2</v>
          </cell>
          <cell r="AT475">
            <v>-0.04</v>
          </cell>
          <cell r="AU475">
            <v>0.92</v>
          </cell>
          <cell r="AV475">
            <v>20</v>
          </cell>
          <cell r="AZ475">
            <v>0.2</v>
          </cell>
          <cell r="BA475">
            <v>0.2</v>
          </cell>
        </row>
        <row r="476">
          <cell r="A476" t="str">
            <v xml:space="preserve">CENTRO SERRAMENTI </v>
          </cell>
          <cell r="D476" t="str">
            <v>V.LE TRISORIO LIUZZI, 65</v>
          </cell>
          <cell r="E476">
            <v>70129</v>
          </cell>
          <cell r="F476" t="str">
            <v>BARI</v>
          </cell>
          <cell r="G476" t="str">
            <v>BA</v>
          </cell>
          <cell r="H476" t="str">
            <v>ITALIA</v>
          </cell>
          <cell r="M476" t="str">
            <v>UFFICIO ACQUISTI</v>
          </cell>
          <cell r="N476" t="str">
            <v>080 085036254</v>
          </cell>
          <cell r="O476" t="str">
            <v>340 9735032</v>
          </cell>
          <cell r="P476" t="str">
            <v>centroserramenti@libero.it</v>
          </cell>
          <cell r="R476" t="str">
            <v>BONIFICO BANCARIO, ALLA DATA DELLA NOSTRA CONFERMA D'ORDINE</v>
          </cell>
          <cell r="X476">
            <v>0.25</v>
          </cell>
          <cell r="Y476">
            <v>-0.04</v>
          </cell>
          <cell r="AB476">
            <v>0.25</v>
          </cell>
          <cell r="AC476">
            <v>0.25</v>
          </cell>
          <cell r="AD476">
            <v>0.25</v>
          </cell>
          <cell r="AE476">
            <v>0.25</v>
          </cell>
          <cell r="AF476">
            <v>0.25</v>
          </cell>
          <cell r="AG476">
            <v>0.25</v>
          </cell>
          <cell r="AH476">
            <v>0.25</v>
          </cell>
          <cell r="AI476">
            <v>0.25</v>
          </cell>
          <cell r="AJ476">
            <v>0.25</v>
          </cell>
          <cell r="AK476">
            <v>0.25</v>
          </cell>
          <cell r="AL476">
            <v>0.25</v>
          </cell>
          <cell r="AM476">
            <v>0.25</v>
          </cell>
          <cell r="AN476">
            <v>0.25</v>
          </cell>
          <cell r="AO476">
            <v>0.25</v>
          </cell>
          <cell r="AP476">
            <v>0.25</v>
          </cell>
          <cell r="AQ476">
            <v>0.25</v>
          </cell>
          <cell r="AR476">
            <v>0.25</v>
          </cell>
          <cell r="AS476">
            <v>0.25</v>
          </cell>
          <cell r="AT476">
            <v>-0.04</v>
          </cell>
          <cell r="AU476">
            <v>0.92</v>
          </cell>
          <cell r="AV476">
            <v>20</v>
          </cell>
          <cell r="AY476" t="str">
            <v/>
          </cell>
          <cell r="AZ476">
            <v>0.25</v>
          </cell>
          <cell r="BA476">
            <v>0.25</v>
          </cell>
        </row>
        <row r="477">
          <cell r="A477" t="str">
            <v>CENTRO SERRAMENTI 2000 SNC</v>
          </cell>
          <cell r="D477" t="str">
            <v>VIA V. VENETO, 172</v>
          </cell>
          <cell r="E477">
            <v>52100</v>
          </cell>
          <cell r="F477" t="str">
            <v>AREZZO</v>
          </cell>
          <cell r="G477" t="str">
            <v>AR</v>
          </cell>
          <cell r="H477" t="str">
            <v>ITALIA</v>
          </cell>
          <cell r="J477" t="str">
            <v>01673040513</v>
          </cell>
          <cell r="K477" t="str">
            <v>M5UXCR1</v>
          </cell>
          <cell r="M477" t="str">
            <v>UFFICIO ACQUISTI</v>
          </cell>
          <cell r="N477" t="str">
            <v>0575 900420</v>
          </cell>
          <cell r="P477" t="str">
            <v>info@centroserramenti2000.it</v>
          </cell>
          <cell r="R477" t="str">
            <v>BONIFICO BANCARIO, ALLA DATA DELLA NOSTRA CONFERMA D'ORDINE</v>
          </cell>
          <cell r="X477">
            <v>0.25</v>
          </cell>
          <cell r="Y477">
            <v>-0.04</v>
          </cell>
          <cell r="AB477">
            <v>0.25</v>
          </cell>
          <cell r="AC477">
            <v>0.25</v>
          </cell>
          <cell r="AD477">
            <v>0.25</v>
          </cell>
          <cell r="AE477">
            <v>0.25</v>
          </cell>
          <cell r="AF477">
            <v>0.25</v>
          </cell>
          <cell r="AG477">
            <v>0.25</v>
          </cell>
          <cell r="AH477">
            <v>0.25</v>
          </cell>
          <cell r="AI477">
            <v>0.25</v>
          </cell>
          <cell r="AJ477">
            <v>0.25</v>
          </cell>
          <cell r="AK477">
            <v>0.25</v>
          </cell>
          <cell r="AL477">
            <v>0.25</v>
          </cell>
          <cell r="AM477">
            <v>0.25</v>
          </cell>
          <cell r="AN477">
            <v>0.25</v>
          </cell>
          <cell r="AO477">
            <v>0.25</v>
          </cell>
          <cell r="AP477">
            <v>0.25</v>
          </cell>
          <cell r="AQ477">
            <v>0.25</v>
          </cell>
          <cell r="AR477">
            <v>0.25</v>
          </cell>
          <cell r="AS477">
            <v>0.25</v>
          </cell>
          <cell r="AT477">
            <v>-0.04</v>
          </cell>
          <cell r="AU477">
            <v>0.92</v>
          </cell>
          <cell r="AV477">
            <v>20</v>
          </cell>
          <cell r="AY477" t="str">
            <v/>
          </cell>
          <cell r="AZ477">
            <v>0.25</v>
          </cell>
          <cell r="BA477">
            <v>0.25</v>
          </cell>
          <cell r="BF477" t="str">
            <v>CLICK RAPID con carpenteria 07/01/2021</v>
          </cell>
        </row>
        <row r="478">
          <cell r="A478" t="str">
            <v>CENTRO SERRAMENTI E PORTE</v>
          </cell>
          <cell r="D478" t="str">
            <v>VIA MARENGO 12</v>
          </cell>
          <cell r="E478" t="str">
            <v>15121</v>
          </cell>
          <cell r="F478" t="str">
            <v>ALESSANDRIA</v>
          </cell>
          <cell r="G478" t="str">
            <v>AL</v>
          </cell>
          <cell r="H478" t="str">
            <v>ITALIA</v>
          </cell>
          <cell r="M478" t="str">
            <v>UFFICIO ACQUISTI</v>
          </cell>
          <cell r="N478" t="str">
            <v>0131 231497</v>
          </cell>
          <cell r="O478" t="str">
            <v>335 8063354 VACCARELLA PINO</v>
          </cell>
          <cell r="P478" t="str">
            <v>info@centroserramentieporte.com</v>
          </cell>
          <cell r="R478" t="str">
            <v>BONIFICO BANCARIO, ALLA DATA DELLA NOSTRA CONFERMA D'ORDINE</v>
          </cell>
          <cell r="X478">
            <v>0.25</v>
          </cell>
          <cell r="Y478">
            <v>-0.04</v>
          </cell>
          <cell r="AB478">
            <v>0.25</v>
          </cell>
          <cell r="AC478">
            <v>0.25</v>
          </cell>
          <cell r="AD478">
            <v>0.25</v>
          </cell>
          <cell r="AE478">
            <v>0.25</v>
          </cell>
          <cell r="AF478">
            <v>0.25</v>
          </cell>
          <cell r="AG478">
            <v>0.25</v>
          </cell>
          <cell r="AH478">
            <v>0.25</v>
          </cell>
          <cell r="AI478">
            <v>0.25</v>
          </cell>
          <cell r="AJ478">
            <v>0.25</v>
          </cell>
          <cell r="AK478">
            <v>0.25</v>
          </cell>
          <cell r="AL478">
            <v>0.25</v>
          </cell>
          <cell r="AM478">
            <v>0.25</v>
          </cell>
          <cell r="AN478">
            <v>0.25</v>
          </cell>
          <cell r="AO478">
            <v>0.25</v>
          </cell>
          <cell r="AP478">
            <v>0.25</v>
          </cell>
          <cell r="AQ478">
            <v>0.25</v>
          </cell>
          <cell r="AR478">
            <v>0.25</v>
          </cell>
          <cell r="AS478">
            <v>0.25</v>
          </cell>
          <cell r="AT478">
            <v>-0.04</v>
          </cell>
          <cell r="AU478">
            <v>0.92</v>
          </cell>
          <cell r="AV478">
            <v>20</v>
          </cell>
          <cell r="AY478" t="str">
            <v/>
          </cell>
          <cell r="AZ478">
            <v>0.25</v>
          </cell>
          <cell r="BA478">
            <v>0.25</v>
          </cell>
        </row>
        <row r="479">
          <cell r="A479" t="str">
            <v>CENTRO SERRAMENTI SAVET</v>
          </cell>
          <cell r="B479" t="str">
            <v>RIVENDITORE FINESTRAL E' INTERESSATO</v>
          </cell>
          <cell r="D479" t="str">
            <v>SNC DI ARMELIO M. E SAMBUSIDA A.</v>
          </cell>
          <cell r="E479">
            <v>18100</v>
          </cell>
          <cell r="F479" t="str">
            <v>IMPERIA</v>
          </cell>
          <cell r="G479" t="str">
            <v>IM</v>
          </cell>
          <cell r="H479" t="str">
            <v>ITALIA</v>
          </cell>
          <cell r="I479" t="str">
            <v>01172060087</v>
          </cell>
          <cell r="J479" t="str">
            <v>01172060087</v>
          </cell>
          <cell r="M479" t="str">
            <v>UFFICIO ACQUISTI</v>
          </cell>
          <cell r="N479" t="str">
            <v>0183 769081</v>
          </cell>
          <cell r="P479" t="str">
            <v>info@vetreriasavet.it</v>
          </cell>
          <cell r="R479" t="str">
            <v>BONIFICO BANCARIO, ALLA DATA DELLA NOSTRA CONFERMA D'ORDINE</v>
          </cell>
          <cell r="X479">
            <v>0.25</v>
          </cell>
          <cell r="Y479">
            <v>-0.04</v>
          </cell>
          <cell r="AB479">
            <v>0.25</v>
          </cell>
          <cell r="AC479">
            <v>0.25</v>
          </cell>
          <cell r="AD479">
            <v>0.25</v>
          </cell>
          <cell r="AE479">
            <v>0.25</v>
          </cell>
          <cell r="AF479">
            <v>0.25</v>
          </cell>
          <cell r="AG479">
            <v>0.25</v>
          </cell>
          <cell r="AH479">
            <v>0.25</v>
          </cell>
          <cell r="AI479">
            <v>0.25</v>
          </cell>
          <cell r="AJ479">
            <v>0.25</v>
          </cell>
          <cell r="AK479">
            <v>0.25</v>
          </cell>
          <cell r="AL479">
            <v>0.25</v>
          </cell>
          <cell r="AM479">
            <v>0.25</v>
          </cell>
          <cell r="AN479">
            <v>0.25</v>
          </cell>
          <cell r="AO479">
            <v>0.25</v>
          </cell>
          <cell r="AP479">
            <v>0.25</v>
          </cell>
          <cell r="AQ479">
            <v>0.25</v>
          </cell>
          <cell r="AR479">
            <v>0.25</v>
          </cell>
          <cell r="AS479">
            <v>0.25</v>
          </cell>
          <cell r="AT479">
            <v>-0.04</v>
          </cell>
          <cell r="AU479">
            <v>0.92</v>
          </cell>
          <cell r="AV479">
            <v>20</v>
          </cell>
          <cell r="AY479" t="str">
            <v/>
          </cell>
          <cell r="AZ479">
            <v>0.25</v>
          </cell>
          <cell r="BA479">
            <v>0.25</v>
          </cell>
        </row>
        <row r="480">
          <cell r="A480" t="str">
            <v>CENTRO SICUREZZA</v>
          </cell>
          <cell r="D480" t="str">
            <v>VIA ROSSINI, 13</v>
          </cell>
          <cell r="E480" t="str">
            <v>34074</v>
          </cell>
          <cell r="F480" t="str">
            <v>MONFALCONE</v>
          </cell>
          <cell r="G480" t="str">
            <v>GO</v>
          </cell>
          <cell r="H480" t="str">
            <v>ITALIA</v>
          </cell>
          <cell r="J480" t="str">
            <v>00491970315</v>
          </cell>
          <cell r="M480" t="str">
            <v>UFFICIO ACQUISTI</v>
          </cell>
          <cell r="N480" t="str">
            <v>0481 482098</v>
          </cell>
          <cell r="R480" t="str">
            <v>BONIFICO BANCARIO, ALLA DATA DELLA NOSTRA CONFERMA D'ORDINE</v>
          </cell>
          <cell r="X480">
            <v>0</v>
          </cell>
          <cell r="Y480">
            <v>-0.04</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-0.04</v>
          </cell>
          <cell r="AV480">
            <v>20</v>
          </cell>
          <cell r="AZ480">
            <v>0</v>
          </cell>
          <cell r="BA480">
            <v>0</v>
          </cell>
        </row>
        <row r="481">
          <cell r="A481" t="str">
            <v>CENTRO ZANZARIERE DI DE CARLO SERGIO</v>
          </cell>
          <cell r="D481" t="str">
            <v>VIA MAREMMANA 70</v>
          </cell>
          <cell r="E481" t="str">
            <v>04016</v>
          </cell>
          <cell r="F481" t="str">
            <v>SABAUDIA</v>
          </cell>
          <cell r="G481" t="str">
            <v>LT</v>
          </cell>
          <cell r="H481" t="str">
            <v>ITALIA</v>
          </cell>
          <cell r="J481" t="str">
            <v>03009040597</v>
          </cell>
          <cell r="M481" t="str">
            <v>UFFICIO ACQUISTI</v>
          </cell>
          <cell r="O481" t="str">
            <v>366 1935140</v>
          </cell>
          <cell r="P481" t="str">
            <v>centrozanzarieresabaudia@gmail.com</v>
          </cell>
          <cell r="R481" t="str">
            <v>BONIFICO BANCARIO, ALLA DATA DELLA NOSTRA CONFERMA D'ORDINE</v>
          </cell>
          <cell r="X481">
            <v>0.25</v>
          </cell>
          <cell r="Y481">
            <v>-0.04</v>
          </cell>
          <cell r="AB481">
            <v>0.25</v>
          </cell>
          <cell r="AC481">
            <v>0.25</v>
          </cell>
          <cell r="AD481">
            <v>0.25</v>
          </cell>
          <cell r="AE481">
            <v>0.25</v>
          </cell>
          <cell r="AF481">
            <v>0.25</v>
          </cell>
          <cell r="AG481">
            <v>0.25</v>
          </cell>
          <cell r="AH481">
            <v>0.25</v>
          </cell>
          <cell r="AI481">
            <v>0.25</v>
          </cell>
          <cell r="AJ481">
            <v>0.25</v>
          </cell>
          <cell r="AK481">
            <v>0.25</v>
          </cell>
          <cell r="AL481">
            <v>0.25</v>
          </cell>
          <cell r="AM481">
            <v>0.25</v>
          </cell>
          <cell r="AN481">
            <v>0.25</v>
          </cell>
          <cell r="AO481">
            <v>0.25</v>
          </cell>
          <cell r="AP481">
            <v>0.25</v>
          </cell>
          <cell r="AQ481">
            <v>0.25</v>
          </cell>
          <cell r="AR481">
            <v>0.25</v>
          </cell>
          <cell r="AS481">
            <v>0.25</v>
          </cell>
          <cell r="AT481">
            <v>-0.04</v>
          </cell>
          <cell r="AU481">
            <v>0.92</v>
          </cell>
          <cell r="AV481">
            <v>20</v>
          </cell>
          <cell r="AY481" t="str">
            <v/>
          </cell>
          <cell r="AZ481">
            <v>0.25</v>
          </cell>
          <cell r="BA481">
            <v>0.25</v>
          </cell>
        </row>
        <row r="482">
          <cell r="A482" t="str">
            <v xml:space="preserve">CENTROFERRAMENTA E COLORI S.A.S. </v>
          </cell>
          <cell r="D482" t="str">
            <v>PIAZZA GARIBALDI, 12</v>
          </cell>
          <cell r="E482">
            <v>38057</v>
          </cell>
          <cell r="F482" t="str">
            <v>PERGINE VALSUGANA</v>
          </cell>
          <cell r="G482" t="str">
            <v>TN</v>
          </cell>
          <cell r="H482" t="str">
            <v>ITALIA</v>
          </cell>
          <cell r="I482" t="str">
            <v>00822410221</v>
          </cell>
          <cell r="J482" t="str">
            <v>00822410221</v>
          </cell>
          <cell r="M482" t="str">
            <v>UFFICIO ACQUISTI</v>
          </cell>
          <cell r="N482" t="str">
            <v>0461 510266</v>
          </cell>
          <cell r="P482" t="str">
            <v>ferramentacarnielli@libero.it</v>
          </cell>
          <cell r="R482" t="str">
            <v>BONIFICO BANCARIO, ALLA DATA DELLA NOSTRA CONFERMA D'ORDINE</v>
          </cell>
          <cell r="W482" t="str">
            <v>ACQUA SALATA</v>
          </cell>
          <cell r="X482">
            <v>0.25</v>
          </cell>
          <cell r="Y482">
            <v>-0.04</v>
          </cell>
          <cell r="AB482">
            <v>0.25</v>
          </cell>
          <cell r="AC482">
            <v>0.25</v>
          </cell>
          <cell r="AD482">
            <v>0.25</v>
          </cell>
          <cell r="AE482">
            <v>0.25</v>
          </cell>
          <cell r="AF482">
            <v>0.25</v>
          </cell>
          <cell r="AG482">
            <v>0.25</v>
          </cell>
          <cell r="AH482">
            <v>0.25</v>
          </cell>
          <cell r="AI482">
            <v>0.25</v>
          </cell>
          <cell r="AJ482">
            <v>0.25</v>
          </cell>
          <cell r="AK482">
            <v>0.25</v>
          </cell>
          <cell r="AL482">
            <v>0.25</v>
          </cell>
          <cell r="AM482">
            <v>0.25</v>
          </cell>
          <cell r="AN482">
            <v>0.25</v>
          </cell>
          <cell r="AO482">
            <v>0.25</v>
          </cell>
          <cell r="AP482">
            <v>0.25</v>
          </cell>
          <cell r="AQ482">
            <v>0.25</v>
          </cell>
          <cell r="AR482">
            <v>0.25</v>
          </cell>
          <cell r="AS482">
            <v>0.25</v>
          </cell>
          <cell r="AT482">
            <v>-0.04</v>
          </cell>
          <cell r="AU482">
            <v>0.92</v>
          </cell>
          <cell r="AV482">
            <v>20</v>
          </cell>
          <cell r="AY482" t="str">
            <v/>
          </cell>
          <cell r="AZ482">
            <v>0.25</v>
          </cell>
          <cell r="BA482">
            <v>0.25</v>
          </cell>
        </row>
        <row r="483">
          <cell r="A483" t="str">
            <v>CERATI AUTOMAZIONI SAS DI CERATI CRISTIAN E FABIO</v>
          </cell>
          <cell r="D483" t="str">
            <v>VIA GHISLERI, 57 A</v>
          </cell>
          <cell r="E483">
            <v>26100</v>
          </cell>
          <cell r="F483" t="str">
            <v>CREMONA</v>
          </cell>
          <cell r="G483" t="str">
            <v>CR</v>
          </cell>
          <cell r="H483" t="str">
            <v>ITALIA</v>
          </cell>
          <cell r="I483" t="str">
            <v>01689910196</v>
          </cell>
          <cell r="J483" t="str">
            <v>01689910196</v>
          </cell>
          <cell r="M483" t="str">
            <v>UFFICIO ACQUISTI</v>
          </cell>
          <cell r="N483" t="str">
            <v>0372 434817</v>
          </cell>
          <cell r="R483" t="str">
            <v>BONIFICO BANCARIO, ALLA DATA DELLA NOSTRA CONFERMA D'ORDINE</v>
          </cell>
          <cell r="X483">
            <v>0.25</v>
          </cell>
          <cell r="Y483">
            <v>-0.04</v>
          </cell>
          <cell r="AB483">
            <v>0.25</v>
          </cell>
          <cell r="AC483">
            <v>0.25</v>
          </cell>
          <cell r="AD483">
            <v>0.25</v>
          </cell>
          <cell r="AE483">
            <v>0.25</v>
          </cell>
          <cell r="AF483">
            <v>0.25</v>
          </cell>
          <cell r="AG483">
            <v>0.25</v>
          </cell>
          <cell r="AH483">
            <v>0.25</v>
          </cell>
          <cell r="AI483">
            <v>0.25</v>
          </cell>
          <cell r="AJ483">
            <v>0.25</v>
          </cell>
          <cell r="AK483">
            <v>0.25</v>
          </cell>
          <cell r="AL483">
            <v>0.25</v>
          </cell>
          <cell r="AM483">
            <v>0.25</v>
          </cell>
          <cell r="AN483">
            <v>0.25</v>
          </cell>
          <cell r="AO483">
            <v>0.25</v>
          </cell>
          <cell r="AP483">
            <v>0.25</v>
          </cell>
          <cell r="AQ483">
            <v>0.25</v>
          </cell>
          <cell r="AR483">
            <v>0.25</v>
          </cell>
          <cell r="AS483">
            <v>0.25</v>
          </cell>
          <cell r="AT483">
            <v>-0.04</v>
          </cell>
          <cell r="AU483">
            <v>0.92</v>
          </cell>
          <cell r="AV483">
            <v>20</v>
          </cell>
          <cell r="AZ483">
            <v>0.25</v>
          </cell>
          <cell r="BA483">
            <v>0.25</v>
          </cell>
        </row>
        <row r="484">
          <cell r="A484" t="str">
            <v>CERBARO SNC</v>
          </cell>
          <cell r="D484" t="str">
            <v>VIA LAGO DI BRACCIANO, 17</v>
          </cell>
          <cell r="E484">
            <v>36015</v>
          </cell>
          <cell r="F484" t="str">
            <v>SCHIO VICENZA</v>
          </cell>
          <cell r="G484" t="str">
            <v>VI</v>
          </cell>
          <cell r="H484" t="str">
            <v>ITALIA</v>
          </cell>
          <cell r="J484" t="str">
            <v>00897290243</v>
          </cell>
          <cell r="K484" t="str">
            <v>USAL8PV</v>
          </cell>
          <cell r="M484" t="str">
            <v>UFFICIO ACQUISTI</v>
          </cell>
          <cell r="N484" t="str">
            <v>0445 575494</v>
          </cell>
          <cell r="O484" t="str">
            <v>Mirko Cerbaro 370 7151012</v>
          </cell>
          <cell r="P484" t="str">
            <v>info@cerbaro.it</v>
          </cell>
          <cell r="R484" t="str">
            <v>BONIFICO BANCARIO, ALLA DATA DELLA NOSTRA CONFERMA D'ORDINE</v>
          </cell>
          <cell r="X484">
            <v>0.25</v>
          </cell>
          <cell r="Y484">
            <v>-0.04</v>
          </cell>
          <cell r="AB484">
            <v>0.25</v>
          </cell>
          <cell r="AC484">
            <v>0.25</v>
          </cell>
          <cell r="AD484">
            <v>0.25</v>
          </cell>
          <cell r="AE484">
            <v>0.25</v>
          </cell>
          <cell r="AF484">
            <v>0.25</v>
          </cell>
          <cell r="AG484">
            <v>0.25</v>
          </cell>
          <cell r="AH484">
            <v>0.25</v>
          </cell>
          <cell r="AI484">
            <v>0.25</v>
          </cell>
          <cell r="AJ484">
            <v>0.25</v>
          </cell>
          <cell r="AK484">
            <v>0.25</v>
          </cell>
          <cell r="AL484">
            <v>0.25</v>
          </cell>
          <cell r="AM484">
            <v>0.25</v>
          </cell>
          <cell r="AN484">
            <v>0.25</v>
          </cell>
          <cell r="AO484">
            <v>0.25</v>
          </cell>
          <cell r="AP484">
            <v>0.25</v>
          </cell>
          <cell r="AQ484">
            <v>0.25</v>
          </cell>
          <cell r="AR484">
            <v>0.25</v>
          </cell>
          <cell r="AS484">
            <v>0.25</v>
          </cell>
          <cell r="AT484">
            <v>-0.04</v>
          </cell>
          <cell r="AU484">
            <v>0.92</v>
          </cell>
          <cell r="AV484">
            <v>20</v>
          </cell>
          <cell r="AZ484">
            <v>0.25</v>
          </cell>
          <cell r="BA484">
            <v>0.25</v>
          </cell>
          <cell r="BF484" t="str">
            <v>CLICK RAPID con carpenteria 24/09/2020</v>
          </cell>
        </row>
        <row r="485">
          <cell r="A485" t="str">
            <v>CERCHIARI</v>
          </cell>
          <cell r="B485" t="str">
            <v xml:space="preserve">RIVENDITORE ACQUASTOP O TRITONE </v>
          </cell>
          <cell r="E485" t="str">
            <v>40017</v>
          </cell>
          <cell r="F485" t="str">
            <v xml:space="preserve"> SAN MATTEO DELLA DECIMA</v>
          </cell>
          <cell r="G485" t="str">
            <v>BO</v>
          </cell>
          <cell r="H485" t="str">
            <v>ITALIA</v>
          </cell>
          <cell r="M485" t="str">
            <v>UFFICIO ACQUISTI</v>
          </cell>
          <cell r="N485" t="str">
            <v>051 6824559</v>
          </cell>
          <cell r="P485" t="str">
            <v>info@cerchiarigroup.com</v>
          </cell>
          <cell r="R485" t="str">
            <v>BONIFICO BANCARIO, ALLA DATA DELLA NOSTRA CONFERMA D'ORDINE</v>
          </cell>
          <cell r="X485">
            <v>0</v>
          </cell>
          <cell r="Y485">
            <v>-0.04</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-0.04</v>
          </cell>
          <cell r="AU485">
            <v>0.92</v>
          </cell>
          <cell r="AV485">
            <v>20</v>
          </cell>
          <cell r="AZ485">
            <v>0</v>
          </cell>
          <cell r="BA485">
            <v>0</v>
          </cell>
        </row>
        <row r="486">
          <cell r="A486" t="str">
            <v>CERRATO CHIUSURE METALLICHE SPA</v>
          </cell>
          <cell r="B486" t="str">
            <v>PARLATO CON LUCIA, GIOVANNI CERRATO ING. ALTAMURA</v>
          </cell>
          <cell r="D486" t="str">
            <v>VIA A.VIVALDI 20</v>
          </cell>
          <cell r="E486" t="str">
            <v>84090</v>
          </cell>
          <cell r="F486" t="str">
            <v>MONTECORVINO PUGLIANO</v>
          </cell>
          <cell r="G486" t="str">
            <v>SA</v>
          </cell>
          <cell r="H486" t="str">
            <v>ITALIA</v>
          </cell>
          <cell r="M486" t="str">
            <v>UFFICIO ACQUISTI</v>
          </cell>
          <cell r="N486" t="str">
            <v>0828 350045</v>
          </cell>
          <cell r="P486" t="str">
            <v>info@cerratospa.com</v>
          </cell>
          <cell r="R486" t="str">
            <v>BONIFICO BANCARIO, ALLA DATA DELLA NOSTRA CONFERMA D'ORDINE</v>
          </cell>
          <cell r="X486">
            <v>0.25</v>
          </cell>
          <cell r="Y486">
            <v>-0.04</v>
          </cell>
          <cell r="AB486">
            <v>0.25</v>
          </cell>
          <cell r="AC486">
            <v>0.25</v>
          </cell>
          <cell r="AD486">
            <v>0.25</v>
          </cell>
          <cell r="AE486">
            <v>0.25</v>
          </cell>
          <cell r="AF486">
            <v>0.25</v>
          </cell>
          <cell r="AG486">
            <v>0.25</v>
          </cell>
          <cell r="AH486">
            <v>0.25</v>
          </cell>
          <cell r="AI486">
            <v>0.25</v>
          </cell>
          <cell r="AJ486">
            <v>0.25</v>
          </cell>
          <cell r="AK486">
            <v>0.25</v>
          </cell>
          <cell r="AL486">
            <v>0.25</v>
          </cell>
          <cell r="AM486">
            <v>0.25</v>
          </cell>
          <cell r="AN486">
            <v>0.25</v>
          </cell>
          <cell r="AO486">
            <v>0.25</v>
          </cell>
          <cell r="AP486">
            <v>0.25</v>
          </cell>
          <cell r="AQ486">
            <v>0.25</v>
          </cell>
          <cell r="AR486">
            <v>0.25</v>
          </cell>
          <cell r="AS486">
            <v>0.25</v>
          </cell>
          <cell r="AT486">
            <v>-0.04</v>
          </cell>
          <cell r="AU486">
            <v>0.92</v>
          </cell>
          <cell r="AV486">
            <v>20</v>
          </cell>
          <cell r="AY486" t="str">
            <v/>
          </cell>
          <cell r="AZ486">
            <v>0.25</v>
          </cell>
          <cell r="BA486">
            <v>0.25</v>
          </cell>
        </row>
        <row r="487">
          <cell r="A487" t="str">
            <v>CESURE FERRAMENTA</v>
          </cell>
          <cell r="D487" t="str">
            <v>VIA IPPOCRATE, 13/13A</v>
          </cell>
          <cell r="E487" t="str">
            <v>05100</v>
          </cell>
          <cell r="F487" t="str">
            <v>TERNI</v>
          </cell>
          <cell r="G487" t="str">
            <v>TR</v>
          </cell>
          <cell r="H487" t="str">
            <v>ITALIA</v>
          </cell>
          <cell r="J487" t="str">
            <v>01389680552</v>
          </cell>
          <cell r="M487" t="str">
            <v>UFFICIO ACQUISTI</v>
          </cell>
          <cell r="N487" t="str">
            <v>0744 220509</v>
          </cell>
          <cell r="P487" t="str">
            <v>ferramentacesure@hotmail.it</v>
          </cell>
          <cell r="R487" t="str">
            <v>BONIFICO BANCARIO, ALLA DATA DELLA NOSTRA CONFERMA D'ORDINE</v>
          </cell>
          <cell r="Y487">
            <v>-0.04</v>
          </cell>
          <cell r="AT487">
            <v>-0.04</v>
          </cell>
          <cell r="AV487">
            <v>20</v>
          </cell>
          <cell r="AZ487">
            <v>0</v>
          </cell>
          <cell r="BA487">
            <v>0</v>
          </cell>
        </row>
        <row r="488">
          <cell r="A488" t="str">
            <v>CF INFISSI</v>
          </cell>
          <cell r="D488" t="str">
            <v>VIALE DEI MILLE, 102</v>
          </cell>
          <cell r="E488" t="str">
            <v>27029</v>
          </cell>
          <cell r="F488" t="str">
            <v>VIGEVANO</v>
          </cell>
          <cell r="G488" t="str">
            <v>PV</v>
          </cell>
          <cell r="H488" t="str">
            <v>ITALIA</v>
          </cell>
          <cell r="I488" t="str">
            <v>CSRFPP76P13L872A</v>
          </cell>
          <cell r="J488" t="str">
            <v>02074690187</v>
          </cell>
          <cell r="M488" t="str">
            <v>UFFICIO ACQUISTI</v>
          </cell>
          <cell r="N488" t="str">
            <v>0381 091560</v>
          </cell>
          <cell r="P488" t="str">
            <v>info@cfinfissi.net</v>
          </cell>
          <cell r="R488" t="str">
            <v>BONIFICO BANCARIO, ALLA DATA DELLA NOSTRA CONFERMA D'ORDINE</v>
          </cell>
          <cell r="X488">
            <v>0.25</v>
          </cell>
          <cell r="Y488">
            <v>-0.04</v>
          </cell>
          <cell r="AB488">
            <v>0.25</v>
          </cell>
          <cell r="AC488">
            <v>0.25</v>
          </cell>
          <cell r="AD488">
            <v>0.25</v>
          </cell>
          <cell r="AE488">
            <v>0.25</v>
          </cell>
          <cell r="AF488">
            <v>0.25</v>
          </cell>
          <cell r="AG488">
            <v>0.25</v>
          </cell>
          <cell r="AH488">
            <v>0.25</v>
          </cell>
          <cell r="AI488">
            <v>0.25</v>
          </cell>
          <cell r="AJ488">
            <v>0.25</v>
          </cell>
          <cell r="AK488">
            <v>0.25</v>
          </cell>
          <cell r="AL488">
            <v>0.25</v>
          </cell>
          <cell r="AM488">
            <v>0.25</v>
          </cell>
          <cell r="AN488">
            <v>0.25</v>
          </cell>
          <cell r="AO488">
            <v>0.25</v>
          </cell>
          <cell r="AP488">
            <v>0.25</v>
          </cell>
          <cell r="AQ488">
            <v>0.25</v>
          </cell>
          <cell r="AR488">
            <v>0.25</v>
          </cell>
          <cell r="AS488">
            <v>0.25</v>
          </cell>
          <cell r="AT488">
            <v>-0.04</v>
          </cell>
          <cell r="AU488">
            <v>0.92</v>
          </cell>
          <cell r="AV488">
            <v>20</v>
          </cell>
          <cell r="AY488" t="str">
            <v/>
          </cell>
          <cell r="AZ488">
            <v>0.25</v>
          </cell>
          <cell r="BA488">
            <v>0.25</v>
          </cell>
        </row>
        <row r="489">
          <cell r="A489" t="str">
            <v>CF INFISSI DI FILIPPO CARAVALLA</v>
          </cell>
          <cell r="D489" t="str">
            <v>VIA GIOVINAZZO 29</v>
          </cell>
          <cell r="F489" t="str">
            <v>MOLFETTA</v>
          </cell>
          <cell r="G489" t="str">
            <v>BA</v>
          </cell>
          <cell r="H489" t="str">
            <v>ITALIA</v>
          </cell>
          <cell r="J489" t="str">
            <v>07045070724</v>
          </cell>
          <cell r="M489" t="str">
            <v>UFFICIO ACQUISTI</v>
          </cell>
          <cell r="N489" t="str">
            <v>080 3212013</v>
          </cell>
          <cell r="O489" t="str">
            <v>347 5210126</v>
          </cell>
          <cell r="P489" t="str">
            <v>filippocaravalla@hotmail.it</v>
          </cell>
          <cell r="R489" t="str">
            <v>BONIFICO BANCARIO, ALLA DATA DELLA NOSTRA CONFERMA D'ORDINE</v>
          </cell>
          <cell r="X489">
            <v>0.25</v>
          </cell>
          <cell r="Y489">
            <v>-0.04</v>
          </cell>
          <cell r="AB489">
            <v>0.25</v>
          </cell>
          <cell r="AC489">
            <v>0.25</v>
          </cell>
          <cell r="AD489">
            <v>0.25</v>
          </cell>
          <cell r="AE489">
            <v>0.25</v>
          </cell>
          <cell r="AF489">
            <v>0.25</v>
          </cell>
          <cell r="AG489">
            <v>0.25</v>
          </cell>
          <cell r="AH489">
            <v>0.25</v>
          </cell>
          <cell r="AI489">
            <v>0.25</v>
          </cell>
          <cell r="AJ489">
            <v>0.25</v>
          </cell>
          <cell r="AK489">
            <v>0.25</v>
          </cell>
          <cell r="AL489">
            <v>0.25</v>
          </cell>
          <cell r="AM489">
            <v>0.25</v>
          </cell>
          <cell r="AN489">
            <v>0.25</v>
          </cell>
          <cell r="AO489">
            <v>0.25</v>
          </cell>
          <cell r="AP489">
            <v>0.25</v>
          </cell>
          <cell r="AQ489">
            <v>0.25</v>
          </cell>
          <cell r="AR489">
            <v>0.25</v>
          </cell>
          <cell r="AS489">
            <v>0.25</v>
          </cell>
          <cell r="AT489">
            <v>-0.04</v>
          </cell>
          <cell r="AU489">
            <v>0.92</v>
          </cell>
          <cell r="AV489">
            <v>20</v>
          </cell>
          <cell r="AZ489">
            <v>0.25</v>
          </cell>
          <cell r="BA489">
            <v>0.25</v>
          </cell>
        </row>
        <row r="490">
          <cell r="A490" t="str">
            <v>CG INFISSI DI CAPRIULI GIOUSE'</v>
          </cell>
          <cell r="D490" t="str">
            <v>VIA UMBRIA, 188 190</v>
          </cell>
          <cell r="E490">
            <v>74121</v>
          </cell>
          <cell r="F490" t="str">
            <v>TARANTO</v>
          </cell>
          <cell r="G490" t="str">
            <v>TA</v>
          </cell>
          <cell r="H490" t="str">
            <v>ITALIA</v>
          </cell>
          <cell r="I490" t="str">
            <v>CPRGSI69D18L049M</v>
          </cell>
          <cell r="J490" t="str">
            <v>03171520731</v>
          </cell>
          <cell r="M490" t="str">
            <v>UFFICIO ACQUISTI</v>
          </cell>
          <cell r="N490" t="str">
            <v>0997 378683</v>
          </cell>
          <cell r="O490" t="str">
            <v>348 7530517</v>
          </cell>
          <cell r="P490" t="str">
            <v>giosuecapriuli@gmail.com</v>
          </cell>
          <cell r="R490" t="str">
            <v>BONIFICO BANCARIO, ALLA DATA DELLA NOSTRA CONFERMA D'ORDINE</v>
          </cell>
          <cell r="X490">
            <v>0.25</v>
          </cell>
          <cell r="Y490">
            <v>-0.04</v>
          </cell>
          <cell r="AB490">
            <v>0.25</v>
          </cell>
          <cell r="AC490">
            <v>0.25</v>
          </cell>
          <cell r="AD490">
            <v>0.25</v>
          </cell>
          <cell r="AE490">
            <v>0.25</v>
          </cell>
          <cell r="AF490">
            <v>0.25</v>
          </cell>
          <cell r="AG490">
            <v>0.25</v>
          </cell>
          <cell r="AH490">
            <v>0.25</v>
          </cell>
          <cell r="AI490">
            <v>0.25</v>
          </cell>
          <cell r="AJ490">
            <v>0.25</v>
          </cell>
          <cell r="AK490">
            <v>0.25</v>
          </cell>
          <cell r="AL490">
            <v>0.25</v>
          </cell>
          <cell r="AM490">
            <v>0.25</v>
          </cell>
          <cell r="AN490">
            <v>0.25</v>
          </cell>
          <cell r="AO490">
            <v>0.25</v>
          </cell>
          <cell r="AP490">
            <v>0.25</v>
          </cell>
          <cell r="AQ490">
            <v>0.25</v>
          </cell>
          <cell r="AR490">
            <v>0.25</v>
          </cell>
          <cell r="AS490">
            <v>0.25</v>
          </cell>
          <cell r="AT490">
            <v>-0.04</v>
          </cell>
          <cell r="AU490">
            <v>0.92</v>
          </cell>
          <cell r="AV490">
            <v>20</v>
          </cell>
          <cell r="AY490" t="str">
            <v/>
          </cell>
          <cell r="AZ490">
            <v>0.25</v>
          </cell>
          <cell r="BA490">
            <v>0.25</v>
          </cell>
        </row>
        <row r="491">
          <cell r="A491" t="str">
            <v>CHERUBINI</v>
          </cell>
          <cell r="D491" t="str">
            <v>VIA KENNEDY, 15  N  O</v>
          </cell>
          <cell r="E491">
            <v>42124</v>
          </cell>
          <cell r="F491" t="str">
            <v>REGGIO EMILIA</v>
          </cell>
          <cell r="G491" t="str">
            <v>RE</v>
          </cell>
          <cell r="H491" t="str">
            <v>ITALIA</v>
          </cell>
          <cell r="M491" t="str">
            <v>UFFICIO ACQUISTI</v>
          </cell>
          <cell r="N491" t="str">
            <v>0522 301999</v>
          </cell>
          <cell r="P491" t="str">
            <v>info@cherubini-serramenti.it</v>
          </cell>
          <cell r="R491" t="str">
            <v>BONIFICO BANCARIO, ALLA DATA DELLA NOSTRA CONFERMA D'ORDINE</v>
          </cell>
          <cell r="X491">
            <v>0.25</v>
          </cell>
          <cell r="Y491">
            <v>-0.04</v>
          </cell>
          <cell r="AB491">
            <v>0.25</v>
          </cell>
          <cell r="AC491">
            <v>0.25</v>
          </cell>
          <cell r="AD491">
            <v>0.25</v>
          </cell>
          <cell r="AE491">
            <v>0.25</v>
          </cell>
          <cell r="AF491">
            <v>0.25</v>
          </cell>
          <cell r="AG491">
            <v>0.25</v>
          </cell>
          <cell r="AH491">
            <v>0.25</v>
          </cell>
          <cell r="AI491">
            <v>0.25</v>
          </cell>
          <cell r="AJ491">
            <v>0.25</v>
          </cell>
          <cell r="AK491">
            <v>0.25</v>
          </cell>
          <cell r="AL491">
            <v>0.25</v>
          </cell>
          <cell r="AM491">
            <v>0.25</v>
          </cell>
          <cell r="AN491">
            <v>0.25</v>
          </cell>
          <cell r="AO491">
            <v>0.25</v>
          </cell>
          <cell r="AP491">
            <v>0.25</v>
          </cell>
          <cell r="AQ491">
            <v>0.25</v>
          </cell>
          <cell r="AR491">
            <v>0.25</v>
          </cell>
          <cell r="AS491">
            <v>0.25</v>
          </cell>
          <cell r="AT491">
            <v>-0.04</v>
          </cell>
          <cell r="AV491">
            <v>20</v>
          </cell>
          <cell r="AZ491">
            <v>0.25</v>
          </cell>
          <cell r="BA491">
            <v>0.25</v>
          </cell>
        </row>
        <row r="492">
          <cell r="A492" t="str">
            <v>CHIANESE COSTRUZIONI DI CHIANESE DANIELE</v>
          </cell>
          <cell r="D492" t="str">
            <v>VIA BORELLO, 3</v>
          </cell>
          <cell r="E492" t="str">
            <v>18038</v>
          </cell>
          <cell r="F492" t="str">
            <v>SANREMO</v>
          </cell>
          <cell r="G492" t="str">
            <v>IM</v>
          </cell>
          <cell r="H492" t="str">
            <v>ITALIA</v>
          </cell>
          <cell r="J492" t="str">
            <v>01484880081</v>
          </cell>
          <cell r="M492" t="str">
            <v>UFFICIO ACQUISTI</v>
          </cell>
          <cell r="O492" t="str">
            <v>348 2915293 DANIELE</v>
          </cell>
          <cell r="P492" t="str">
            <v>chianesecostruzioni@live.it</v>
          </cell>
          <cell r="R492" t="str">
            <v>BONIFICO BANCARIO, ALLA DATA DELLA NOSTRA CONFERMA D'ORDINE</v>
          </cell>
          <cell r="X492">
            <v>0.05</v>
          </cell>
          <cell r="Y492">
            <v>-0.04</v>
          </cell>
          <cell r="AB492">
            <v>0.05</v>
          </cell>
          <cell r="AC492">
            <v>0.05</v>
          </cell>
          <cell r="AD492">
            <v>0.05</v>
          </cell>
          <cell r="AE492">
            <v>0.05</v>
          </cell>
          <cell r="AF492">
            <v>0.05</v>
          </cell>
          <cell r="AG492">
            <v>0.05</v>
          </cell>
          <cell r="AH492">
            <v>0.05</v>
          </cell>
          <cell r="AI492">
            <v>0.05</v>
          </cell>
          <cell r="AJ492">
            <v>0.05</v>
          </cell>
          <cell r="AK492">
            <v>0.05</v>
          </cell>
          <cell r="AL492">
            <v>0.05</v>
          </cell>
          <cell r="AM492">
            <v>0.05</v>
          </cell>
          <cell r="AN492">
            <v>0.05</v>
          </cell>
          <cell r="AO492">
            <v>0.05</v>
          </cell>
          <cell r="AP492">
            <v>0.05</v>
          </cell>
          <cell r="AQ492">
            <v>0.05</v>
          </cell>
          <cell r="AR492">
            <v>0.05</v>
          </cell>
          <cell r="AS492">
            <v>0.05</v>
          </cell>
          <cell r="AT492">
            <v>-0.04</v>
          </cell>
          <cell r="AU492">
            <v>0.92</v>
          </cell>
          <cell r="AV492">
            <v>20</v>
          </cell>
          <cell r="AZ492">
            <v>0.05</v>
          </cell>
          <cell r="BA492">
            <v>0.05</v>
          </cell>
        </row>
        <row r="493">
          <cell r="A493" t="str">
            <v xml:space="preserve">CHIARAVALLI </v>
          </cell>
          <cell r="F493" t="str">
            <v>MILANO</v>
          </cell>
          <cell r="G493" t="str">
            <v>MI</v>
          </cell>
          <cell r="H493" t="str">
            <v>ITALIA</v>
          </cell>
          <cell r="M493" t="str">
            <v>SIG. ROBERTO MARGAGLIOTTI</v>
          </cell>
          <cell r="N493" t="str">
            <v>02 2619134 - 02 2871095</v>
          </cell>
          <cell r="R493" t="str">
            <v>BONIFICO BANCARIO, ALLA DATA DELLA NOSTRA CONFERMA D'ORDINE</v>
          </cell>
          <cell r="X493">
            <v>0.25</v>
          </cell>
          <cell r="Y493">
            <v>-0.04</v>
          </cell>
          <cell r="AB493">
            <v>0.25</v>
          </cell>
          <cell r="AC493">
            <v>0.25</v>
          </cell>
          <cell r="AD493">
            <v>0.25</v>
          </cell>
          <cell r="AE493">
            <v>0.25</v>
          </cell>
          <cell r="AF493">
            <v>0.25</v>
          </cell>
          <cell r="AG493">
            <v>0.25</v>
          </cell>
          <cell r="AH493">
            <v>0.25</v>
          </cell>
          <cell r="AI493">
            <v>0.25</v>
          </cell>
          <cell r="AJ493">
            <v>0.25</v>
          </cell>
          <cell r="AK493">
            <v>0.25</v>
          </cell>
          <cell r="AL493">
            <v>0.25</v>
          </cell>
          <cell r="AM493">
            <v>0.25</v>
          </cell>
          <cell r="AN493">
            <v>0.25</v>
          </cell>
          <cell r="AO493">
            <v>0.25</v>
          </cell>
          <cell r="AP493">
            <v>0.25</v>
          </cell>
          <cell r="AQ493">
            <v>0.25</v>
          </cell>
          <cell r="AR493">
            <v>0.25</v>
          </cell>
          <cell r="AS493">
            <v>0.25</v>
          </cell>
          <cell r="AT493">
            <v>-0.04</v>
          </cell>
          <cell r="AU493">
            <v>0.92</v>
          </cell>
          <cell r="AV493">
            <v>20</v>
          </cell>
          <cell r="AY493" t="str">
            <v/>
          </cell>
          <cell r="AZ493">
            <v>0.25</v>
          </cell>
          <cell r="BA493">
            <v>0.25</v>
          </cell>
        </row>
        <row r="494">
          <cell r="A494" t="str">
            <v>CHIARENZA INFISSI</v>
          </cell>
          <cell r="D494" t="str">
            <v>VIALE UMBERTO I, 6</v>
          </cell>
          <cell r="E494">
            <v>91014</v>
          </cell>
          <cell r="F494" t="str">
            <v>CASTELLAMM.  DEL G.</v>
          </cell>
          <cell r="G494" t="str">
            <v>TP</v>
          </cell>
          <cell r="H494" t="str">
            <v>ITALIA</v>
          </cell>
          <cell r="J494" t="str">
            <v>02553670817</v>
          </cell>
          <cell r="M494" t="str">
            <v>UFFICIO ACQUISTI</v>
          </cell>
          <cell r="N494" t="str">
            <v>0924 32159</v>
          </cell>
          <cell r="P494" t="str">
            <v>info@infissichiarenza.com</v>
          </cell>
          <cell r="R494" t="str">
            <v>BONIFICO BANCARIO, ALLA DATA DELLA NOSTRA CONFERMA D'ORDINE</v>
          </cell>
          <cell r="X494">
            <v>0.25</v>
          </cell>
          <cell r="Y494">
            <v>-0.04</v>
          </cell>
          <cell r="AB494">
            <v>0.25</v>
          </cell>
          <cell r="AC494">
            <v>0.25</v>
          </cell>
          <cell r="AD494">
            <v>0.25</v>
          </cell>
          <cell r="AE494">
            <v>0.25</v>
          </cell>
          <cell r="AF494">
            <v>0.25</v>
          </cell>
          <cell r="AG494">
            <v>0.25</v>
          </cell>
          <cell r="AH494">
            <v>0.25</v>
          </cell>
          <cell r="AI494">
            <v>0.25</v>
          </cell>
          <cell r="AJ494">
            <v>0.25</v>
          </cell>
          <cell r="AK494">
            <v>0.25</v>
          </cell>
          <cell r="AL494">
            <v>0.25</v>
          </cell>
          <cell r="AM494">
            <v>0.25</v>
          </cell>
          <cell r="AN494">
            <v>0.25</v>
          </cell>
          <cell r="AO494">
            <v>0.25</v>
          </cell>
          <cell r="AP494">
            <v>0.25</v>
          </cell>
          <cell r="AQ494">
            <v>0.25</v>
          </cell>
          <cell r="AR494">
            <v>0.25</v>
          </cell>
          <cell r="AS494">
            <v>0.25</v>
          </cell>
          <cell r="AT494">
            <v>-0.04</v>
          </cell>
          <cell r="AU494">
            <v>0.92</v>
          </cell>
          <cell r="AV494">
            <v>20</v>
          </cell>
          <cell r="AY494" t="str">
            <v/>
          </cell>
          <cell r="AZ494">
            <v>0.25</v>
          </cell>
          <cell r="BA494">
            <v>0.25</v>
          </cell>
        </row>
        <row r="495">
          <cell r="A495" t="str">
            <v>CHIARI BRUNO</v>
          </cell>
          <cell r="B495" t="str">
            <v>DANIELA REFERENTE</v>
          </cell>
          <cell r="D495" t="str">
            <v>VIA DEI VETRAI, 2</v>
          </cell>
          <cell r="E495" t="str">
            <v>25032</v>
          </cell>
          <cell r="F495" t="str">
            <v>CHIARI</v>
          </cell>
          <cell r="G495" t="str">
            <v>BS</v>
          </cell>
          <cell r="H495" t="str">
            <v>ITALIA</v>
          </cell>
          <cell r="M495" t="str">
            <v>UFFICIO ACQUISTI</v>
          </cell>
          <cell r="N495" t="str">
            <v>030 713135</v>
          </cell>
          <cell r="P495" t="str">
            <v>daniela@chiaribruno.it</v>
          </cell>
          <cell r="R495" t="str">
            <v>BONIFICO BANCARIO, ALLA DATA DELLA NOSTRA CONFERMA D'ORDINE</v>
          </cell>
          <cell r="X495">
            <v>0.2</v>
          </cell>
          <cell r="Y495">
            <v>-0.04</v>
          </cell>
          <cell r="AB495">
            <v>0.2</v>
          </cell>
          <cell r="AC495">
            <v>0.2</v>
          </cell>
          <cell r="AD495">
            <v>0.2</v>
          </cell>
          <cell r="AE495">
            <v>0.2</v>
          </cell>
          <cell r="AF495">
            <v>0.2</v>
          </cell>
          <cell r="AG495">
            <v>0.2</v>
          </cell>
          <cell r="AH495">
            <v>0.2</v>
          </cell>
          <cell r="AI495">
            <v>0.2</v>
          </cell>
          <cell r="AJ495">
            <v>0.2</v>
          </cell>
          <cell r="AK495">
            <v>0.2</v>
          </cell>
          <cell r="AL495">
            <v>0.2</v>
          </cell>
          <cell r="AM495">
            <v>0.2</v>
          </cell>
          <cell r="AN495">
            <v>0.2</v>
          </cell>
          <cell r="AO495">
            <v>0.2</v>
          </cell>
          <cell r="AP495">
            <v>0.2</v>
          </cell>
          <cell r="AQ495">
            <v>0.2</v>
          </cell>
          <cell r="AR495">
            <v>0.2</v>
          </cell>
          <cell r="AS495">
            <v>0.2</v>
          </cell>
          <cell r="AT495">
            <v>-0.04</v>
          </cell>
          <cell r="AU495">
            <v>0.92</v>
          </cell>
          <cell r="AV495">
            <v>20</v>
          </cell>
          <cell r="AZ495">
            <v>0.2</v>
          </cell>
          <cell r="BA495">
            <v>0.2</v>
          </cell>
        </row>
        <row r="496">
          <cell r="A496" t="str">
            <v>CHINA INFISSI</v>
          </cell>
          <cell r="D496" t="str">
            <v>VIA DEGLI ORTI SNC</v>
          </cell>
          <cell r="E496">
            <v>93100</v>
          </cell>
          <cell r="F496" t="str">
            <v>CALTANISSETTA</v>
          </cell>
          <cell r="G496" t="str">
            <v>CL</v>
          </cell>
          <cell r="H496" t="str">
            <v>ITALIA</v>
          </cell>
          <cell r="J496" t="str">
            <v>019933160850</v>
          </cell>
          <cell r="M496" t="str">
            <v>UFFICIO ACQUISTI</v>
          </cell>
          <cell r="N496" t="str">
            <v>0934 564187</v>
          </cell>
          <cell r="O496" t="str">
            <v>320 6904755</v>
          </cell>
          <cell r="P496" t="str">
            <v>chinainfissi@gmail.com</v>
          </cell>
          <cell r="R496" t="str">
            <v>BONIFICO BANCARIO, ALLA DATA DELLA NOSTRA CONFERMA D'ORDINE</v>
          </cell>
          <cell r="X496">
            <v>0.25</v>
          </cell>
          <cell r="Y496">
            <v>-0.04</v>
          </cell>
          <cell r="AB496">
            <v>0.25</v>
          </cell>
          <cell r="AC496">
            <v>0.25</v>
          </cell>
          <cell r="AD496">
            <v>0.25</v>
          </cell>
          <cell r="AE496">
            <v>0.25</v>
          </cell>
          <cell r="AF496">
            <v>0.25</v>
          </cell>
          <cell r="AG496">
            <v>0.25</v>
          </cell>
          <cell r="AH496">
            <v>0.25</v>
          </cell>
          <cell r="AI496">
            <v>0.25</v>
          </cell>
          <cell r="AJ496">
            <v>0.25</v>
          </cell>
          <cell r="AK496">
            <v>0.25</v>
          </cell>
          <cell r="AL496">
            <v>0.25</v>
          </cell>
          <cell r="AM496">
            <v>0.25</v>
          </cell>
          <cell r="AN496">
            <v>0.25</v>
          </cell>
          <cell r="AO496">
            <v>0.25</v>
          </cell>
          <cell r="AP496">
            <v>0.25</v>
          </cell>
          <cell r="AQ496">
            <v>0.25</v>
          </cell>
          <cell r="AR496">
            <v>0.25</v>
          </cell>
          <cell r="AS496">
            <v>0.25</v>
          </cell>
          <cell r="AT496">
            <v>-0.04</v>
          </cell>
          <cell r="AU496">
            <v>0.92</v>
          </cell>
          <cell r="AV496">
            <v>20</v>
          </cell>
          <cell r="AZ496">
            <v>0.25</v>
          </cell>
          <cell r="BA496">
            <v>0.25</v>
          </cell>
        </row>
        <row r="497">
          <cell r="A497" t="str">
            <v>CHIODINI SERRANDE SRL</v>
          </cell>
          <cell r="D497" t="str">
            <v>VIA CASILINA VECCHIA 47</v>
          </cell>
          <cell r="E497" t="str">
            <v>00182</v>
          </cell>
          <cell r="F497" t="str">
            <v>ROMA</v>
          </cell>
          <cell r="G497" t="str">
            <v>RM</v>
          </cell>
          <cell r="H497" t="str">
            <v>ITALIA</v>
          </cell>
          <cell r="M497" t="str">
            <v>UFFICIO ACQUISTI</v>
          </cell>
          <cell r="N497" t="str">
            <v>06 774497 - 7552626</v>
          </cell>
          <cell r="P497" t="str">
            <v>info@chiodiniserrande.it</v>
          </cell>
          <cell r="R497" t="str">
            <v>BONIFICO BANCARIO, ALLA DATA DELLA NOSTRA CONFERMA D'ORDINE</v>
          </cell>
          <cell r="X497">
            <v>0.25</v>
          </cell>
          <cell r="Y497">
            <v>-0.04</v>
          </cell>
          <cell r="AB497">
            <v>0.25</v>
          </cell>
          <cell r="AC497">
            <v>0.25</v>
          </cell>
          <cell r="AD497">
            <v>0.25</v>
          </cell>
          <cell r="AE497">
            <v>0.25</v>
          </cell>
          <cell r="AF497">
            <v>0.25</v>
          </cell>
          <cell r="AG497">
            <v>0.25</v>
          </cell>
          <cell r="AH497">
            <v>0.25</v>
          </cell>
          <cell r="AI497">
            <v>0.25</v>
          </cell>
          <cell r="AJ497">
            <v>0.25</v>
          </cell>
          <cell r="AK497">
            <v>0.25</v>
          </cell>
          <cell r="AL497">
            <v>0.25</v>
          </cell>
          <cell r="AM497">
            <v>0.25</v>
          </cell>
          <cell r="AN497">
            <v>0.25</v>
          </cell>
          <cell r="AO497">
            <v>0.25</v>
          </cell>
          <cell r="AP497">
            <v>0.25</v>
          </cell>
          <cell r="AQ497">
            <v>0.25</v>
          </cell>
          <cell r="AR497">
            <v>0.25</v>
          </cell>
          <cell r="AS497">
            <v>0.25</v>
          </cell>
          <cell r="AT497">
            <v>-0.04</v>
          </cell>
          <cell r="AU497">
            <v>0.92</v>
          </cell>
          <cell r="AV497">
            <v>20</v>
          </cell>
          <cell r="AZ497">
            <v>0.25</v>
          </cell>
          <cell r="BA497">
            <v>0.25</v>
          </cell>
        </row>
        <row r="498">
          <cell r="A498" t="str">
            <v>CHIORBOLI SERRAMENTI</v>
          </cell>
          <cell r="D498" t="str">
            <v>VIA BURONZO, 24</v>
          </cell>
          <cell r="E498">
            <v>13040</v>
          </cell>
          <cell r="F498" t="str">
            <v>CARISIO</v>
          </cell>
          <cell r="G498" t="str">
            <v>VC</v>
          </cell>
          <cell r="H498" t="str">
            <v>ITALIA</v>
          </cell>
          <cell r="M498" t="str">
            <v>UFFICIO ACQUISTI</v>
          </cell>
          <cell r="N498" t="str">
            <v>0161 971278</v>
          </cell>
          <cell r="O498" t="str">
            <v>335 5950181 - Paolo 346 4381344</v>
          </cell>
          <cell r="P498" t="str">
            <v>info@gcmchiorboli.it</v>
          </cell>
          <cell r="R498" t="str">
            <v>BONIFICO BANCARIO, ALLA DATA DELLA NOSTRA CONFERMA D'ORDINE</v>
          </cell>
          <cell r="X498">
            <v>0.25</v>
          </cell>
          <cell r="Y498">
            <v>-0.04</v>
          </cell>
          <cell r="AB498">
            <v>0.25</v>
          </cell>
          <cell r="AC498">
            <v>0.25</v>
          </cell>
          <cell r="AD498">
            <v>0.25</v>
          </cell>
          <cell r="AE498">
            <v>0.25</v>
          </cell>
          <cell r="AF498">
            <v>0.25</v>
          </cell>
          <cell r="AG498">
            <v>0.25</v>
          </cell>
          <cell r="AH498">
            <v>0.25</v>
          </cell>
          <cell r="AI498">
            <v>0.25</v>
          </cell>
          <cell r="AJ498">
            <v>0.25</v>
          </cell>
          <cell r="AK498">
            <v>0.25</v>
          </cell>
          <cell r="AL498">
            <v>0.25</v>
          </cell>
          <cell r="AM498">
            <v>0.25</v>
          </cell>
          <cell r="AN498">
            <v>0.25</v>
          </cell>
          <cell r="AO498">
            <v>0.25</v>
          </cell>
          <cell r="AP498">
            <v>0.25</v>
          </cell>
          <cell r="AQ498">
            <v>0.25</v>
          </cell>
          <cell r="AR498">
            <v>0.25</v>
          </cell>
          <cell r="AS498">
            <v>0.25</v>
          </cell>
          <cell r="AT498">
            <v>-0.04</v>
          </cell>
          <cell r="AU498">
            <v>0.92</v>
          </cell>
          <cell r="AV498">
            <v>20</v>
          </cell>
          <cell r="AY498" t="str">
            <v/>
          </cell>
          <cell r="AZ498">
            <v>0.25</v>
          </cell>
          <cell r="BA498">
            <v>0.25</v>
          </cell>
        </row>
        <row r="499">
          <cell r="A499" t="str">
            <v>CHIUSANO SERRAMENTI  S.N.C.</v>
          </cell>
          <cell r="D499" t="str">
            <v>VIA DELL'ARTIGIANATO 6</v>
          </cell>
          <cell r="E499">
            <v>12042</v>
          </cell>
          <cell r="F499" t="str">
            <v>BRA</v>
          </cell>
          <cell r="G499" t="str">
            <v>CN</v>
          </cell>
          <cell r="H499" t="str">
            <v>ITALIA</v>
          </cell>
          <cell r="I499" t="str">
            <v>03278670041</v>
          </cell>
          <cell r="J499" t="str">
            <v>03278670041</v>
          </cell>
          <cell r="M499" t="str">
            <v>UFFICIO ACQUISTI</v>
          </cell>
          <cell r="N499" t="str">
            <v>0172 44258</v>
          </cell>
          <cell r="O499" t="str">
            <v>334 1882469</v>
          </cell>
          <cell r="P499" t="str">
            <v>info@chiusanoserramenti.com</v>
          </cell>
          <cell r="R499" t="str">
            <v>BONIFICO BANCARIO, ALLA DATA DELLA NOSTRA CONFERMA D'ORDINE</v>
          </cell>
          <cell r="X499">
            <v>0.25</v>
          </cell>
          <cell r="Y499">
            <v>-0.04</v>
          </cell>
          <cell r="AB499">
            <v>0.25</v>
          </cell>
          <cell r="AC499">
            <v>0.25</v>
          </cell>
          <cell r="AD499">
            <v>0.25</v>
          </cell>
          <cell r="AE499">
            <v>0.25</v>
          </cell>
          <cell r="AF499">
            <v>0.25</v>
          </cell>
          <cell r="AG499">
            <v>0.25</v>
          </cell>
          <cell r="AH499">
            <v>0.25</v>
          </cell>
          <cell r="AI499">
            <v>0.25</v>
          </cell>
          <cell r="AJ499">
            <v>0.25</v>
          </cell>
          <cell r="AK499">
            <v>0.25</v>
          </cell>
          <cell r="AL499">
            <v>0.25</v>
          </cell>
          <cell r="AM499">
            <v>0.25</v>
          </cell>
          <cell r="AN499">
            <v>0.25</v>
          </cell>
          <cell r="AO499">
            <v>0.25</v>
          </cell>
          <cell r="AP499">
            <v>0.25</v>
          </cell>
          <cell r="AQ499">
            <v>0.25</v>
          </cell>
          <cell r="AR499">
            <v>0.25</v>
          </cell>
          <cell r="AS499">
            <v>0.25</v>
          </cell>
          <cell r="AT499">
            <v>-0.04</v>
          </cell>
          <cell r="AU499">
            <v>0.92</v>
          </cell>
          <cell r="AV499">
            <v>20</v>
          </cell>
          <cell r="AY499" t="str">
            <v/>
          </cell>
          <cell r="AZ499">
            <v>0.25</v>
          </cell>
          <cell r="BA499">
            <v>0.25</v>
          </cell>
        </row>
        <row r="500">
          <cell r="A500" t="str">
            <v>CHRI.EL.SERRAMENTI</v>
          </cell>
          <cell r="D500" t="str">
            <v>VIA ROMA, 6</v>
          </cell>
          <cell r="E500" t="str">
            <v>24042</v>
          </cell>
          <cell r="F500" t="str">
            <v>CAPRIATE S.G.</v>
          </cell>
          <cell r="G500" t="str">
            <v>BG</v>
          </cell>
          <cell r="H500" t="str">
            <v>ITALIA</v>
          </cell>
          <cell r="I500" t="str">
            <v>CRMVCN78E06M052V</v>
          </cell>
          <cell r="J500" t="str">
            <v>03518490168</v>
          </cell>
          <cell r="M500" t="str">
            <v>UFFICIO ACQUISTI</v>
          </cell>
          <cell r="N500" t="str">
            <v>02 36641145</v>
          </cell>
          <cell r="O500" t="str">
            <v>347 0510009</v>
          </cell>
          <cell r="P500" t="str">
            <v>info@chriel.it</v>
          </cell>
          <cell r="R500" t="str">
            <v>BONIFICO BANCARIO, ALLA DATA DELLA NOSTRA CONFERMA D'ORDINE</v>
          </cell>
          <cell r="X500">
            <v>0.2</v>
          </cell>
          <cell r="Y500">
            <v>-0.04</v>
          </cell>
          <cell r="AB500">
            <v>0.2</v>
          </cell>
          <cell r="AC500">
            <v>0.2</v>
          </cell>
          <cell r="AD500">
            <v>0.2</v>
          </cell>
          <cell r="AE500">
            <v>0.2</v>
          </cell>
          <cell r="AF500">
            <v>0.2</v>
          </cell>
          <cell r="AG500">
            <v>0.2</v>
          </cell>
          <cell r="AH500">
            <v>0.2</v>
          </cell>
          <cell r="AI500">
            <v>0.2</v>
          </cell>
          <cell r="AJ500">
            <v>0.2</v>
          </cell>
          <cell r="AK500">
            <v>0.2</v>
          </cell>
          <cell r="AL500">
            <v>0.2</v>
          </cell>
          <cell r="AM500">
            <v>0.2</v>
          </cell>
          <cell r="AN500">
            <v>0.2</v>
          </cell>
          <cell r="AO500">
            <v>0.2</v>
          </cell>
          <cell r="AP500">
            <v>0.2</v>
          </cell>
          <cell r="AQ500">
            <v>0.2</v>
          </cell>
          <cell r="AR500">
            <v>0.2</v>
          </cell>
          <cell r="AS500">
            <v>0.2</v>
          </cell>
          <cell r="AT500">
            <v>-0.04</v>
          </cell>
          <cell r="AU500">
            <v>0.92</v>
          </cell>
          <cell r="AV500">
            <v>20</v>
          </cell>
          <cell r="AZ500">
            <v>0.2</v>
          </cell>
          <cell r="BA500">
            <v>0.2</v>
          </cell>
        </row>
        <row r="501">
          <cell r="A501" t="str">
            <v>CHRISTIAN FILIPPI</v>
          </cell>
          <cell r="D501" t="str">
            <v>VIA DELLA STATISTICA, 13</v>
          </cell>
          <cell r="E501">
            <v>36016</v>
          </cell>
          <cell r="F501" t="str">
            <v>THIENE</v>
          </cell>
          <cell r="G501" t="str">
            <v>VI</v>
          </cell>
          <cell r="H501" t="str">
            <v>ITALIA</v>
          </cell>
          <cell r="I501" t="str">
            <v>03625450246</v>
          </cell>
          <cell r="J501" t="str">
            <v>03625450246</v>
          </cell>
          <cell r="M501" t="str">
            <v>UFFICIO ACQUISTI</v>
          </cell>
          <cell r="N501" t="str">
            <v>0445 623013</v>
          </cell>
          <cell r="O501" t="str">
            <v>389 4474307</v>
          </cell>
          <cell r="P501" t="str">
            <v>christian@filippipietro.it</v>
          </cell>
          <cell r="R501" t="str">
            <v>BONIFICO BANCARIO, ALLA DATA DELLA NOSTRA CONFERMA D'ORDINE</v>
          </cell>
          <cell r="X501">
            <v>0.25</v>
          </cell>
          <cell r="Y501">
            <v>-0.04</v>
          </cell>
          <cell r="AB501">
            <v>0.25</v>
          </cell>
          <cell r="AC501">
            <v>0.25</v>
          </cell>
          <cell r="AD501">
            <v>0.25</v>
          </cell>
          <cell r="AE501">
            <v>0.25</v>
          </cell>
          <cell r="AF501">
            <v>0.25</v>
          </cell>
          <cell r="AG501">
            <v>0.25</v>
          </cell>
          <cell r="AH501">
            <v>0.25</v>
          </cell>
          <cell r="AI501">
            <v>0.25</v>
          </cell>
          <cell r="AJ501">
            <v>0.25</v>
          </cell>
          <cell r="AK501">
            <v>0.25</v>
          </cell>
          <cell r="AL501">
            <v>0.25</v>
          </cell>
          <cell r="AM501">
            <v>0.25</v>
          </cell>
          <cell r="AN501">
            <v>0.25</v>
          </cell>
          <cell r="AO501">
            <v>0.25</v>
          </cell>
          <cell r="AP501">
            <v>0.25</v>
          </cell>
          <cell r="AQ501">
            <v>0.25</v>
          </cell>
          <cell r="AR501">
            <v>0.25</v>
          </cell>
          <cell r="AS501">
            <v>0.25</v>
          </cell>
          <cell r="AT501">
            <v>-0.04</v>
          </cell>
          <cell r="AU501">
            <v>0.92</v>
          </cell>
          <cell r="AV501">
            <v>20</v>
          </cell>
          <cell r="AY501" t="str">
            <v/>
          </cell>
          <cell r="AZ501">
            <v>0.25</v>
          </cell>
          <cell r="BA501">
            <v>0.25</v>
          </cell>
        </row>
        <row r="502">
          <cell r="A502" t="str">
            <v>CI.GI. INFISSI DI CICCARELLI GIANLUCA</v>
          </cell>
          <cell r="D502" t="str">
            <v>VIA DOMITIANA, KM 33.200, 408</v>
          </cell>
          <cell r="E502" t="str">
            <v>81031</v>
          </cell>
          <cell r="F502" t="str">
            <v>CASTEL VOLTURNO</v>
          </cell>
          <cell r="G502" t="str">
            <v>CE</v>
          </cell>
          <cell r="H502" t="str">
            <v>ITALIA</v>
          </cell>
          <cell r="M502" t="str">
            <v>UFFICIO ACQUISTI</v>
          </cell>
          <cell r="N502" t="str">
            <v>0823 762017</v>
          </cell>
          <cell r="O502" t="str">
            <v>333 3868270</v>
          </cell>
          <cell r="R502" t="str">
            <v>BONIFICO BANCARIO, ALLA DATA DELLA NOSTRA CONFERMA D'ORDINE</v>
          </cell>
          <cell r="X502">
            <v>0.25</v>
          </cell>
          <cell r="Y502">
            <v>-0.04</v>
          </cell>
          <cell r="AB502">
            <v>0.25</v>
          </cell>
          <cell r="AC502">
            <v>0.25</v>
          </cell>
          <cell r="AD502">
            <v>0.25</v>
          </cell>
          <cell r="AE502">
            <v>0.25</v>
          </cell>
          <cell r="AF502">
            <v>0.25</v>
          </cell>
          <cell r="AG502">
            <v>0.25</v>
          </cell>
          <cell r="AH502">
            <v>0.25</v>
          </cell>
          <cell r="AI502">
            <v>0.25</v>
          </cell>
          <cell r="AJ502">
            <v>0.25</v>
          </cell>
          <cell r="AK502">
            <v>0.25</v>
          </cell>
          <cell r="AL502">
            <v>0.25</v>
          </cell>
          <cell r="AM502">
            <v>0.25</v>
          </cell>
          <cell r="AN502">
            <v>0.25</v>
          </cell>
          <cell r="AO502">
            <v>0.25</v>
          </cell>
          <cell r="AP502">
            <v>0.25</v>
          </cell>
          <cell r="AQ502">
            <v>0.25</v>
          </cell>
          <cell r="AR502">
            <v>0.25</v>
          </cell>
          <cell r="AS502">
            <v>0.25</v>
          </cell>
          <cell r="AT502">
            <v>-0.04</v>
          </cell>
          <cell r="AU502">
            <v>0.92</v>
          </cell>
          <cell r="AV502">
            <v>20</v>
          </cell>
          <cell r="AY502" t="str">
            <v/>
          </cell>
          <cell r="AZ502">
            <v>0.25</v>
          </cell>
          <cell r="BA502">
            <v>0.25</v>
          </cell>
        </row>
        <row r="503">
          <cell r="A503" t="str">
            <v xml:space="preserve">CICUTO ETTORE </v>
          </cell>
          <cell r="D503" t="str">
            <v xml:space="preserve">VIA MAMALUCH , 21 A </v>
          </cell>
          <cell r="E503" t="str">
            <v>33080</v>
          </cell>
          <cell r="F503" t="str">
            <v>PORCIA</v>
          </cell>
          <cell r="G503" t="str">
            <v>PN</v>
          </cell>
          <cell r="H503" t="str">
            <v>ITALIA</v>
          </cell>
          <cell r="I503" t="str">
            <v>CCTNNL78B03G888T</v>
          </cell>
          <cell r="J503" t="str">
            <v>01855710933</v>
          </cell>
          <cell r="M503" t="str">
            <v>UFFICIO ACQUISTI</v>
          </cell>
          <cell r="N503" t="str">
            <v>0434 921616</v>
          </cell>
          <cell r="O503" t="str">
            <v>328 3821928</v>
          </cell>
          <cell r="P503" t="str">
            <v xml:space="preserve">info@officinacicuto.com - amministrazione@officinacicuto.com </v>
          </cell>
          <cell r="R503" t="str">
            <v>BONIFICO BANCARIO, ALLA DATA DELLA NOSTRA CONFERMA D'ORDINE</v>
          </cell>
          <cell r="X503">
            <v>0</v>
          </cell>
          <cell r="Y503">
            <v>-0.04</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0</v>
          </cell>
          <cell r="AS503">
            <v>0</v>
          </cell>
          <cell r="AT503">
            <v>-0.04</v>
          </cell>
          <cell r="AU503">
            <v>0.92</v>
          </cell>
          <cell r="AV503">
            <v>20</v>
          </cell>
          <cell r="AZ503">
            <v>0</v>
          </cell>
          <cell r="BA503">
            <v>0</v>
          </cell>
        </row>
        <row r="504">
          <cell r="A504" t="str">
            <v>CIEFFE SERRAMENTI SRL</v>
          </cell>
          <cell r="D504" t="str">
            <v>VIA M.MITOLO, 17 B</v>
          </cell>
          <cell r="E504">
            <v>70124</v>
          </cell>
          <cell r="F504" t="str">
            <v>BARI</v>
          </cell>
          <cell r="G504" t="str">
            <v>BA</v>
          </cell>
          <cell r="H504" t="str">
            <v>ITALIA</v>
          </cell>
          <cell r="J504" t="str">
            <v>07227990723</v>
          </cell>
          <cell r="M504" t="str">
            <v>UFFICIO ACQUISTI</v>
          </cell>
          <cell r="O504" t="str">
            <v>Franco 335 6322554  Nico  338 7032142</v>
          </cell>
          <cell r="P504" t="str">
            <v>cieffeserramenti@mail.com</v>
          </cell>
          <cell r="R504" t="str">
            <v>BONIFICO BANCARIO, ALLA DATA DELLA NOSTRA CONFERMA D'ORDINE</v>
          </cell>
          <cell r="X504">
            <v>0.25</v>
          </cell>
          <cell r="Y504">
            <v>-0.04</v>
          </cell>
          <cell r="AB504">
            <v>0.25</v>
          </cell>
          <cell r="AC504">
            <v>0.25</v>
          </cell>
          <cell r="AD504">
            <v>0.25</v>
          </cell>
          <cell r="AE504">
            <v>0.25</v>
          </cell>
          <cell r="AF504">
            <v>0.25</v>
          </cell>
          <cell r="AG504">
            <v>0.25</v>
          </cell>
          <cell r="AH504">
            <v>0.25</v>
          </cell>
          <cell r="AI504">
            <v>0.25</v>
          </cell>
          <cell r="AJ504">
            <v>0.25</v>
          </cell>
          <cell r="AK504">
            <v>0.25</v>
          </cell>
          <cell r="AL504">
            <v>0.25</v>
          </cell>
          <cell r="AM504">
            <v>0.25</v>
          </cell>
          <cell r="AN504">
            <v>0.25</v>
          </cell>
          <cell r="AO504">
            <v>0.25</v>
          </cell>
          <cell r="AP504">
            <v>0.25</v>
          </cell>
          <cell r="AQ504">
            <v>0.25</v>
          </cell>
          <cell r="AR504">
            <v>0.25</v>
          </cell>
          <cell r="AS504">
            <v>0.25</v>
          </cell>
          <cell r="AT504">
            <v>-0.04</v>
          </cell>
          <cell r="AU504">
            <v>0.92</v>
          </cell>
          <cell r="AV504">
            <v>20</v>
          </cell>
          <cell r="AY504" t="str">
            <v/>
          </cell>
          <cell r="AZ504">
            <v>0.25</v>
          </cell>
          <cell r="BA504">
            <v>0.25</v>
          </cell>
        </row>
        <row r="505">
          <cell r="A505" t="str">
            <v>CIEMME INFISSI S.R.L.</v>
          </cell>
          <cell r="D505" t="str">
            <v>V.LE DELLE FONTANELLE</v>
          </cell>
          <cell r="E505">
            <v>37047</v>
          </cell>
          <cell r="F505" t="str">
            <v xml:space="preserve">SAN BONIFACIO </v>
          </cell>
          <cell r="G505" t="str">
            <v>VR</v>
          </cell>
          <cell r="H505" t="str">
            <v>ITALIA</v>
          </cell>
          <cell r="M505" t="str">
            <v>UFFICIO ACQUISTI</v>
          </cell>
          <cell r="N505" t="str">
            <v>045 7636512</v>
          </cell>
          <cell r="O505" t="str">
            <v>Simone Marchina 348 1511731</v>
          </cell>
          <cell r="R505" t="str">
            <v>BONIFICO BANCARIO, ALLA DATA DELLA NOSTRA CONFERMA D'ORDINE</v>
          </cell>
          <cell r="X505">
            <v>0.25</v>
          </cell>
          <cell r="Y505">
            <v>-0.04</v>
          </cell>
          <cell r="AB505">
            <v>0.25</v>
          </cell>
          <cell r="AC505">
            <v>0.25</v>
          </cell>
          <cell r="AD505">
            <v>0.25</v>
          </cell>
          <cell r="AE505">
            <v>0.25</v>
          </cell>
          <cell r="AF505">
            <v>0.25</v>
          </cell>
          <cell r="AG505">
            <v>0.25</v>
          </cell>
          <cell r="AH505">
            <v>0.25</v>
          </cell>
          <cell r="AI505">
            <v>0.25</v>
          </cell>
          <cell r="AJ505">
            <v>0.25</v>
          </cell>
          <cell r="AK505">
            <v>0.25</v>
          </cell>
          <cell r="AL505">
            <v>0.25</v>
          </cell>
          <cell r="AM505">
            <v>0.25</v>
          </cell>
          <cell r="AN505">
            <v>0.25</v>
          </cell>
          <cell r="AO505">
            <v>0.25</v>
          </cell>
          <cell r="AP505">
            <v>0.25</v>
          </cell>
          <cell r="AQ505">
            <v>0.25</v>
          </cell>
          <cell r="AR505">
            <v>0.25</v>
          </cell>
          <cell r="AS505">
            <v>0.25</v>
          </cell>
          <cell r="AT505">
            <v>-0.04</v>
          </cell>
          <cell r="AU505">
            <v>0.92</v>
          </cell>
          <cell r="AV505">
            <v>20</v>
          </cell>
          <cell r="AY505" t="str">
            <v/>
          </cell>
          <cell r="AZ505">
            <v>0.25</v>
          </cell>
          <cell r="BA505">
            <v>0.25</v>
          </cell>
        </row>
        <row r="506">
          <cell r="A506" t="str">
            <v>CIERRE SERRAMENTI</v>
          </cell>
          <cell r="B506" t="str">
            <v>ZONA: QUEZZI, SAN MARTINO, CENTRO FOCE</v>
          </cell>
          <cell r="D506" t="str">
            <v>VIA BERGHINI, 54/56R</v>
          </cell>
          <cell r="E506" t="str">
            <v>16132</v>
          </cell>
          <cell r="F506" t="str">
            <v>GENOVA</v>
          </cell>
          <cell r="G506" t="str">
            <v>GE</v>
          </cell>
          <cell r="H506" t="str">
            <v>ITALIA</v>
          </cell>
          <cell r="I506" t="str">
            <v>CBDRRT65L27D969V</v>
          </cell>
          <cell r="J506" t="str">
            <v>02366390991</v>
          </cell>
          <cell r="K506" t="str">
            <v>M5UXCR1</v>
          </cell>
          <cell r="M506" t="str">
            <v>UFFICIO ACQUISTI</v>
          </cell>
          <cell r="N506" t="str">
            <v>010 510258</v>
          </cell>
          <cell r="O506" t="str">
            <v>335 272018 cubeddu roberto</v>
          </cell>
          <cell r="P506" t="str">
            <v>infoerrecubeddu@gmail.com</v>
          </cell>
          <cell r="R506" t="str">
            <v>BONIFICO BANCARIO, ALLA DATA DELLA NOSTRA CONFERMA D'ORDINE</v>
          </cell>
          <cell r="X506">
            <v>0.25</v>
          </cell>
          <cell r="Y506">
            <v>-0.04</v>
          </cell>
          <cell r="AB506">
            <v>0.25</v>
          </cell>
          <cell r="AC506">
            <v>0.25</v>
          </cell>
          <cell r="AD506">
            <v>0.25</v>
          </cell>
          <cell r="AE506">
            <v>0.25</v>
          </cell>
          <cell r="AF506">
            <v>0.25</v>
          </cell>
          <cell r="AG506">
            <v>0.25</v>
          </cell>
          <cell r="AH506">
            <v>0.25</v>
          </cell>
          <cell r="AI506">
            <v>0.25</v>
          </cell>
          <cell r="AJ506">
            <v>0.25</v>
          </cell>
          <cell r="AK506">
            <v>0.25</v>
          </cell>
          <cell r="AL506">
            <v>0.25</v>
          </cell>
          <cell r="AM506">
            <v>0.25</v>
          </cell>
          <cell r="AN506">
            <v>0.25</v>
          </cell>
          <cell r="AO506">
            <v>0.25</v>
          </cell>
          <cell r="AP506">
            <v>0.25</v>
          </cell>
          <cell r="AQ506">
            <v>0.25</v>
          </cell>
          <cell r="AR506">
            <v>0.25</v>
          </cell>
          <cell r="AS506">
            <v>0.25</v>
          </cell>
          <cell r="AT506">
            <v>-0.04</v>
          </cell>
          <cell r="AU506">
            <v>0.92</v>
          </cell>
          <cell r="AV506">
            <v>20</v>
          </cell>
          <cell r="AZ506">
            <v>0.25</v>
          </cell>
          <cell r="BA506">
            <v>0.25</v>
          </cell>
        </row>
        <row r="507">
          <cell r="A507" t="str">
            <v>CIFA SRL</v>
          </cell>
          <cell r="D507" t="str">
            <v>VIA PAPA GIOVANNI XXIII, 1060</v>
          </cell>
          <cell r="E507">
            <v>21040</v>
          </cell>
          <cell r="F507" t="str">
            <v>CISLAGO</v>
          </cell>
          <cell r="G507" t="str">
            <v>VA</v>
          </cell>
          <cell r="H507" t="str">
            <v>ITALIA</v>
          </cell>
          <cell r="J507" t="str">
            <v>02105680124</v>
          </cell>
          <cell r="M507" t="str">
            <v>UFFICIO ACQUISTI</v>
          </cell>
          <cell r="O507" t="str">
            <v>349 2320322</v>
          </cell>
          <cell r="P507" t="str">
            <v>cifasrl@gmail.com</v>
          </cell>
          <cell r="R507" t="str">
            <v>BONIFICO BANCARIO, ALLA DATA DELLA NOSTRA CONFERMA D'ORDINE</v>
          </cell>
          <cell r="X507">
            <v>0.25</v>
          </cell>
          <cell r="Y507">
            <v>-0.04</v>
          </cell>
          <cell r="AB507">
            <v>0.25</v>
          </cell>
          <cell r="AC507">
            <v>0.25</v>
          </cell>
          <cell r="AD507">
            <v>0.25</v>
          </cell>
          <cell r="AE507">
            <v>0.25</v>
          </cell>
          <cell r="AF507">
            <v>0.25</v>
          </cell>
          <cell r="AG507">
            <v>0.25</v>
          </cell>
          <cell r="AH507">
            <v>0.25</v>
          </cell>
          <cell r="AI507">
            <v>0.25</v>
          </cell>
          <cell r="AJ507">
            <v>0.25</v>
          </cell>
          <cell r="AK507">
            <v>0.25</v>
          </cell>
          <cell r="AL507">
            <v>0.25</v>
          </cell>
          <cell r="AM507">
            <v>0.25</v>
          </cell>
          <cell r="AN507">
            <v>0.25</v>
          </cell>
          <cell r="AO507">
            <v>0.25</v>
          </cell>
          <cell r="AP507">
            <v>0.25</v>
          </cell>
          <cell r="AQ507">
            <v>0.25</v>
          </cell>
          <cell r="AR507">
            <v>0.25</v>
          </cell>
          <cell r="AS507">
            <v>0.25</v>
          </cell>
          <cell r="AT507">
            <v>-0.04</v>
          </cell>
          <cell r="AU507">
            <v>0.92</v>
          </cell>
          <cell r="AV507">
            <v>20</v>
          </cell>
          <cell r="AY507" t="str">
            <v/>
          </cell>
          <cell r="AZ507">
            <v>0.25</v>
          </cell>
          <cell r="BA507">
            <v>0.25</v>
          </cell>
        </row>
        <row r="508">
          <cell r="A508" t="str">
            <v>CIMA DI DREON DANIELE E C. SAS</v>
          </cell>
          <cell r="D508" t="str">
            <v>VIA MANZONI 31</v>
          </cell>
          <cell r="E508" t="str">
            <v>30025</v>
          </cell>
          <cell r="F508" t="str">
            <v>FOSSALTA DI PORTOGRUARO</v>
          </cell>
          <cell r="G508" t="str">
            <v>VE</v>
          </cell>
          <cell r="H508" t="str">
            <v>ITALIA</v>
          </cell>
          <cell r="J508" t="str">
            <v>02531260277</v>
          </cell>
          <cell r="M508" t="str">
            <v>UFFICIO ACQUISTI</v>
          </cell>
          <cell r="N508" t="str">
            <v>0421 700378</v>
          </cell>
          <cell r="O508" t="str">
            <v>347 3646129</v>
          </cell>
          <cell r="P508" t="str">
            <v>cimaserramenti1@tiscali.it</v>
          </cell>
          <cell r="R508" t="str">
            <v>BONIFICO BANCARIO, ALLA DATA DELLA NOSTRA CONFERMA D'ORDINE</v>
          </cell>
          <cell r="X508">
            <v>0.25</v>
          </cell>
          <cell r="Y508">
            <v>-0.04</v>
          </cell>
          <cell r="AB508">
            <v>0.25</v>
          </cell>
          <cell r="AC508">
            <v>0.25</v>
          </cell>
          <cell r="AD508">
            <v>0.25</v>
          </cell>
          <cell r="AE508">
            <v>0.25</v>
          </cell>
          <cell r="AF508">
            <v>0.25</v>
          </cell>
          <cell r="AG508">
            <v>0.25</v>
          </cell>
          <cell r="AH508">
            <v>0.25</v>
          </cell>
          <cell r="AI508">
            <v>0.25</v>
          </cell>
          <cell r="AJ508">
            <v>0.25</v>
          </cell>
          <cell r="AK508">
            <v>0.25</v>
          </cell>
          <cell r="AL508">
            <v>0.25</v>
          </cell>
          <cell r="AM508">
            <v>0.25</v>
          </cell>
          <cell r="AN508">
            <v>0.25</v>
          </cell>
          <cell r="AO508">
            <v>0.25</v>
          </cell>
          <cell r="AP508">
            <v>0.25</v>
          </cell>
          <cell r="AQ508">
            <v>0.25</v>
          </cell>
          <cell r="AR508">
            <v>0.25</v>
          </cell>
          <cell r="AS508">
            <v>0.25</v>
          </cell>
          <cell r="AT508">
            <v>-0.04</v>
          </cell>
          <cell r="AU508">
            <v>0.92</v>
          </cell>
          <cell r="AV508">
            <v>20</v>
          </cell>
          <cell r="AZ508">
            <v>0.25</v>
          </cell>
          <cell r="BA508">
            <v>0.25</v>
          </cell>
        </row>
        <row r="509">
          <cell r="A509" t="str">
            <v>CIMAL INFISSI DI MARCO CREMONINI S.R.L.</v>
          </cell>
          <cell r="D509" t="str">
            <v>VIA M. MASTACCHI, 196</v>
          </cell>
          <cell r="E509">
            <v>57122</v>
          </cell>
          <cell r="F509" t="str">
            <v>LIVORNO</v>
          </cell>
          <cell r="G509" t="str">
            <v>LI</v>
          </cell>
          <cell r="H509" t="str">
            <v>ITALIA</v>
          </cell>
          <cell r="M509" t="str">
            <v>UFFICIO ACQUISTI</v>
          </cell>
          <cell r="N509" t="str">
            <v>0586 422229</v>
          </cell>
          <cell r="P509" t="str">
            <v>commerciale@cimal.it</v>
          </cell>
          <cell r="R509" t="str">
            <v>BONIFICO BANCARIO, ALLA DATA DELLA NOSTRA CONFERMA D'ORDINE</v>
          </cell>
          <cell r="X509">
            <v>0.25</v>
          </cell>
          <cell r="Y509">
            <v>-0.04</v>
          </cell>
          <cell r="AB509">
            <v>0.25</v>
          </cell>
          <cell r="AC509">
            <v>0.25</v>
          </cell>
          <cell r="AD509">
            <v>0.25</v>
          </cell>
          <cell r="AE509">
            <v>0.25</v>
          </cell>
          <cell r="AF509">
            <v>0.25</v>
          </cell>
          <cell r="AG509">
            <v>0.25</v>
          </cell>
          <cell r="AH509">
            <v>0.25</v>
          </cell>
          <cell r="AI509">
            <v>0.25</v>
          </cell>
          <cell r="AJ509">
            <v>0.25</v>
          </cell>
          <cell r="AK509">
            <v>0.25</v>
          </cell>
          <cell r="AL509">
            <v>0.25</v>
          </cell>
          <cell r="AM509">
            <v>0.25</v>
          </cell>
          <cell r="AN509">
            <v>0.25</v>
          </cell>
          <cell r="AO509">
            <v>0.25</v>
          </cell>
          <cell r="AP509">
            <v>0.25</v>
          </cell>
          <cell r="AQ509">
            <v>0.25</v>
          </cell>
          <cell r="AR509">
            <v>0.25</v>
          </cell>
          <cell r="AS509">
            <v>0.25</v>
          </cell>
          <cell r="AT509">
            <v>-0.04</v>
          </cell>
          <cell r="AU509">
            <v>0.92</v>
          </cell>
          <cell r="AV509">
            <v>20</v>
          </cell>
          <cell r="AZ509">
            <v>0.25</v>
          </cell>
          <cell r="BA509">
            <v>0.25</v>
          </cell>
        </row>
        <row r="510">
          <cell r="A510" t="str">
            <v>CIRCUITO SPAC</v>
          </cell>
          <cell r="D510" t="str">
            <v>VIA S.FRANCESCO, 43</v>
          </cell>
          <cell r="E510" t="str">
            <v>34074</v>
          </cell>
          <cell r="F510" t="str">
            <v>MONFALCONE</v>
          </cell>
          <cell r="G510" t="str">
            <v>GO</v>
          </cell>
          <cell r="H510" t="str">
            <v>ITALIA</v>
          </cell>
          <cell r="M510" t="str">
            <v>UFFICIO ACQUISTI</v>
          </cell>
          <cell r="N510" t="str">
            <v>0481 412758</v>
          </cell>
          <cell r="P510" t="str">
            <v>monfalcone@circuitospac.com</v>
          </cell>
          <cell r="R510" t="str">
            <v>BONIFICO BANCARIO, ALLA DATA DELLA NOSTRA CONFERMA D'ORDINE</v>
          </cell>
          <cell r="X510">
            <v>0</v>
          </cell>
          <cell r="Y510">
            <v>-0.04</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0</v>
          </cell>
          <cell r="AS510">
            <v>0</v>
          </cell>
          <cell r="AT510">
            <v>-0.04</v>
          </cell>
          <cell r="AU510">
            <v>0.92</v>
          </cell>
          <cell r="AV510">
            <v>20</v>
          </cell>
          <cell r="AZ510">
            <v>0</v>
          </cell>
          <cell r="BA510">
            <v>0</v>
          </cell>
        </row>
        <row r="511">
          <cell r="A511" t="str">
            <v>CIRCUITO SPAC SRL</v>
          </cell>
          <cell r="D511" t="str">
            <v>VIA SAN FRANCESCO 43</v>
          </cell>
          <cell r="F511" t="str">
            <v>MONFALCONE</v>
          </cell>
          <cell r="G511" t="str">
            <v>GO</v>
          </cell>
          <cell r="H511" t="str">
            <v>ITALIA</v>
          </cell>
          <cell r="M511" t="str">
            <v>UFFICIO ACQUISTI</v>
          </cell>
          <cell r="N511" t="str">
            <v>0481 412758</v>
          </cell>
          <cell r="P511" t="str">
            <v>monfalcone@circuitospac.com</v>
          </cell>
          <cell r="R511" t="str">
            <v>BONIFICO BANCARIO, ALLA DATA DELLA NOSTRA CONFERMA D'ORDINE</v>
          </cell>
          <cell r="X511">
            <v>0.25</v>
          </cell>
          <cell r="Y511">
            <v>-0.04</v>
          </cell>
          <cell r="AB511">
            <v>0.25</v>
          </cell>
          <cell r="AC511">
            <v>0.25</v>
          </cell>
          <cell r="AD511">
            <v>0.25</v>
          </cell>
          <cell r="AE511">
            <v>0.25</v>
          </cell>
          <cell r="AF511">
            <v>0.25</v>
          </cell>
          <cell r="AG511">
            <v>0.25</v>
          </cell>
          <cell r="AH511">
            <v>0.25</v>
          </cell>
          <cell r="AI511">
            <v>0.25</v>
          </cell>
          <cell r="AJ511">
            <v>0.25</v>
          </cell>
          <cell r="AK511">
            <v>0.25</v>
          </cell>
          <cell r="AL511">
            <v>0.25</v>
          </cell>
          <cell r="AM511">
            <v>0.25</v>
          </cell>
          <cell r="AN511">
            <v>0.25</v>
          </cell>
          <cell r="AO511">
            <v>0.25</v>
          </cell>
          <cell r="AP511">
            <v>0.25</v>
          </cell>
          <cell r="AQ511">
            <v>0.25</v>
          </cell>
          <cell r="AR511">
            <v>0.25</v>
          </cell>
          <cell r="AS511">
            <v>0.25</v>
          </cell>
          <cell r="AT511">
            <v>-0.04</v>
          </cell>
          <cell r="AU511">
            <v>0.92</v>
          </cell>
          <cell r="AV511">
            <v>20</v>
          </cell>
          <cell r="AZ511">
            <v>0.25</v>
          </cell>
          <cell r="BA511">
            <v>0.25</v>
          </cell>
        </row>
        <row r="512">
          <cell r="A512" t="str">
            <v>CIVIELLO INFISSI</v>
          </cell>
          <cell r="D512" t="str">
            <v>VIA ENRICO DE NICOLA  ZONA PIP</v>
          </cell>
          <cell r="E512" t="str">
            <v>85050</v>
          </cell>
          <cell r="F512" t="str">
            <v>TITO SCALO</v>
          </cell>
          <cell r="G512" t="str">
            <v>PZ</v>
          </cell>
          <cell r="H512" t="str">
            <v>ITALIA</v>
          </cell>
          <cell r="J512" t="str">
            <v>01676010760</v>
          </cell>
          <cell r="M512" t="str">
            <v>UFFICIO ACQUISTI</v>
          </cell>
          <cell r="N512" t="str">
            <v>0971 651292</v>
          </cell>
          <cell r="O512" t="str">
            <v>328 1713742</v>
          </cell>
          <cell r="P512" t="str">
            <v>info@civielloinfissi.it</v>
          </cell>
          <cell r="R512" t="str">
            <v>BONIFICO BANCARIO, ALLA DATA DELLA NOSTRA CONFERMA D'ORDINE</v>
          </cell>
          <cell r="X512">
            <v>0.25</v>
          </cell>
          <cell r="Y512">
            <v>-0.04</v>
          </cell>
          <cell r="AB512">
            <v>0.25</v>
          </cell>
          <cell r="AC512">
            <v>0.25</v>
          </cell>
          <cell r="AD512">
            <v>0.25</v>
          </cell>
          <cell r="AE512">
            <v>0.25</v>
          </cell>
          <cell r="AF512">
            <v>0.25</v>
          </cell>
          <cell r="AG512">
            <v>0.25</v>
          </cell>
          <cell r="AH512">
            <v>0.25</v>
          </cell>
          <cell r="AI512">
            <v>0.25</v>
          </cell>
          <cell r="AJ512">
            <v>0.25</v>
          </cell>
          <cell r="AK512">
            <v>0.25</v>
          </cell>
          <cell r="AL512">
            <v>0.25</v>
          </cell>
          <cell r="AM512">
            <v>0.25</v>
          </cell>
          <cell r="AN512">
            <v>0.25</v>
          </cell>
          <cell r="AO512">
            <v>0.25</v>
          </cell>
          <cell r="AP512">
            <v>0.25</v>
          </cell>
          <cell r="AQ512">
            <v>0.25</v>
          </cell>
          <cell r="AR512">
            <v>0.25</v>
          </cell>
          <cell r="AS512">
            <v>0.25</v>
          </cell>
          <cell r="AT512">
            <v>-0.04</v>
          </cell>
          <cell r="AU512">
            <v>0.92</v>
          </cell>
          <cell r="AV512">
            <v>20</v>
          </cell>
          <cell r="AY512" t="str">
            <v/>
          </cell>
          <cell r="AZ512">
            <v>0.25</v>
          </cell>
          <cell r="BA512">
            <v>0.25</v>
          </cell>
        </row>
        <row r="513">
          <cell r="A513" t="str">
            <v>CIZAF SAS DI CURATOLO TOMMASO</v>
          </cell>
          <cell r="B513" t="str">
            <v>25/10 Non conoscono il prodotto. Vogliono documentarsi. Mandata mail più materiale promo 26/10 Ha richiamato. INTERESSATISSIMO. Mandato listino prezzi e proposta di acquisto campione</v>
          </cell>
          <cell r="D513" t="str">
            <v>VIA COPPOLA, 14</v>
          </cell>
          <cell r="E513">
            <v>91100</v>
          </cell>
          <cell r="F513" t="str">
            <v>LOCOGRANDE</v>
          </cell>
          <cell r="G513" t="str">
            <v>TP</v>
          </cell>
          <cell r="H513" t="str">
            <v>ITALIA</v>
          </cell>
          <cell r="J513" t="str">
            <v>02214420818</v>
          </cell>
          <cell r="K513" t="str">
            <v>M5UXCR1</v>
          </cell>
          <cell r="M513" t="str">
            <v>UFFICIO ACQUISTI</v>
          </cell>
          <cell r="O513" t="str">
            <v>328 7861628</v>
          </cell>
          <cell r="P513" t="str">
            <v>cizafsas@libero.it</v>
          </cell>
          <cell r="R513" t="str">
            <v>BONIFICO BANCARIO, ALLA DATA DELLA NOSTRA CONFERMA D'ORDINE</v>
          </cell>
          <cell r="X513">
            <v>0.25</v>
          </cell>
          <cell r="Y513">
            <v>-0.04</v>
          </cell>
          <cell r="AB513">
            <v>0.25</v>
          </cell>
          <cell r="AC513">
            <v>0.25</v>
          </cell>
          <cell r="AD513">
            <v>0.25</v>
          </cell>
          <cell r="AE513">
            <v>0.25</v>
          </cell>
          <cell r="AF513">
            <v>0.25</v>
          </cell>
          <cell r="AG513">
            <v>0.25</v>
          </cell>
          <cell r="AH513">
            <v>0.25</v>
          </cell>
          <cell r="AI513">
            <v>0.25</v>
          </cell>
          <cell r="AJ513">
            <v>0.25</v>
          </cell>
          <cell r="AK513">
            <v>0.25</v>
          </cell>
          <cell r="AL513">
            <v>0.25</v>
          </cell>
          <cell r="AM513">
            <v>0.25</v>
          </cell>
          <cell r="AN513">
            <v>0.25</v>
          </cell>
          <cell r="AO513">
            <v>0.25</v>
          </cell>
          <cell r="AP513">
            <v>0.25</v>
          </cell>
          <cell r="AQ513">
            <v>0.25</v>
          </cell>
          <cell r="AR513">
            <v>0.25</v>
          </cell>
          <cell r="AS513">
            <v>0.25</v>
          </cell>
          <cell r="AT513">
            <v>-0.04</v>
          </cell>
          <cell r="AU513">
            <v>0.87</v>
          </cell>
          <cell r="AV513">
            <v>20</v>
          </cell>
          <cell r="AZ513">
            <v>0.25</v>
          </cell>
          <cell r="BA513">
            <v>0.25</v>
          </cell>
          <cell r="BF513" t="str">
            <v>CLICK RAPID con espositore 25/11/2022 - MODERNA con espositore 25/11/2022</v>
          </cell>
        </row>
        <row r="514">
          <cell r="A514" t="str">
            <v>CLAS1990</v>
          </cell>
          <cell r="B514" t="str">
            <v>SHOW R. VIALE SAN GIOVANNI BOSCO, 98/100 -  ROMA  06 31056994</v>
          </cell>
          <cell r="D514" t="str">
            <v>CORSO GIACOMO MATTEOTTI, 5</v>
          </cell>
          <cell r="E514" t="str">
            <v>00041</v>
          </cell>
          <cell r="F514" t="str">
            <v>ALBANO LAZIALE</v>
          </cell>
          <cell r="G514" t="str">
            <v>RM</v>
          </cell>
          <cell r="H514" t="str">
            <v>ITALIA</v>
          </cell>
          <cell r="M514" t="str">
            <v>UFFICIO ACQUISTI</v>
          </cell>
          <cell r="N514" t="str">
            <v>06 69312489</v>
          </cell>
          <cell r="O514" t="str">
            <v>342 1045052</v>
          </cell>
          <cell r="P514" t="str">
            <v>info@clas1990.com</v>
          </cell>
          <cell r="R514" t="str">
            <v>BONIFICO BANCARIO, ALLA DATA DELLA NOSTRA CONFERMA D'ORDINE</v>
          </cell>
          <cell r="X514">
            <v>0.2</v>
          </cell>
          <cell r="Y514">
            <v>-0.04</v>
          </cell>
          <cell r="AB514">
            <v>0.2</v>
          </cell>
          <cell r="AC514">
            <v>0.2</v>
          </cell>
          <cell r="AD514">
            <v>0.2</v>
          </cell>
          <cell r="AE514">
            <v>0.2</v>
          </cell>
          <cell r="AF514">
            <v>0.2</v>
          </cell>
          <cell r="AG514">
            <v>0.2</v>
          </cell>
          <cell r="AH514">
            <v>0.2</v>
          </cell>
          <cell r="AI514">
            <v>0.2</v>
          </cell>
          <cell r="AJ514">
            <v>0.2</v>
          </cell>
          <cell r="AK514">
            <v>0.2</v>
          </cell>
          <cell r="AL514">
            <v>0.2</v>
          </cell>
          <cell r="AM514">
            <v>0.2</v>
          </cell>
          <cell r="AN514">
            <v>0.2</v>
          </cell>
          <cell r="AO514">
            <v>0.2</v>
          </cell>
          <cell r="AP514">
            <v>0.2</v>
          </cell>
          <cell r="AQ514">
            <v>0.2</v>
          </cell>
          <cell r="AR514">
            <v>0.2</v>
          </cell>
          <cell r="AS514">
            <v>0.2</v>
          </cell>
          <cell r="AT514">
            <v>-0.04</v>
          </cell>
          <cell r="AU514">
            <v>0.92</v>
          </cell>
          <cell r="AV514">
            <v>20</v>
          </cell>
          <cell r="AZ514">
            <v>0.2</v>
          </cell>
          <cell r="BA514">
            <v>0.2</v>
          </cell>
        </row>
        <row r="515">
          <cell r="A515" t="str">
            <v>CLASA SERRAMENTI SRL</v>
          </cell>
          <cell r="D515" t="str">
            <v>VIA GORIZIA, 64</v>
          </cell>
          <cell r="E515" t="str">
            <v>21013</v>
          </cell>
          <cell r="F515" t="str">
            <v>GALLARATE</v>
          </cell>
          <cell r="G515" t="str">
            <v>VA</v>
          </cell>
          <cell r="H515" t="str">
            <v>ITALIA</v>
          </cell>
          <cell r="I515" t="str">
            <v>02383110125</v>
          </cell>
          <cell r="J515" t="str">
            <v>02383110125</v>
          </cell>
          <cell r="M515" t="str">
            <v>UFFICIO ACQUISTI</v>
          </cell>
          <cell r="N515" t="str">
            <v>0331 791678</v>
          </cell>
          <cell r="P515" t="str">
            <v>clasa@clasa.it</v>
          </cell>
          <cell r="R515" t="str">
            <v>BONIFICO BANCARIO, ALLA DATA DELLA NOSTRA CONFERMA D'ORDINE</v>
          </cell>
          <cell r="X515">
            <v>0.25</v>
          </cell>
          <cell r="Y515">
            <v>-0.04</v>
          </cell>
          <cell r="AB515">
            <v>0.25</v>
          </cell>
          <cell r="AC515">
            <v>0.25</v>
          </cell>
          <cell r="AD515">
            <v>0.25</v>
          </cell>
          <cell r="AE515">
            <v>0.25</v>
          </cell>
          <cell r="AF515">
            <v>0.25</v>
          </cell>
          <cell r="AG515">
            <v>0.25</v>
          </cell>
          <cell r="AH515">
            <v>0.25</v>
          </cell>
          <cell r="AI515">
            <v>0.25</v>
          </cell>
          <cell r="AJ515">
            <v>0.25</v>
          </cell>
          <cell r="AK515">
            <v>0.25</v>
          </cell>
          <cell r="AL515">
            <v>0.25</v>
          </cell>
          <cell r="AM515">
            <v>0.25</v>
          </cell>
          <cell r="AN515">
            <v>0.25</v>
          </cell>
          <cell r="AO515">
            <v>0.25</v>
          </cell>
          <cell r="AP515">
            <v>0.25</v>
          </cell>
          <cell r="AQ515">
            <v>0.25</v>
          </cell>
          <cell r="AR515">
            <v>0.25</v>
          </cell>
          <cell r="AS515">
            <v>0.25</v>
          </cell>
          <cell r="AT515">
            <v>-0.04</v>
          </cell>
          <cell r="AU515">
            <v>0.92</v>
          </cell>
          <cell r="AV515">
            <v>20</v>
          </cell>
          <cell r="AY515" t="str">
            <v/>
          </cell>
          <cell r="AZ515">
            <v>0.25</v>
          </cell>
          <cell r="BA515">
            <v>0.25</v>
          </cell>
        </row>
        <row r="516">
          <cell r="A516" t="str">
            <v>CLASS SERRAMENTI DI VARGIU GIUSEPPE</v>
          </cell>
          <cell r="D516" t="str">
            <v>VIA SARDEGNA, 27</v>
          </cell>
          <cell r="E516">
            <v>91170</v>
          </cell>
          <cell r="F516" t="str">
            <v xml:space="preserve">ORISTANO </v>
          </cell>
          <cell r="G516" t="str">
            <v>OR</v>
          </cell>
          <cell r="H516" t="str">
            <v>ITALIA</v>
          </cell>
          <cell r="I516" t="str">
            <v>VRGGPP62R26G273D</v>
          </cell>
          <cell r="J516" t="str">
            <v>01246890956</v>
          </cell>
          <cell r="K516" t="str">
            <v>W7YVJK9</v>
          </cell>
          <cell r="M516" t="str">
            <v>UFFICIO ACQUISTI</v>
          </cell>
          <cell r="N516" t="str">
            <v>0783 093987</v>
          </cell>
          <cell r="P516" t="str">
            <v>class.serramenti@tiscali.it</v>
          </cell>
          <cell r="R516" t="str">
            <v>BONIFICO BANCARIO, ALLA DATA DELLA NOSTRA CONFERMA D'ORDINE</v>
          </cell>
          <cell r="X516">
            <v>0.25</v>
          </cell>
          <cell r="Y516">
            <v>-0.04</v>
          </cell>
          <cell r="AB516">
            <v>0.25</v>
          </cell>
          <cell r="AC516">
            <v>0.25</v>
          </cell>
          <cell r="AD516">
            <v>0.25</v>
          </cell>
          <cell r="AE516">
            <v>0.25</v>
          </cell>
          <cell r="AF516">
            <v>0.25</v>
          </cell>
          <cell r="AG516">
            <v>0.25</v>
          </cell>
          <cell r="AH516">
            <v>0.25</v>
          </cell>
          <cell r="AI516">
            <v>0.25</v>
          </cell>
          <cell r="AJ516">
            <v>0.25</v>
          </cell>
          <cell r="AK516">
            <v>0.25</v>
          </cell>
          <cell r="AL516">
            <v>0.25</v>
          </cell>
          <cell r="AM516">
            <v>0.25</v>
          </cell>
          <cell r="AN516">
            <v>0.25</v>
          </cell>
          <cell r="AO516">
            <v>0.25</v>
          </cell>
          <cell r="AP516">
            <v>0.25</v>
          </cell>
          <cell r="AQ516">
            <v>0.25</v>
          </cell>
          <cell r="AR516">
            <v>0.25</v>
          </cell>
          <cell r="AS516">
            <v>0.25</v>
          </cell>
          <cell r="AT516">
            <v>-0.04</v>
          </cell>
          <cell r="AU516">
            <v>0.92</v>
          </cell>
          <cell r="AV516">
            <v>20</v>
          </cell>
          <cell r="AZ516">
            <v>0.25</v>
          </cell>
          <cell r="BA516">
            <v>0.25</v>
          </cell>
          <cell r="BF516" t="str">
            <v>CLICK RAPID con carpenteria 14/04/2021</v>
          </cell>
        </row>
        <row r="517">
          <cell r="A517" t="str">
            <v>CLAUDIO ROGGERO</v>
          </cell>
          <cell r="D517" t="str">
            <v>VIA MAGGIORINO FERRARIS 14/18</v>
          </cell>
          <cell r="E517" t="str">
            <v>15011</v>
          </cell>
          <cell r="F517" t="str">
            <v xml:space="preserve">ACQUI TERME </v>
          </cell>
          <cell r="G517" t="str">
            <v>AL</v>
          </cell>
          <cell r="H517" t="str">
            <v>ITALIA</v>
          </cell>
          <cell r="M517" t="str">
            <v>UFFICIO ACQUISTI</v>
          </cell>
          <cell r="O517" t="str">
            <v>338 7300816</v>
          </cell>
          <cell r="P517" t="str">
            <v>claudio.roggero1@gmail.com</v>
          </cell>
          <cell r="R517" t="str">
            <v>BONIFICO BANCARIO, ALLA DATA DELLA NOSTRA CONFERMA D'ORDINE</v>
          </cell>
          <cell r="X517">
            <v>0.25</v>
          </cell>
          <cell r="Y517">
            <v>-0.04</v>
          </cell>
          <cell r="AB517">
            <v>0.25</v>
          </cell>
          <cell r="AC517">
            <v>0.25</v>
          </cell>
          <cell r="AD517">
            <v>0.25</v>
          </cell>
          <cell r="AE517">
            <v>0.25</v>
          </cell>
          <cell r="AF517">
            <v>0.25</v>
          </cell>
          <cell r="AG517">
            <v>0.25</v>
          </cell>
          <cell r="AH517">
            <v>0.25</v>
          </cell>
          <cell r="AI517">
            <v>0.25</v>
          </cell>
          <cell r="AJ517">
            <v>0.25</v>
          </cell>
          <cell r="AK517">
            <v>0.25</v>
          </cell>
          <cell r="AL517">
            <v>0.25</v>
          </cell>
          <cell r="AM517">
            <v>0.25</v>
          </cell>
          <cell r="AN517">
            <v>0.25</v>
          </cell>
          <cell r="AO517">
            <v>0.25</v>
          </cell>
          <cell r="AP517">
            <v>0.25</v>
          </cell>
          <cell r="AQ517">
            <v>0.25</v>
          </cell>
          <cell r="AR517">
            <v>0.25</v>
          </cell>
          <cell r="AS517">
            <v>0.25</v>
          </cell>
          <cell r="AT517">
            <v>-0.04</v>
          </cell>
          <cell r="AU517">
            <v>0.92</v>
          </cell>
          <cell r="AV517">
            <v>20</v>
          </cell>
          <cell r="AY517" t="str">
            <v/>
          </cell>
          <cell r="AZ517">
            <v>0.25</v>
          </cell>
          <cell r="BA517">
            <v>0.25</v>
          </cell>
        </row>
        <row r="518">
          <cell r="A518" t="str">
            <v>CLAUDIO SERRAMENTI SNC DI BALDI</v>
          </cell>
          <cell r="B518" t="str">
            <v xml:space="preserve">SE LE FA ANCHE LUI </v>
          </cell>
          <cell r="D518" t="str">
            <v xml:space="preserve">VIA DIVIZIA , 5 E </v>
          </cell>
          <cell r="E518">
            <v>17051</v>
          </cell>
          <cell r="F518" t="str">
            <v>ANDORA</v>
          </cell>
          <cell r="G518" t="str">
            <v>SV</v>
          </cell>
          <cell r="H518" t="str">
            <v>ITALIA</v>
          </cell>
          <cell r="J518" t="str">
            <v>01085870093</v>
          </cell>
          <cell r="K518" t="str">
            <v>W7YVJK9</v>
          </cell>
          <cell r="M518" t="str">
            <v xml:space="preserve">SIG. SIMONE BALDI </v>
          </cell>
          <cell r="N518" t="str">
            <v>0182 80486</v>
          </cell>
          <cell r="O518" t="str">
            <v>338 6195696</v>
          </cell>
          <cell r="P518" t="str">
            <v>info@claudioserramenti-andora.it</v>
          </cell>
          <cell r="R518" t="str">
            <v>BONIFICO BANCARIO, ALLA DATA DELLA NOSTRA CONFERMA D'ORDINE</v>
          </cell>
          <cell r="X518">
            <v>0.25</v>
          </cell>
          <cell r="Y518">
            <v>-0.04</v>
          </cell>
          <cell r="AB518">
            <v>0.25</v>
          </cell>
          <cell r="AC518">
            <v>0.25</v>
          </cell>
          <cell r="AD518">
            <v>0.25</v>
          </cell>
          <cell r="AE518">
            <v>0.25</v>
          </cell>
          <cell r="AF518">
            <v>0.25</v>
          </cell>
          <cell r="AG518">
            <v>0.25</v>
          </cell>
          <cell r="AH518">
            <v>0.25</v>
          </cell>
          <cell r="AI518">
            <v>0.25</v>
          </cell>
          <cell r="AJ518">
            <v>0.25</v>
          </cell>
          <cell r="AK518">
            <v>0.25</v>
          </cell>
          <cell r="AL518">
            <v>0.25</v>
          </cell>
          <cell r="AM518">
            <v>0.25</v>
          </cell>
          <cell r="AN518">
            <v>0.25</v>
          </cell>
          <cell r="AO518">
            <v>0.25</v>
          </cell>
          <cell r="AP518">
            <v>0.25</v>
          </cell>
          <cell r="AQ518">
            <v>0.25</v>
          </cell>
          <cell r="AR518">
            <v>0.25</v>
          </cell>
          <cell r="AS518">
            <v>0.25</v>
          </cell>
          <cell r="AT518">
            <v>-0.04</v>
          </cell>
          <cell r="AU518">
            <v>0.92</v>
          </cell>
          <cell r="AV518">
            <v>20</v>
          </cell>
          <cell r="AY518" t="str">
            <v/>
          </cell>
          <cell r="AZ518">
            <v>0.25</v>
          </cell>
          <cell r="BA518">
            <v>0.25</v>
          </cell>
          <cell r="BF518" t="str">
            <v>CLICK RAPID con carpenteria 07/01/2021</v>
          </cell>
        </row>
        <row r="519">
          <cell r="A519" t="str">
            <v>CLAUS S.R.L.</v>
          </cell>
          <cell r="B519" t="str">
            <v>www.claus.it</v>
          </cell>
          <cell r="D519" t="str">
            <v>VIA SECONDO CASADEI, 5</v>
          </cell>
          <cell r="E519" t="str">
            <v>47122</v>
          </cell>
          <cell r="F519" t="str">
            <v>FORLI'</v>
          </cell>
          <cell r="G519" t="str">
            <v>FC</v>
          </cell>
          <cell r="H519" t="str">
            <v>ITALIA</v>
          </cell>
          <cell r="M519" t="str">
            <v>SIG. FABIO STRADAIOLI</v>
          </cell>
          <cell r="N519" t="str">
            <v>0543 473610</v>
          </cell>
          <cell r="P519" t="str">
            <v>fabio.stradaioli@claus.it</v>
          </cell>
          <cell r="R519" t="str">
            <v>BONIFICO BANCARIO, ALLA DATA DELLA NOSTRA CONFERMA D'ORDINE</v>
          </cell>
          <cell r="Y519">
            <v>-0.04</v>
          </cell>
          <cell r="AT519">
            <v>-0.04</v>
          </cell>
          <cell r="AV519">
            <v>20</v>
          </cell>
          <cell r="AZ519">
            <v>0</v>
          </cell>
          <cell r="BA519">
            <v>0</v>
          </cell>
        </row>
        <row r="520">
          <cell r="A520" t="str">
            <v>CLIMAFENSTER DI PANERAI URSULA</v>
          </cell>
          <cell r="D520" t="str">
            <v>VIA TABOGA, 301</v>
          </cell>
          <cell r="E520" t="str">
            <v>33013</v>
          </cell>
          <cell r="F520" t="str">
            <v>GEMONA DEL FRIULI</v>
          </cell>
          <cell r="G520" t="str">
            <v>UD</v>
          </cell>
          <cell r="H520" t="str">
            <v>ITALIA</v>
          </cell>
          <cell r="J520" t="str">
            <v>02744980307</v>
          </cell>
          <cell r="M520" t="str">
            <v>UFFICIO ACQUISTI</v>
          </cell>
          <cell r="N520" t="str">
            <v>0432 980528</v>
          </cell>
          <cell r="P520" t="str">
            <v>info@climafenster.it</v>
          </cell>
          <cell r="R520" t="str">
            <v>BONIFICO BANCARIO, ALLA DATA DELLA NOSTRA CONFERMA D'ORDINE</v>
          </cell>
          <cell r="X520">
            <v>0.25</v>
          </cell>
          <cell r="Y520">
            <v>-0.04</v>
          </cell>
          <cell r="AB520">
            <v>0.25</v>
          </cell>
          <cell r="AC520">
            <v>0.25</v>
          </cell>
          <cell r="AD520">
            <v>0.25</v>
          </cell>
          <cell r="AE520">
            <v>0.25</v>
          </cell>
          <cell r="AF520">
            <v>0.25</v>
          </cell>
          <cell r="AG520">
            <v>0.25</v>
          </cell>
          <cell r="AH520">
            <v>0.25</v>
          </cell>
          <cell r="AI520">
            <v>0.25</v>
          </cell>
          <cell r="AJ520">
            <v>0.25</v>
          </cell>
          <cell r="AK520">
            <v>0.25</v>
          </cell>
          <cell r="AL520">
            <v>0.25</v>
          </cell>
          <cell r="AM520">
            <v>0.25</v>
          </cell>
          <cell r="AN520">
            <v>0.25</v>
          </cell>
          <cell r="AO520">
            <v>0.25</v>
          </cell>
          <cell r="AP520">
            <v>0.25</v>
          </cell>
          <cell r="AQ520">
            <v>0.25</v>
          </cell>
          <cell r="AR520">
            <v>0.25</v>
          </cell>
          <cell r="AS520">
            <v>0.25</v>
          </cell>
          <cell r="AT520">
            <v>-0.04</v>
          </cell>
          <cell r="AU520">
            <v>0.92</v>
          </cell>
          <cell r="AV520">
            <v>20</v>
          </cell>
          <cell r="AY520" t="str">
            <v/>
          </cell>
          <cell r="AZ520">
            <v>0.25</v>
          </cell>
          <cell r="BA520">
            <v>0.25</v>
          </cell>
        </row>
        <row r="521">
          <cell r="A521" t="str">
            <v>CLM LUCA CANTARELLO</v>
          </cell>
          <cell r="D521" t="str">
            <v>VIA DEL LAVORO, 39</v>
          </cell>
          <cell r="E521">
            <v>20060</v>
          </cell>
          <cell r="F521" t="str">
            <v>VIGNATE</v>
          </cell>
          <cell r="G521" t="str">
            <v>MI</v>
          </cell>
          <cell r="H521" t="str">
            <v>ITALIA</v>
          </cell>
          <cell r="J521" t="str">
            <v>12528340156</v>
          </cell>
          <cell r="M521" t="str">
            <v>UFFICIO ACQUISTI</v>
          </cell>
          <cell r="N521" t="str">
            <v>02 95364146</v>
          </cell>
          <cell r="P521" t="str">
            <v>luca.cantarello@c-l-m.it</v>
          </cell>
          <cell r="R521" t="str">
            <v>BONIFICO BANCARIO, ALLA DATA DELLA NOSTRA CONFERMA D'ORDINE</v>
          </cell>
          <cell r="X521">
            <v>0.25</v>
          </cell>
          <cell r="Y521">
            <v>-0.04</v>
          </cell>
          <cell r="AB521">
            <v>0.25</v>
          </cell>
          <cell r="AC521">
            <v>0.25</v>
          </cell>
          <cell r="AD521">
            <v>0.25</v>
          </cell>
          <cell r="AE521">
            <v>0.25</v>
          </cell>
          <cell r="AF521">
            <v>0.25</v>
          </cell>
          <cell r="AG521">
            <v>0.25</v>
          </cell>
          <cell r="AH521">
            <v>0.25</v>
          </cell>
          <cell r="AI521">
            <v>0.25</v>
          </cell>
          <cell r="AJ521">
            <v>0.25</v>
          </cell>
          <cell r="AK521">
            <v>0.25</v>
          </cell>
          <cell r="AL521">
            <v>0.25</v>
          </cell>
          <cell r="AM521">
            <v>0.25</v>
          </cell>
          <cell r="AN521">
            <v>0.25</v>
          </cell>
          <cell r="AO521">
            <v>0.25</v>
          </cell>
          <cell r="AP521">
            <v>0.25</v>
          </cell>
          <cell r="AQ521">
            <v>0.25</v>
          </cell>
          <cell r="AR521">
            <v>0.25</v>
          </cell>
          <cell r="AS521">
            <v>0.25</v>
          </cell>
          <cell r="AT521">
            <v>-0.04</v>
          </cell>
          <cell r="AU521">
            <v>0.92</v>
          </cell>
          <cell r="AV521">
            <v>20</v>
          </cell>
          <cell r="AY521" t="str">
            <v/>
          </cell>
          <cell r="AZ521">
            <v>0.25</v>
          </cell>
          <cell r="BA521">
            <v>0.25</v>
          </cell>
        </row>
        <row r="522">
          <cell r="A522" t="str">
            <v>CM CARBONELLI MICHELE</v>
          </cell>
          <cell r="D522" t="str">
            <v>VIA ROMA, 95</v>
          </cell>
          <cell r="E522">
            <v>22078</v>
          </cell>
          <cell r="F522" t="str">
            <v>TURATE</v>
          </cell>
          <cell r="G522" t="str">
            <v>CO</v>
          </cell>
          <cell r="H522" t="str">
            <v>ITALIA</v>
          </cell>
          <cell r="I522" t="str">
            <v>CRBMHL62E15I158E</v>
          </cell>
          <cell r="J522" t="str">
            <v>02566240137</v>
          </cell>
          <cell r="M522" t="str">
            <v>UFFICIO ACQUISTI</v>
          </cell>
          <cell r="N522" t="str">
            <v>02 9688599</v>
          </cell>
          <cell r="O522" t="str">
            <v>348 4940631</v>
          </cell>
          <cell r="P522" t="str">
            <v>carbonelli62@gmail.com - cm.carbonelli@tiscali.it</v>
          </cell>
          <cell r="R522" t="str">
            <v>BONIFICO BANCARIO, ALLA DATA DELLA NOSTRA CONFERMA D'ORDINE</v>
          </cell>
          <cell r="X522">
            <v>0.25</v>
          </cell>
          <cell r="Y522">
            <v>-0.04</v>
          </cell>
          <cell r="AB522">
            <v>0.25</v>
          </cell>
          <cell r="AC522">
            <v>0.25</v>
          </cell>
          <cell r="AD522">
            <v>0.25</v>
          </cell>
          <cell r="AE522">
            <v>0.25</v>
          </cell>
          <cell r="AF522">
            <v>0.25</v>
          </cell>
          <cell r="AG522">
            <v>0.25</v>
          </cell>
          <cell r="AH522">
            <v>0.25</v>
          </cell>
          <cell r="AI522">
            <v>0.25</v>
          </cell>
          <cell r="AJ522">
            <v>0.25</v>
          </cell>
          <cell r="AK522">
            <v>0.25</v>
          </cell>
          <cell r="AL522">
            <v>0.25</v>
          </cell>
          <cell r="AM522">
            <v>0.25</v>
          </cell>
          <cell r="AN522">
            <v>0.25</v>
          </cell>
          <cell r="AO522">
            <v>0.25</v>
          </cell>
          <cell r="AP522">
            <v>0.25</v>
          </cell>
          <cell r="AQ522">
            <v>0.25</v>
          </cell>
          <cell r="AR522">
            <v>0.25</v>
          </cell>
          <cell r="AS522">
            <v>0.25</v>
          </cell>
          <cell r="AT522">
            <v>-0.04</v>
          </cell>
          <cell r="AU522">
            <v>0.92</v>
          </cell>
          <cell r="AV522">
            <v>20</v>
          </cell>
          <cell r="AY522" t="str">
            <v/>
          </cell>
          <cell r="AZ522">
            <v>0.25</v>
          </cell>
          <cell r="BA522">
            <v>0.25</v>
          </cell>
        </row>
        <row r="523">
          <cell r="A523" t="str">
            <v>CM INFISSI E DESIGN</v>
          </cell>
          <cell r="D523" t="str">
            <v>VIALE COMMENDA, 192 194</v>
          </cell>
          <cell r="E523">
            <v>72100</v>
          </cell>
          <cell r="F523" t="str">
            <v>BRINDISI</v>
          </cell>
          <cell r="G523" t="str">
            <v>BR</v>
          </cell>
          <cell r="H523" t="str">
            <v>ITALIA</v>
          </cell>
          <cell r="I523" t="str">
            <v>CNSNLT67T45A662P</v>
          </cell>
          <cell r="J523" t="str">
            <v>07805490724</v>
          </cell>
          <cell r="M523" t="str">
            <v>UFFICIO ACQUISTI</v>
          </cell>
          <cell r="N523" t="str">
            <v>0831 1850013</v>
          </cell>
          <cell r="R523" t="str">
            <v>BONIFICO BANCARIO, ALLA DATA DELLA NOSTRA CONFERMA D'ORDINE</v>
          </cell>
          <cell r="X523">
            <v>0.25</v>
          </cell>
          <cell r="Y523">
            <v>-0.04</v>
          </cell>
          <cell r="AB523">
            <v>0.25</v>
          </cell>
          <cell r="AC523">
            <v>0.25</v>
          </cell>
          <cell r="AD523">
            <v>0.25</v>
          </cell>
          <cell r="AE523">
            <v>0.25</v>
          </cell>
          <cell r="AF523">
            <v>0.25</v>
          </cell>
          <cell r="AG523">
            <v>0.25</v>
          </cell>
          <cell r="AH523">
            <v>0.25</v>
          </cell>
          <cell r="AI523">
            <v>0.25</v>
          </cell>
          <cell r="AJ523">
            <v>0.25</v>
          </cell>
          <cell r="AK523">
            <v>0.25</v>
          </cell>
          <cell r="AL523">
            <v>0.25</v>
          </cell>
          <cell r="AM523">
            <v>0.25</v>
          </cell>
          <cell r="AN523">
            <v>0.25</v>
          </cell>
          <cell r="AO523">
            <v>0.25</v>
          </cell>
          <cell r="AP523">
            <v>0.25</v>
          </cell>
          <cell r="AQ523">
            <v>0.25</v>
          </cell>
          <cell r="AR523">
            <v>0.25</v>
          </cell>
          <cell r="AS523">
            <v>0.25</v>
          </cell>
          <cell r="AT523">
            <v>-0.04</v>
          </cell>
          <cell r="AV523">
            <v>20</v>
          </cell>
          <cell r="AZ523">
            <v>0.25</v>
          </cell>
          <cell r="BA523">
            <v>0.25</v>
          </cell>
        </row>
        <row r="524">
          <cell r="A524" t="str">
            <v>CM SERRAMENTI DI COMMISSO MICHELE E CO.</v>
          </cell>
          <cell r="D524" t="str">
            <v>VIA CIRCONVALLAZIONE NORD, 60</v>
          </cell>
          <cell r="E524">
            <v>89048</v>
          </cell>
          <cell r="F524" t="str">
            <v>SIDERNO</v>
          </cell>
          <cell r="G524" t="str">
            <v>RC</v>
          </cell>
          <cell r="H524" t="str">
            <v>ITALIA</v>
          </cell>
          <cell r="J524" t="str">
            <v>02656750805</v>
          </cell>
          <cell r="K524" t="str">
            <v>M5UXCR1</v>
          </cell>
          <cell r="M524" t="str">
            <v>UFFICIO ACQUISTI</v>
          </cell>
          <cell r="N524" t="str">
            <v>0964 388034</v>
          </cell>
          <cell r="O524" t="str">
            <v>393 4646709 COMMISSO MICHELE</v>
          </cell>
          <cell r="P524" t="str">
            <v>cmserramenti@cmserramenti.it</v>
          </cell>
          <cell r="R524" t="str">
            <v>BONIFICO BANCARIO, ALLA DATA DELLA NOSTRA CONFERMA D'ORDINE</v>
          </cell>
          <cell r="X524">
            <v>0.25</v>
          </cell>
          <cell r="Y524">
            <v>-0.04</v>
          </cell>
          <cell r="AB524">
            <v>0.25</v>
          </cell>
          <cell r="AC524">
            <v>0.25</v>
          </cell>
          <cell r="AD524">
            <v>0.25</v>
          </cell>
          <cell r="AE524">
            <v>0.25</v>
          </cell>
          <cell r="AF524">
            <v>0.25</v>
          </cell>
          <cell r="AG524">
            <v>0.25</v>
          </cell>
          <cell r="AH524">
            <v>0.25</v>
          </cell>
          <cell r="AI524">
            <v>0.25</v>
          </cell>
          <cell r="AJ524">
            <v>0.25</v>
          </cell>
          <cell r="AK524">
            <v>0.25</v>
          </cell>
          <cell r="AL524">
            <v>0.25</v>
          </cell>
          <cell r="AM524">
            <v>0.25</v>
          </cell>
          <cell r="AN524">
            <v>0.25</v>
          </cell>
          <cell r="AO524">
            <v>0.25</v>
          </cell>
          <cell r="AP524">
            <v>0.25</v>
          </cell>
          <cell r="AQ524">
            <v>0.25</v>
          </cell>
          <cell r="AR524">
            <v>0.25</v>
          </cell>
          <cell r="AS524">
            <v>0.25</v>
          </cell>
          <cell r="AT524">
            <v>-0.04</v>
          </cell>
          <cell r="AU524">
            <v>0.92</v>
          </cell>
          <cell r="AV524">
            <v>20</v>
          </cell>
          <cell r="AW524" t="str">
            <v>PIETRO OLIVADOTI</v>
          </cell>
          <cell r="AX524">
            <v>0.95</v>
          </cell>
          <cell r="AY524" t="str">
            <v/>
          </cell>
          <cell r="AZ524">
            <v>0.25</v>
          </cell>
          <cell r="BA524">
            <v>0.25</v>
          </cell>
        </row>
        <row r="525">
          <cell r="A525" t="str">
            <v>CM SERRAMENTI SRL</v>
          </cell>
          <cell r="D525" t="str">
            <v>VIA DE AMICIS 5/D</v>
          </cell>
          <cell r="E525" t="str">
            <v>44012</v>
          </cell>
          <cell r="F525" t="str">
            <v>BONDENO</v>
          </cell>
          <cell r="G525" t="str">
            <v>FE</v>
          </cell>
          <cell r="H525" t="str">
            <v>ITALIA</v>
          </cell>
          <cell r="J525" t="str">
            <v>01525160386</v>
          </cell>
          <cell r="M525" t="str">
            <v>UFFICIO ACQUISTI</v>
          </cell>
          <cell r="N525" t="str">
            <v>051 972167</v>
          </cell>
          <cell r="R525" t="str">
            <v>BONIFICO BANCARIO, ALLA DATA DELLA NOSTRA CONFERMA D'ORDINE</v>
          </cell>
          <cell r="X525">
            <v>0.25</v>
          </cell>
          <cell r="Y525">
            <v>-0.04</v>
          </cell>
          <cell r="AB525">
            <v>0.25</v>
          </cell>
          <cell r="AC525">
            <v>0.25</v>
          </cell>
          <cell r="AD525">
            <v>0.25</v>
          </cell>
          <cell r="AE525">
            <v>0.25</v>
          </cell>
          <cell r="AF525">
            <v>0.25</v>
          </cell>
          <cell r="AG525">
            <v>0.25</v>
          </cell>
          <cell r="AH525">
            <v>0.25</v>
          </cell>
          <cell r="AI525">
            <v>0.25</v>
          </cell>
          <cell r="AJ525">
            <v>0.25</v>
          </cell>
          <cell r="AK525">
            <v>0.25</v>
          </cell>
          <cell r="AL525">
            <v>0.25</v>
          </cell>
          <cell r="AM525">
            <v>0.25</v>
          </cell>
          <cell r="AN525">
            <v>0.25</v>
          </cell>
          <cell r="AO525">
            <v>0.25</v>
          </cell>
          <cell r="AP525">
            <v>0.25</v>
          </cell>
          <cell r="AQ525">
            <v>0.25</v>
          </cell>
          <cell r="AR525">
            <v>0.25</v>
          </cell>
          <cell r="AS525">
            <v>0.25</v>
          </cell>
          <cell r="AT525">
            <v>-0.04</v>
          </cell>
          <cell r="AU525">
            <v>0.92</v>
          </cell>
          <cell r="AV525">
            <v>20</v>
          </cell>
          <cell r="AY525" t="str">
            <v/>
          </cell>
          <cell r="AZ525">
            <v>0.25</v>
          </cell>
          <cell r="BA525">
            <v>0.25</v>
          </cell>
        </row>
        <row r="526">
          <cell r="A526" t="str">
            <v>CMC SERRAMENTI SAS</v>
          </cell>
          <cell r="D526" t="str">
            <v>CORSO XXVII MARZO 18</v>
          </cell>
          <cell r="E526" t="str">
            <v>27058</v>
          </cell>
          <cell r="F526" t="str">
            <v>VOGHERA</v>
          </cell>
          <cell r="G526" t="str">
            <v>PV</v>
          </cell>
          <cell r="H526" t="str">
            <v>ITALIA</v>
          </cell>
          <cell r="M526" t="str">
            <v>UFFICIO ACQUISTI</v>
          </cell>
          <cell r="N526" t="str">
            <v>0383 213486</v>
          </cell>
          <cell r="O526" t="str">
            <v>338 4434016 CENICCOLA FRANCESCO</v>
          </cell>
          <cell r="R526" t="str">
            <v>BONIFICO BANCARIO, ALLA DATA DELLA NOSTRA CONFERMA D'ORDINE</v>
          </cell>
          <cell r="X526">
            <v>0.25</v>
          </cell>
          <cell r="Y526">
            <v>-0.04</v>
          </cell>
          <cell r="AB526">
            <v>0.25</v>
          </cell>
          <cell r="AC526">
            <v>0.25</v>
          </cell>
          <cell r="AD526">
            <v>0.25</v>
          </cell>
          <cell r="AE526">
            <v>0.25</v>
          </cell>
          <cell r="AF526">
            <v>0.25</v>
          </cell>
          <cell r="AG526">
            <v>0.25</v>
          </cell>
          <cell r="AH526">
            <v>0.25</v>
          </cell>
          <cell r="AI526">
            <v>0.25</v>
          </cell>
          <cell r="AJ526">
            <v>0.25</v>
          </cell>
          <cell r="AK526">
            <v>0.25</v>
          </cell>
          <cell r="AL526">
            <v>0.25</v>
          </cell>
          <cell r="AM526">
            <v>0.25</v>
          </cell>
          <cell r="AN526">
            <v>0.25</v>
          </cell>
          <cell r="AO526">
            <v>0.25</v>
          </cell>
          <cell r="AP526">
            <v>0.25</v>
          </cell>
          <cell r="AQ526">
            <v>0.25</v>
          </cell>
          <cell r="AR526">
            <v>0.25</v>
          </cell>
          <cell r="AS526">
            <v>0.25</v>
          </cell>
          <cell r="AT526">
            <v>-0.04</v>
          </cell>
          <cell r="AU526">
            <v>0.92</v>
          </cell>
          <cell r="AV526">
            <v>20</v>
          </cell>
          <cell r="AY526" t="str">
            <v/>
          </cell>
          <cell r="AZ526">
            <v>0.25</v>
          </cell>
          <cell r="BA526">
            <v>0.25</v>
          </cell>
        </row>
        <row r="527">
          <cell r="A527" t="str">
            <v>CMC SRL</v>
          </cell>
          <cell r="B527" t="str">
            <v>GIORGIO CARDELLI, COD. UNIVOCO: X2PH38J</v>
          </cell>
          <cell r="D527" t="str">
            <v xml:space="preserve">VIA ASPROMONTE, 4 </v>
          </cell>
          <cell r="F527" t="str">
            <v xml:space="preserve">CIVITANOVA MARCHE </v>
          </cell>
          <cell r="G527" t="str">
            <v>MC</v>
          </cell>
          <cell r="H527" t="str">
            <v>ITALIA</v>
          </cell>
          <cell r="J527" t="str">
            <v>01661730430</v>
          </cell>
          <cell r="M527" t="str">
            <v>UFFICIO ACQUISTI</v>
          </cell>
          <cell r="O527" t="str">
            <v>351 5970888</v>
          </cell>
          <cell r="P527" t="str">
            <v>giorgiocard79@gmail.com</v>
          </cell>
          <cell r="R527" t="str">
            <v>BONIFICO BANCARIO, ALLA DATA DELLA NOSTRA CONFERMA D'ORDINE</v>
          </cell>
          <cell r="X527">
            <v>0.25</v>
          </cell>
          <cell r="Y527">
            <v>-0.04</v>
          </cell>
          <cell r="AB527">
            <v>0.25</v>
          </cell>
          <cell r="AC527">
            <v>0.25</v>
          </cell>
          <cell r="AD527">
            <v>0.25</v>
          </cell>
          <cell r="AE527">
            <v>0.25</v>
          </cell>
          <cell r="AF527">
            <v>0.25</v>
          </cell>
          <cell r="AG527">
            <v>0.25</v>
          </cell>
          <cell r="AH527">
            <v>0.25</v>
          </cell>
          <cell r="AI527">
            <v>0.25</v>
          </cell>
          <cell r="AJ527">
            <v>0.25</v>
          </cell>
          <cell r="AK527">
            <v>0.25</v>
          </cell>
          <cell r="AL527">
            <v>0.25</v>
          </cell>
          <cell r="AM527">
            <v>0.25</v>
          </cell>
          <cell r="AN527">
            <v>0.25</v>
          </cell>
          <cell r="AO527">
            <v>0.25</v>
          </cell>
          <cell r="AP527">
            <v>0.25</v>
          </cell>
          <cell r="AQ527">
            <v>0.25</v>
          </cell>
          <cell r="AR527">
            <v>0.25</v>
          </cell>
          <cell r="AS527">
            <v>0.25</v>
          </cell>
          <cell r="AT527">
            <v>-0.04</v>
          </cell>
          <cell r="AU527">
            <v>0.92</v>
          </cell>
          <cell r="AV527">
            <v>20</v>
          </cell>
          <cell r="AY527" t="str">
            <v/>
          </cell>
          <cell r="AZ527">
            <v>0.25</v>
          </cell>
          <cell r="BA527">
            <v>0.25</v>
          </cell>
        </row>
        <row r="528">
          <cell r="A528" t="str">
            <v>CMO SERRAMENTI</v>
          </cell>
          <cell r="B528" t="str">
            <v>INTERESSATO AL CAMPIONE PER LA NUOVA MOSTRA</v>
          </cell>
          <cell r="D528" t="str">
            <v>STRADA COMUNALE SU PARIS, 16</v>
          </cell>
          <cell r="E528" t="str">
            <v>09045</v>
          </cell>
          <cell r="F528" t="str">
            <v>QUARTU SANT'ELENA</v>
          </cell>
          <cell r="G528" t="str">
            <v>CA</v>
          </cell>
          <cell r="H528" t="str">
            <v>ITALIA</v>
          </cell>
          <cell r="M528" t="str">
            <v>UFFICIO ACQUISTI</v>
          </cell>
          <cell r="O528" t="str">
            <v xml:space="preserve">334 8625654   334 3494999 </v>
          </cell>
          <cell r="P528" t="str">
            <v>cmo.serramenti@tiscali.it</v>
          </cell>
          <cell r="R528" t="str">
            <v>BONIFICO BANCARIO, ALLA DATA DELLA NOSTRA CONFERMA D'ORDINE</v>
          </cell>
          <cell r="X528">
            <v>0.2</v>
          </cell>
          <cell r="Y528">
            <v>-0.04</v>
          </cell>
          <cell r="AB528">
            <v>0.2</v>
          </cell>
          <cell r="AC528">
            <v>0.2</v>
          </cell>
          <cell r="AD528">
            <v>0.2</v>
          </cell>
          <cell r="AE528">
            <v>0.2</v>
          </cell>
          <cell r="AF528">
            <v>0.2</v>
          </cell>
          <cell r="AG528">
            <v>0.2</v>
          </cell>
          <cell r="AH528">
            <v>0.2</v>
          </cell>
          <cell r="AI528">
            <v>0.2</v>
          </cell>
          <cell r="AJ528">
            <v>0.2</v>
          </cell>
          <cell r="AK528">
            <v>0.2</v>
          </cell>
          <cell r="AL528">
            <v>0.2</v>
          </cell>
          <cell r="AM528">
            <v>0.2</v>
          </cell>
          <cell r="AN528">
            <v>0.2</v>
          </cell>
          <cell r="AO528">
            <v>0.2</v>
          </cell>
          <cell r="AP528">
            <v>0.2</v>
          </cell>
          <cell r="AQ528">
            <v>0.2</v>
          </cell>
          <cell r="AR528">
            <v>0.2</v>
          </cell>
          <cell r="AS528">
            <v>0.2</v>
          </cell>
          <cell r="AT528">
            <v>-0.04</v>
          </cell>
          <cell r="AU528">
            <v>0.92</v>
          </cell>
          <cell r="AV528">
            <v>20</v>
          </cell>
          <cell r="AZ528">
            <v>0.2</v>
          </cell>
          <cell r="BA528">
            <v>0.2</v>
          </cell>
        </row>
        <row r="529">
          <cell r="A529" t="str">
            <v>CMP SERRAMENTI</v>
          </cell>
          <cell r="B529" t="str">
            <v>SALVATORE COMPAGNONE, JOSEF</v>
          </cell>
          <cell r="D529" t="str">
            <v>VIA DEL CONSORZIO, 2/A</v>
          </cell>
          <cell r="F529" t="str">
            <v>FALCONARA M.</v>
          </cell>
          <cell r="G529" t="str">
            <v>AN</v>
          </cell>
          <cell r="H529" t="str">
            <v>ITALIA</v>
          </cell>
          <cell r="J529" t="str">
            <v>02214390425</v>
          </cell>
          <cell r="M529" t="str">
            <v>UFFICIO ACQUISTI</v>
          </cell>
          <cell r="O529" t="str">
            <v>333 8992312</v>
          </cell>
          <cell r="R529" t="str">
            <v>BONIFICO BANCARIO, ALLA DATA DELLA NOSTRA CONFERMA D'ORDINE</v>
          </cell>
          <cell r="W529" t="str">
            <v>ACQUA SALATA</v>
          </cell>
          <cell r="X529">
            <v>0.25</v>
          </cell>
          <cell r="Y529">
            <v>-0.04</v>
          </cell>
          <cell r="AB529">
            <v>0.25</v>
          </cell>
          <cell r="AC529">
            <v>0.25</v>
          </cell>
          <cell r="AD529">
            <v>0.25</v>
          </cell>
          <cell r="AE529">
            <v>0.25</v>
          </cell>
          <cell r="AF529">
            <v>0.25</v>
          </cell>
          <cell r="AG529">
            <v>0.25</v>
          </cell>
          <cell r="AH529">
            <v>0.25</v>
          </cell>
          <cell r="AI529">
            <v>0.25</v>
          </cell>
          <cell r="AJ529">
            <v>0.25</v>
          </cell>
          <cell r="AK529">
            <v>0.25</v>
          </cell>
          <cell r="AL529">
            <v>0.25</v>
          </cell>
          <cell r="AM529">
            <v>0.25</v>
          </cell>
          <cell r="AN529">
            <v>0.25</v>
          </cell>
          <cell r="AO529">
            <v>0.25</v>
          </cell>
          <cell r="AP529">
            <v>0.25</v>
          </cell>
          <cell r="AQ529">
            <v>0.25</v>
          </cell>
          <cell r="AR529">
            <v>0.25</v>
          </cell>
          <cell r="AS529">
            <v>0.25</v>
          </cell>
          <cell r="AT529">
            <v>-0.04</v>
          </cell>
          <cell r="AU529">
            <v>0.92</v>
          </cell>
          <cell r="AV529">
            <v>20</v>
          </cell>
          <cell r="AZ529">
            <v>0.25</v>
          </cell>
          <cell r="BA529">
            <v>0.25</v>
          </cell>
        </row>
        <row r="530">
          <cell r="A530" t="str">
            <v>CMT SERRAMENTI</v>
          </cell>
          <cell r="D530" t="str">
            <v>VIALE RIMEMBRANZE, 58</v>
          </cell>
          <cell r="E530">
            <v>21052</v>
          </cell>
          <cell r="F530" t="str">
            <v>BUSTO ARSIZIO</v>
          </cell>
          <cell r="G530" t="str">
            <v>VA</v>
          </cell>
          <cell r="H530" t="str">
            <v>ITALIA</v>
          </cell>
          <cell r="M530" t="str">
            <v>UFFICIO ACQUISTI</v>
          </cell>
          <cell r="N530" t="str">
            <v>0331 679641</v>
          </cell>
          <cell r="O530" t="str">
            <v>338 2002061</v>
          </cell>
          <cell r="P530" t="str">
            <v>info@cmtserramenti.it</v>
          </cell>
          <cell r="R530" t="str">
            <v>BONIFICO BANCARIO, ALLA DATA DELLA NOSTRA CONFERMA D'ORDINE</v>
          </cell>
          <cell r="X530">
            <v>0.25</v>
          </cell>
          <cell r="Y530">
            <v>-0.04</v>
          </cell>
          <cell r="AB530">
            <v>0.25</v>
          </cell>
          <cell r="AC530">
            <v>0.25</v>
          </cell>
          <cell r="AD530">
            <v>0.25</v>
          </cell>
          <cell r="AE530">
            <v>0.25</v>
          </cell>
          <cell r="AF530">
            <v>0.25</v>
          </cell>
          <cell r="AG530">
            <v>0.25</v>
          </cell>
          <cell r="AH530">
            <v>0.25</v>
          </cell>
          <cell r="AI530">
            <v>0.25</v>
          </cell>
          <cell r="AJ530">
            <v>0.25</v>
          </cell>
          <cell r="AK530">
            <v>0.25</v>
          </cell>
          <cell r="AL530">
            <v>0.25</v>
          </cell>
          <cell r="AM530">
            <v>0.25</v>
          </cell>
          <cell r="AN530">
            <v>0.25</v>
          </cell>
          <cell r="AO530">
            <v>0.25</v>
          </cell>
          <cell r="AP530">
            <v>0.25</v>
          </cell>
          <cell r="AQ530">
            <v>0.25</v>
          </cell>
          <cell r="AR530">
            <v>0.25</v>
          </cell>
          <cell r="AS530">
            <v>0.25</v>
          </cell>
          <cell r="AT530">
            <v>-0.04</v>
          </cell>
          <cell r="AU530">
            <v>0.92</v>
          </cell>
          <cell r="AV530">
            <v>20</v>
          </cell>
          <cell r="AY530" t="str">
            <v/>
          </cell>
          <cell r="AZ530">
            <v>0.25</v>
          </cell>
          <cell r="BA530">
            <v>0.25</v>
          </cell>
        </row>
        <row r="531">
          <cell r="A531" t="str">
            <v>CMV VALLOGGIA</v>
          </cell>
          <cell r="D531" t="str">
            <v>VIA VERDI, 101</v>
          </cell>
          <cell r="E531">
            <v>28021</v>
          </cell>
          <cell r="F531" t="str">
            <v>BORGOMANERO</v>
          </cell>
          <cell r="G531" t="str">
            <v>NO</v>
          </cell>
          <cell r="H531" t="str">
            <v>ITALIA</v>
          </cell>
          <cell r="I531" t="str">
            <v>00204610034</v>
          </cell>
          <cell r="J531" t="str">
            <v>00204610034</v>
          </cell>
          <cell r="K531" t="str">
            <v>T9K4ZHO</v>
          </cell>
          <cell r="M531" t="str">
            <v>UFFICIO ACQUISTI</v>
          </cell>
          <cell r="N531" t="str">
            <v>0322 846795</v>
          </cell>
          <cell r="O531" t="str">
            <v>347 1406465</v>
          </cell>
          <cell r="P531" t="str">
            <v>morgana.valloggia@cmvsrl.net</v>
          </cell>
          <cell r="R531" t="str">
            <v>BONIFICO BANCARIO, ALLA DATA DELLA NOSTRA CONFERMA D'ORDINE</v>
          </cell>
          <cell r="X531">
            <v>0.25</v>
          </cell>
          <cell r="Y531">
            <v>-0.04</v>
          </cell>
          <cell r="AB531">
            <v>0.25</v>
          </cell>
          <cell r="AC531">
            <v>0.25</v>
          </cell>
          <cell r="AD531">
            <v>0.25</v>
          </cell>
          <cell r="AE531">
            <v>0.25</v>
          </cell>
          <cell r="AF531">
            <v>0.25</v>
          </cell>
          <cell r="AG531">
            <v>0.25</v>
          </cell>
          <cell r="AH531">
            <v>0.25</v>
          </cell>
          <cell r="AI531">
            <v>0.25</v>
          </cell>
          <cell r="AJ531">
            <v>0.25</v>
          </cell>
          <cell r="AK531">
            <v>0.25</v>
          </cell>
          <cell r="AL531">
            <v>0.25</v>
          </cell>
          <cell r="AM531">
            <v>0.25</v>
          </cell>
          <cell r="AN531">
            <v>0.25</v>
          </cell>
          <cell r="AO531">
            <v>0.25</v>
          </cell>
          <cell r="AP531">
            <v>0.25</v>
          </cell>
          <cell r="AQ531">
            <v>0.25</v>
          </cell>
          <cell r="AR531">
            <v>0.25</v>
          </cell>
          <cell r="AS531">
            <v>0.25</v>
          </cell>
          <cell r="AT531">
            <v>-0.04</v>
          </cell>
          <cell r="AU531">
            <v>0.92</v>
          </cell>
          <cell r="AV531">
            <v>20</v>
          </cell>
          <cell r="AZ531">
            <v>0.25</v>
          </cell>
          <cell r="BA531">
            <v>0.25</v>
          </cell>
        </row>
        <row r="532">
          <cell r="A532" t="str">
            <v>CO.I.M. Srl</v>
          </cell>
          <cell r="D532" t="str">
            <v>ZONA ART.- STRADA 2-LOTTO 124- C. DA MUGNO</v>
          </cell>
          <cell r="E532">
            <v>97100</v>
          </cell>
          <cell r="F532" t="str">
            <v>RAGUSA</v>
          </cell>
          <cell r="G532" t="str">
            <v>RG</v>
          </cell>
          <cell r="H532" t="str">
            <v>ITALIA</v>
          </cell>
          <cell r="I532" t="str">
            <v>01603090885</v>
          </cell>
          <cell r="J532" t="str">
            <v>01603090885</v>
          </cell>
          <cell r="M532" t="str">
            <v>UFFICIO ACQUISTI</v>
          </cell>
          <cell r="N532" t="str">
            <v>0932 642252</v>
          </cell>
          <cell r="P532" t="str">
            <v>info@coimdipiccione.it</v>
          </cell>
          <cell r="R532" t="str">
            <v>BONIFICO BANCARIO, ALLA DATA DELLA NOSTRA CONFERMA D'ORDINE</v>
          </cell>
          <cell r="X532">
            <v>0.25</v>
          </cell>
          <cell r="Y532">
            <v>-0.04</v>
          </cell>
          <cell r="AB532">
            <v>0.25</v>
          </cell>
          <cell r="AC532">
            <v>0.25</v>
          </cell>
          <cell r="AD532">
            <v>0.25</v>
          </cell>
          <cell r="AE532">
            <v>0.25</v>
          </cell>
          <cell r="AF532">
            <v>0.25</v>
          </cell>
          <cell r="AG532">
            <v>0.25</v>
          </cell>
          <cell r="AH532">
            <v>0.25</v>
          </cell>
          <cell r="AI532">
            <v>0.25</v>
          </cell>
          <cell r="AJ532">
            <v>0.25</v>
          </cell>
          <cell r="AK532">
            <v>0.25</v>
          </cell>
          <cell r="AL532">
            <v>0.25</v>
          </cell>
          <cell r="AM532">
            <v>0.25</v>
          </cell>
          <cell r="AN532">
            <v>0.25</v>
          </cell>
          <cell r="AO532">
            <v>0.25</v>
          </cell>
          <cell r="AP532">
            <v>0.25</v>
          </cell>
          <cell r="AQ532">
            <v>0.25</v>
          </cell>
          <cell r="AR532">
            <v>0.25</v>
          </cell>
          <cell r="AS532">
            <v>0.25</v>
          </cell>
          <cell r="AT532">
            <v>-0.04</v>
          </cell>
          <cell r="AU532">
            <v>0.92</v>
          </cell>
          <cell r="AV532">
            <v>20</v>
          </cell>
          <cell r="AY532" t="str">
            <v/>
          </cell>
          <cell r="AZ532">
            <v>0.25</v>
          </cell>
          <cell r="BA532">
            <v>0.25</v>
          </cell>
        </row>
        <row r="533">
          <cell r="A533" t="str">
            <v>CO.INF.INFISSI</v>
          </cell>
          <cell r="B533" t="str">
            <v>30/03/23 LAVORAVANO CON ACQUASTOP ANNI FA. POI NON HANNO PIU' AVUTO RICHIESTE. ORA LAVORANO CON RIVENDITORI. NON INTERESSATI</v>
          </cell>
          <cell r="D533" t="str">
            <v>VIA ROMA, 328</v>
          </cell>
          <cell r="E533" t="str">
            <v>64014</v>
          </cell>
          <cell r="F533" t="str">
            <v>MARTINSICURO</v>
          </cell>
          <cell r="G533" t="str">
            <v>TE</v>
          </cell>
          <cell r="H533" t="str">
            <v>ITALIA</v>
          </cell>
          <cell r="M533" t="str">
            <v>UFFICIO ACQUISTI</v>
          </cell>
          <cell r="N533" t="str">
            <v>0861 796663</v>
          </cell>
          <cell r="P533" t="str">
            <v>coinf@coinf.net</v>
          </cell>
          <cell r="R533" t="str">
            <v>BONIFICO BANCARIO, ALLA DATA DELLA NOSTRA CONFERMA D'ORDINE</v>
          </cell>
          <cell r="X533">
            <v>0.2</v>
          </cell>
          <cell r="Y533">
            <v>-0.04</v>
          </cell>
          <cell r="AB533">
            <v>0.2</v>
          </cell>
          <cell r="AC533">
            <v>0.2</v>
          </cell>
          <cell r="AD533">
            <v>0.2</v>
          </cell>
          <cell r="AE533">
            <v>0.2</v>
          </cell>
          <cell r="AF533">
            <v>0.2</v>
          </cell>
          <cell r="AG533">
            <v>0.2</v>
          </cell>
          <cell r="AH533">
            <v>0.2</v>
          </cell>
          <cell r="AI533">
            <v>0.2</v>
          </cell>
          <cell r="AJ533">
            <v>0.2</v>
          </cell>
          <cell r="AK533">
            <v>0.2</v>
          </cell>
          <cell r="AL533">
            <v>0.2</v>
          </cell>
          <cell r="AM533">
            <v>0.2</v>
          </cell>
          <cell r="AN533">
            <v>0.2</v>
          </cell>
          <cell r="AO533">
            <v>0.2</v>
          </cell>
          <cell r="AP533">
            <v>0.2</v>
          </cell>
          <cell r="AQ533">
            <v>0.2</v>
          </cell>
          <cell r="AR533">
            <v>0.2</v>
          </cell>
          <cell r="AS533">
            <v>0.2</v>
          </cell>
          <cell r="AT533">
            <v>-0.04</v>
          </cell>
          <cell r="AU533">
            <v>0.92</v>
          </cell>
          <cell r="AV533">
            <v>20</v>
          </cell>
          <cell r="AZ533">
            <v>0.2</v>
          </cell>
          <cell r="BA533">
            <v>0.2</v>
          </cell>
        </row>
        <row r="534">
          <cell r="A534" t="str">
            <v>CO.M.SIDER SAS</v>
          </cell>
          <cell r="D534" t="str">
            <v>VIA DELL'INDUSTRIA, 5</v>
          </cell>
          <cell r="E534" t="str">
            <v>04011</v>
          </cell>
          <cell r="F534" t="str">
            <v>APRILIA</v>
          </cell>
          <cell r="G534" t="str">
            <v>LT</v>
          </cell>
          <cell r="H534" t="str">
            <v>ITALIA</v>
          </cell>
          <cell r="J534" t="str">
            <v>01960540597</v>
          </cell>
          <cell r="M534" t="str">
            <v>UFFICIO ACQUISTI</v>
          </cell>
          <cell r="N534" t="str">
            <v>06 920421</v>
          </cell>
          <cell r="P534" t="str">
            <v>info@comsider.net</v>
          </cell>
          <cell r="R534" t="str">
            <v>BONIFICO BANCARIO, ALLA DATA DELLA NOSTRA CONFERMA D'ORDINE</v>
          </cell>
          <cell r="X534">
            <v>0.2</v>
          </cell>
          <cell r="Y534">
            <v>-0.04</v>
          </cell>
          <cell r="AB534">
            <v>0.2</v>
          </cell>
          <cell r="AC534">
            <v>0.2</v>
          </cell>
          <cell r="AD534">
            <v>0.2</v>
          </cell>
          <cell r="AE534">
            <v>0.2</v>
          </cell>
          <cell r="AF534">
            <v>0.2</v>
          </cell>
          <cell r="AG534">
            <v>0.2</v>
          </cell>
          <cell r="AH534">
            <v>0.2</v>
          </cell>
          <cell r="AI534">
            <v>0.2</v>
          </cell>
          <cell r="AJ534">
            <v>0.2</v>
          </cell>
          <cell r="AK534">
            <v>0.2</v>
          </cell>
          <cell r="AL534">
            <v>0.2</v>
          </cell>
          <cell r="AM534">
            <v>0.2</v>
          </cell>
          <cell r="AN534">
            <v>0.2</v>
          </cell>
          <cell r="AO534">
            <v>0.2</v>
          </cell>
          <cell r="AP534">
            <v>0.2</v>
          </cell>
          <cell r="AQ534">
            <v>0.2</v>
          </cell>
          <cell r="AR534">
            <v>0.2</v>
          </cell>
          <cell r="AS534">
            <v>0.2</v>
          </cell>
          <cell r="AT534">
            <v>-0.04</v>
          </cell>
          <cell r="AU534">
            <v>0.92</v>
          </cell>
          <cell r="AV534">
            <v>20</v>
          </cell>
          <cell r="AZ534">
            <v>0.2</v>
          </cell>
          <cell r="BA534">
            <v>0.2</v>
          </cell>
        </row>
        <row r="535">
          <cell r="A535" t="str">
            <v>CO.PE.CO.SRL</v>
          </cell>
          <cell r="D535" t="str">
            <v>VIA VALLE DEI PREI, 1</v>
          </cell>
          <cell r="E535">
            <v>22076</v>
          </cell>
          <cell r="F535" t="str">
            <v>MOZZATE</v>
          </cell>
          <cell r="G535" t="str">
            <v>CO</v>
          </cell>
          <cell r="H535" t="str">
            <v>ITALIA</v>
          </cell>
          <cell r="J535" t="str">
            <v>00765390133</v>
          </cell>
          <cell r="M535" t="str">
            <v>UFFICIO ACQUISTI</v>
          </cell>
          <cell r="N535" t="str">
            <v>0331 831129</v>
          </cell>
          <cell r="P535" t="str">
            <v>copeco.srl@libero.it</v>
          </cell>
          <cell r="R535" t="str">
            <v>BONIFICO BANCARIO, ALLA DATA DELLA NOSTRA CONFERMA D'ORDINE</v>
          </cell>
          <cell r="X535">
            <v>0.25</v>
          </cell>
          <cell r="Y535">
            <v>-0.04</v>
          </cell>
          <cell r="AB535">
            <v>0.25</v>
          </cell>
          <cell r="AC535">
            <v>0.25</v>
          </cell>
          <cell r="AD535">
            <v>0.25</v>
          </cell>
          <cell r="AE535">
            <v>0.25</v>
          </cell>
          <cell r="AF535">
            <v>0.25</v>
          </cell>
          <cell r="AG535">
            <v>0.25</v>
          </cell>
          <cell r="AH535">
            <v>0.25</v>
          </cell>
          <cell r="AI535">
            <v>0.25</v>
          </cell>
          <cell r="AJ535">
            <v>0.25</v>
          </cell>
          <cell r="AK535">
            <v>0.25</v>
          </cell>
          <cell r="AL535">
            <v>0.25</v>
          </cell>
          <cell r="AM535">
            <v>0.25</v>
          </cell>
          <cell r="AN535">
            <v>0.25</v>
          </cell>
          <cell r="AO535">
            <v>0.25</v>
          </cell>
          <cell r="AP535">
            <v>0.25</v>
          </cell>
          <cell r="AQ535">
            <v>0.25</v>
          </cell>
          <cell r="AR535">
            <v>0.25</v>
          </cell>
          <cell r="AS535">
            <v>0.25</v>
          </cell>
          <cell r="AT535">
            <v>-0.04</v>
          </cell>
          <cell r="AU535">
            <v>0.92</v>
          </cell>
          <cell r="AV535">
            <v>20</v>
          </cell>
          <cell r="AY535" t="str">
            <v/>
          </cell>
          <cell r="AZ535">
            <v>0.25</v>
          </cell>
          <cell r="BA535">
            <v>0.25</v>
          </cell>
        </row>
        <row r="536">
          <cell r="A536" t="str">
            <v xml:space="preserve">COAL SRL </v>
          </cell>
          <cell r="D536" t="str">
            <v>VIA PER GREZZAGO, 55</v>
          </cell>
          <cell r="E536">
            <v>20069</v>
          </cell>
          <cell r="F536" t="str">
            <v>VAPRIO D'ADDA</v>
          </cell>
          <cell r="G536" t="str">
            <v>MI</v>
          </cell>
          <cell r="H536" t="str">
            <v>ITALIA</v>
          </cell>
          <cell r="J536" t="str">
            <v>04503480966</v>
          </cell>
          <cell r="M536" t="str">
            <v>UFFICIO ACQUISTI</v>
          </cell>
          <cell r="N536" t="str">
            <v>02 90965175</v>
          </cell>
          <cell r="O536" t="str">
            <v>335 6482366</v>
          </cell>
          <cell r="P536" t="str">
            <v>coal.srl@email.it</v>
          </cell>
          <cell r="R536" t="str">
            <v>BONIFICO BANCARIO, ALLA DATA DELLA NOSTRA CONFERMA D'ORDINE</v>
          </cell>
          <cell r="X536">
            <v>0.25</v>
          </cell>
          <cell r="Y536">
            <v>-0.04</v>
          </cell>
          <cell r="AB536">
            <v>0.25</v>
          </cell>
          <cell r="AC536">
            <v>0.25</v>
          </cell>
          <cell r="AD536">
            <v>0.25</v>
          </cell>
          <cell r="AE536">
            <v>0.25</v>
          </cell>
          <cell r="AF536">
            <v>0.25</v>
          </cell>
          <cell r="AG536">
            <v>0.25</v>
          </cell>
          <cell r="AH536">
            <v>0.25</v>
          </cell>
          <cell r="AI536">
            <v>0.25</v>
          </cell>
          <cell r="AJ536">
            <v>0.25</v>
          </cell>
          <cell r="AK536">
            <v>0.25</v>
          </cell>
          <cell r="AL536">
            <v>0.25</v>
          </cell>
          <cell r="AM536">
            <v>0.25</v>
          </cell>
          <cell r="AN536">
            <v>0.25</v>
          </cell>
          <cell r="AO536">
            <v>0.25</v>
          </cell>
          <cell r="AP536">
            <v>0.25</v>
          </cell>
          <cell r="AQ536">
            <v>0.25</v>
          </cell>
          <cell r="AR536">
            <v>0.25</v>
          </cell>
          <cell r="AS536">
            <v>0.25</v>
          </cell>
          <cell r="AT536">
            <v>-0.04</v>
          </cell>
          <cell r="AU536">
            <v>0.92</v>
          </cell>
          <cell r="AV536">
            <v>20</v>
          </cell>
          <cell r="AZ536">
            <v>0.25</v>
          </cell>
          <cell r="BA536">
            <v>0.25</v>
          </cell>
        </row>
        <row r="537">
          <cell r="A537" t="str">
            <v>COB LEGNO</v>
          </cell>
          <cell r="D537" t="str">
            <v>VIA AURORA, 5</v>
          </cell>
          <cell r="E537">
            <v>12062</v>
          </cell>
          <cell r="F537" t="str">
            <v>CHERASCO</v>
          </cell>
          <cell r="G537" t="str">
            <v>CN</v>
          </cell>
          <cell r="H537" t="str">
            <v>ITALIA</v>
          </cell>
          <cell r="I537" t="str">
            <v>03766460046</v>
          </cell>
          <cell r="J537" t="str">
            <v>03766460046</v>
          </cell>
          <cell r="M537" t="str">
            <v>UFFICIO ACQUISTI</v>
          </cell>
          <cell r="N537" t="str">
            <v>0172 499260</v>
          </cell>
          <cell r="P537" t="str">
            <v>info@coblegno.com</v>
          </cell>
          <cell r="R537" t="str">
            <v>BONIFICO BANCARIO, ALLA DATA DELLA NOSTRA CONFERMA D'ORDINE</v>
          </cell>
          <cell r="X537">
            <v>0.25</v>
          </cell>
          <cell r="Y537">
            <v>-0.04</v>
          </cell>
          <cell r="AB537">
            <v>0.25</v>
          </cell>
          <cell r="AC537">
            <v>0.25</v>
          </cell>
          <cell r="AD537">
            <v>0.25</v>
          </cell>
          <cell r="AE537">
            <v>0.25</v>
          </cell>
          <cell r="AF537">
            <v>0.25</v>
          </cell>
          <cell r="AG537">
            <v>0.25</v>
          </cell>
          <cell r="AH537">
            <v>0.25</v>
          </cell>
          <cell r="AI537">
            <v>0.25</v>
          </cell>
          <cell r="AJ537">
            <v>0.25</v>
          </cell>
          <cell r="AK537">
            <v>0.25</v>
          </cell>
          <cell r="AL537">
            <v>0.25</v>
          </cell>
          <cell r="AM537">
            <v>0.25</v>
          </cell>
          <cell r="AN537">
            <v>0.25</v>
          </cell>
          <cell r="AO537">
            <v>0.25</v>
          </cell>
          <cell r="AP537">
            <v>0.25</v>
          </cell>
          <cell r="AQ537">
            <v>0.25</v>
          </cell>
          <cell r="AR537">
            <v>0.25</v>
          </cell>
          <cell r="AS537">
            <v>0.25</v>
          </cell>
          <cell r="AT537">
            <v>-0.04</v>
          </cell>
          <cell r="AU537">
            <v>0.92</v>
          </cell>
          <cell r="AV537">
            <v>20</v>
          </cell>
          <cell r="AY537" t="str">
            <v/>
          </cell>
          <cell r="AZ537">
            <v>0.25</v>
          </cell>
          <cell r="BA537">
            <v>0.25</v>
          </cell>
        </row>
        <row r="538">
          <cell r="A538" t="str">
            <v>COCO RED S.R.L.S.</v>
          </cell>
          <cell r="B538" t="str">
            <v>FOTO - SERRATURA CENTRALE CHE SPINGE I DUE CATENACCI</v>
          </cell>
          <cell r="D538" t="str">
            <v>VIA FERRARO, 2b</v>
          </cell>
          <cell r="E538">
            <v>92019</v>
          </cell>
          <cell r="F538" t="str">
            <v>SCIACCA</v>
          </cell>
          <cell r="G538" t="str">
            <v>AG</v>
          </cell>
          <cell r="H538" t="str">
            <v>ITALIA</v>
          </cell>
          <cell r="J538" t="str">
            <v>02864880840</v>
          </cell>
          <cell r="K538" t="str">
            <v>6JXP52J</v>
          </cell>
          <cell r="M538" t="str">
            <v>UFFICIO ACQUISTI</v>
          </cell>
          <cell r="N538" t="str">
            <v>0925 991168</v>
          </cell>
          <cell r="O538" t="str">
            <v>339 6327582</v>
          </cell>
          <cell r="P538" t="str">
            <v>cocoredsrls@gmail.com</v>
          </cell>
          <cell r="R538" t="str">
            <v>BONIFICO BANCARIO, ALLA DATA DELLA NOSTRA CONFERMA D'ORDINE</v>
          </cell>
          <cell r="X538">
            <v>0.25</v>
          </cell>
          <cell r="Y538">
            <v>-0.04</v>
          </cell>
          <cell r="AB538">
            <v>0.25</v>
          </cell>
          <cell r="AC538">
            <v>0.25</v>
          </cell>
          <cell r="AD538">
            <v>0.25</v>
          </cell>
          <cell r="AE538">
            <v>0.25</v>
          </cell>
          <cell r="AF538">
            <v>0.25</v>
          </cell>
          <cell r="AG538">
            <v>0.25</v>
          </cell>
          <cell r="AH538">
            <v>0.25</v>
          </cell>
          <cell r="AI538">
            <v>0.25</v>
          </cell>
          <cell r="AJ538">
            <v>0.25</v>
          </cell>
          <cell r="AK538">
            <v>0.25</v>
          </cell>
          <cell r="AL538">
            <v>0.25</v>
          </cell>
          <cell r="AM538">
            <v>0.25</v>
          </cell>
          <cell r="AN538">
            <v>0.25</v>
          </cell>
          <cell r="AO538">
            <v>0.25</v>
          </cell>
          <cell r="AP538">
            <v>0.25</v>
          </cell>
          <cell r="AQ538">
            <v>0.25</v>
          </cell>
          <cell r="AR538">
            <v>0.25</v>
          </cell>
          <cell r="AS538">
            <v>0.25</v>
          </cell>
          <cell r="AT538">
            <v>-0.04</v>
          </cell>
          <cell r="AU538">
            <v>0.92</v>
          </cell>
          <cell r="AV538">
            <v>20</v>
          </cell>
          <cell r="AY538" t="str">
            <v/>
          </cell>
          <cell r="AZ538">
            <v>0.25</v>
          </cell>
          <cell r="BA538">
            <v>0.25</v>
          </cell>
          <cell r="BF538" t="str">
            <v>CLICK RAPID con carpenteria 13/03/2020</v>
          </cell>
        </row>
        <row r="539">
          <cell r="A539" t="str">
            <v>CODEGHINI RIVA SRL</v>
          </cell>
          <cell r="B539" t="str">
            <v>21/03/23 NON SONO INTERESSATI</v>
          </cell>
          <cell r="D539" t="str">
            <v>VIA COLLA 7 C</v>
          </cell>
          <cell r="E539" t="str">
            <v>29121</v>
          </cell>
          <cell r="F539" t="str">
            <v>PIACENZA</v>
          </cell>
          <cell r="G539" t="str">
            <v>PC</v>
          </cell>
          <cell r="H539" t="str">
            <v>ITALIA</v>
          </cell>
          <cell r="J539" t="str">
            <v>01400590335</v>
          </cell>
          <cell r="M539" t="str">
            <v>SIG. MANCUSO GIANMARIA</v>
          </cell>
          <cell r="N539" t="str">
            <v>0523 498215</v>
          </cell>
          <cell r="R539" t="str">
            <v>BONIFICO BANCARIO, ALLA DATA DELLA NOSTRA CONFERMA D'ORDINE</v>
          </cell>
          <cell r="X539">
            <v>0.25</v>
          </cell>
          <cell r="Y539">
            <v>-0.04</v>
          </cell>
          <cell r="AB539">
            <v>0.25</v>
          </cell>
          <cell r="AC539">
            <v>0.25</v>
          </cell>
          <cell r="AD539">
            <v>0.25</v>
          </cell>
          <cell r="AE539">
            <v>0.25</v>
          </cell>
          <cell r="AF539">
            <v>0.25</v>
          </cell>
          <cell r="AG539">
            <v>0.25</v>
          </cell>
          <cell r="AH539">
            <v>0.25</v>
          </cell>
          <cell r="AI539">
            <v>0.25</v>
          </cell>
          <cell r="AJ539">
            <v>0.25</v>
          </cell>
          <cell r="AK539">
            <v>0.25</v>
          </cell>
          <cell r="AL539">
            <v>0.25</v>
          </cell>
          <cell r="AM539">
            <v>0.25</v>
          </cell>
          <cell r="AN539">
            <v>0.25</v>
          </cell>
          <cell r="AO539">
            <v>0.25</v>
          </cell>
          <cell r="AP539">
            <v>0.25</v>
          </cell>
          <cell r="AQ539">
            <v>0.25</v>
          </cell>
          <cell r="AR539">
            <v>0.25</v>
          </cell>
          <cell r="AS539">
            <v>0.25</v>
          </cell>
          <cell r="AT539">
            <v>-0.04</v>
          </cell>
          <cell r="AU539">
            <v>0.92</v>
          </cell>
          <cell r="AV539">
            <v>20</v>
          </cell>
          <cell r="AY539" t="str">
            <v/>
          </cell>
          <cell r="AZ539">
            <v>0.25</v>
          </cell>
          <cell r="BA539">
            <v>0.25</v>
          </cell>
        </row>
        <row r="540">
          <cell r="A540" t="str">
            <v>CODOGNOLA SERRAMENTI</v>
          </cell>
          <cell r="D540" t="str">
            <v>VIALE DI PORTO 714</v>
          </cell>
          <cell r="E540" t="str">
            <v>00057</v>
          </cell>
          <cell r="F540" t="str">
            <v>MACCARESE</v>
          </cell>
          <cell r="G540" t="str">
            <v>RM</v>
          </cell>
          <cell r="H540" t="str">
            <v>ITALIA</v>
          </cell>
          <cell r="M540" t="str">
            <v>UFFICIO ACQUISTI</v>
          </cell>
          <cell r="N540" t="str">
            <v>06 6589854</v>
          </cell>
          <cell r="R540" t="str">
            <v>BONIFICO BANCARIO, ALLA DATA DELLA NOSTRA CONFERMA D'ORDINE</v>
          </cell>
          <cell r="X540">
            <v>0.25</v>
          </cell>
          <cell r="Y540">
            <v>-0.04</v>
          </cell>
          <cell r="AB540">
            <v>0.25</v>
          </cell>
          <cell r="AC540">
            <v>0.25</v>
          </cell>
          <cell r="AD540">
            <v>0.25</v>
          </cell>
          <cell r="AE540">
            <v>0.25</v>
          </cell>
          <cell r="AF540">
            <v>0.25</v>
          </cell>
          <cell r="AG540">
            <v>0.25</v>
          </cell>
          <cell r="AH540">
            <v>0.25</v>
          </cell>
          <cell r="AI540">
            <v>0.25</v>
          </cell>
          <cell r="AJ540">
            <v>0.25</v>
          </cell>
          <cell r="AK540">
            <v>0.25</v>
          </cell>
          <cell r="AL540">
            <v>0.25</v>
          </cell>
          <cell r="AM540">
            <v>0.25</v>
          </cell>
          <cell r="AN540">
            <v>0.25</v>
          </cell>
          <cell r="AO540">
            <v>0.25</v>
          </cell>
          <cell r="AP540">
            <v>0.25</v>
          </cell>
          <cell r="AQ540">
            <v>0.25</v>
          </cell>
          <cell r="AR540">
            <v>0.25</v>
          </cell>
          <cell r="AS540">
            <v>0.25</v>
          </cell>
          <cell r="AT540">
            <v>-0.04</v>
          </cell>
          <cell r="AU540">
            <v>0.92</v>
          </cell>
          <cell r="AV540">
            <v>20</v>
          </cell>
          <cell r="AY540" t="str">
            <v/>
          </cell>
          <cell r="AZ540">
            <v>0.25</v>
          </cell>
          <cell r="BA540">
            <v>0.25</v>
          </cell>
        </row>
        <row r="541">
          <cell r="A541" t="str">
            <v xml:space="preserve">COLEGNO </v>
          </cell>
          <cell r="D541" t="str">
            <v>VIA VALVASSORI 2</v>
          </cell>
          <cell r="E541" t="str">
            <v>26900</v>
          </cell>
          <cell r="F541" t="str">
            <v>LODI</v>
          </cell>
          <cell r="G541" t="str">
            <v>LO</v>
          </cell>
          <cell r="H541" t="str">
            <v>ITALIA</v>
          </cell>
          <cell r="M541" t="str">
            <v>UFFICIO ACQUISTI</v>
          </cell>
          <cell r="N541" t="str">
            <v>0371 410685</v>
          </cell>
          <cell r="R541" t="str">
            <v>BONIFICO BANCARIO, ALLA DATA DELLA NOSTRA CONFERMA D'ORDINE</v>
          </cell>
          <cell r="X541">
            <v>0.25</v>
          </cell>
          <cell r="Y541">
            <v>-0.04</v>
          </cell>
          <cell r="AB541">
            <v>0.25</v>
          </cell>
          <cell r="AC541">
            <v>0.25</v>
          </cell>
          <cell r="AD541">
            <v>0.25</v>
          </cell>
          <cell r="AE541">
            <v>0.25</v>
          </cell>
          <cell r="AF541">
            <v>0.25</v>
          </cell>
          <cell r="AG541">
            <v>0.25</v>
          </cell>
          <cell r="AH541">
            <v>0.25</v>
          </cell>
          <cell r="AI541">
            <v>0.25</v>
          </cell>
          <cell r="AJ541">
            <v>0.25</v>
          </cell>
          <cell r="AK541">
            <v>0.25</v>
          </cell>
          <cell r="AL541">
            <v>0.25</v>
          </cell>
          <cell r="AM541">
            <v>0.25</v>
          </cell>
          <cell r="AN541">
            <v>0.25</v>
          </cell>
          <cell r="AO541">
            <v>0.25</v>
          </cell>
          <cell r="AP541">
            <v>0.25</v>
          </cell>
          <cell r="AQ541">
            <v>0.25</v>
          </cell>
          <cell r="AR541">
            <v>0.25</v>
          </cell>
          <cell r="AS541">
            <v>0.25</v>
          </cell>
          <cell r="AT541">
            <v>-0.04</v>
          </cell>
          <cell r="AU541">
            <v>0.92</v>
          </cell>
          <cell r="AV541">
            <v>20</v>
          </cell>
          <cell r="AZ541">
            <v>0.25</v>
          </cell>
          <cell r="BA541">
            <v>0.25</v>
          </cell>
        </row>
        <row r="542">
          <cell r="A542" t="str">
            <v>COLINELLI SNC DI COLINELLI FABIO E LORIS</v>
          </cell>
          <cell r="D542" t="str">
            <v>VIA LEONARDO DA VINCI 21</v>
          </cell>
          <cell r="E542" t="str">
            <v>47021</v>
          </cell>
          <cell r="F542" t="str">
            <v>SAN PIERO IN BAGNO</v>
          </cell>
          <cell r="G542" t="str">
            <v>FC</v>
          </cell>
          <cell r="H542" t="str">
            <v>ITALIA</v>
          </cell>
          <cell r="M542" t="str">
            <v>UFFICIO ACQUISTI</v>
          </cell>
          <cell r="N542" t="str">
            <v>0543 903105</v>
          </cell>
          <cell r="O542" t="str">
            <v>333 6441090 FABIO</v>
          </cell>
          <cell r="R542" t="str">
            <v>BONIFICO BANCARIO, ALLA DATA DELLA NOSTRA CONFERMA D'ORDINE</v>
          </cell>
          <cell r="X542">
            <v>0.25</v>
          </cell>
          <cell r="Y542">
            <v>-0.04</v>
          </cell>
          <cell r="AB542">
            <v>0.25</v>
          </cell>
          <cell r="AC542">
            <v>0.25</v>
          </cell>
          <cell r="AD542">
            <v>0.25</v>
          </cell>
          <cell r="AE542">
            <v>0.25</v>
          </cell>
          <cell r="AF542">
            <v>0.25</v>
          </cell>
          <cell r="AG542">
            <v>0.25</v>
          </cell>
          <cell r="AH542">
            <v>0.25</v>
          </cell>
          <cell r="AI542">
            <v>0.25</v>
          </cell>
          <cell r="AJ542">
            <v>0.25</v>
          </cell>
          <cell r="AK542">
            <v>0.25</v>
          </cell>
          <cell r="AL542">
            <v>0.25</v>
          </cell>
          <cell r="AM542">
            <v>0.25</v>
          </cell>
          <cell r="AN542">
            <v>0.25</v>
          </cell>
          <cell r="AO542">
            <v>0.25</v>
          </cell>
          <cell r="AP542">
            <v>0.25</v>
          </cell>
          <cell r="AQ542">
            <v>0.25</v>
          </cell>
          <cell r="AR542">
            <v>0.25</v>
          </cell>
          <cell r="AS542">
            <v>0.25</v>
          </cell>
          <cell r="AT542">
            <v>-0.04</v>
          </cell>
          <cell r="AU542">
            <v>0.92</v>
          </cell>
          <cell r="AV542">
            <v>20</v>
          </cell>
          <cell r="AY542" t="str">
            <v/>
          </cell>
          <cell r="AZ542">
            <v>0.25</v>
          </cell>
          <cell r="BA542">
            <v>0.25</v>
          </cell>
        </row>
        <row r="543">
          <cell r="A543" t="str">
            <v>COLMAFER SRL</v>
          </cell>
          <cell r="B543" t="str">
            <v>PAOLO</v>
          </cell>
          <cell r="D543" t="str">
            <v>VIA PERSICARA, 28</v>
          </cell>
          <cell r="E543" t="str">
            <v>04100</v>
          </cell>
          <cell r="F543" t="str">
            <v>LATINA</v>
          </cell>
          <cell r="G543" t="str">
            <v>LT</v>
          </cell>
          <cell r="H543" t="str">
            <v>ITALIA</v>
          </cell>
          <cell r="J543" t="str">
            <v>02682570599</v>
          </cell>
          <cell r="M543" t="str">
            <v>UFFICIO ACQUISTI</v>
          </cell>
          <cell r="N543" t="str">
            <v>0773 280222</v>
          </cell>
          <cell r="O543" t="str">
            <v>345 1631439 PAOLO</v>
          </cell>
          <cell r="P543" t="str">
            <v>colmafersrl@gmail.com</v>
          </cell>
          <cell r="R543" t="str">
            <v>BONIFICO BANCARIO, ALLA DATA DELLA NOSTRA CONFERMA D'ORDINE</v>
          </cell>
          <cell r="X543">
            <v>0.2</v>
          </cell>
          <cell r="Y543">
            <v>-0.04</v>
          </cell>
          <cell r="AB543">
            <v>0.2</v>
          </cell>
          <cell r="AC543">
            <v>0.2</v>
          </cell>
          <cell r="AD543">
            <v>0.2</v>
          </cell>
          <cell r="AE543">
            <v>0.2</v>
          </cell>
          <cell r="AF543">
            <v>0.2</v>
          </cell>
          <cell r="AG543">
            <v>0.2</v>
          </cell>
          <cell r="AH543">
            <v>0.2</v>
          </cell>
          <cell r="AI543">
            <v>0.2</v>
          </cell>
          <cell r="AJ543">
            <v>0.2</v>
          </cell>
          <cell r="AK543">
            <v>0.2</v>
          </cell>
          <cell r="AL543">
            <v>0.2</v>
          </cell>
          <cell r="AM543">
            <v>0.2</v>
          </cell>
          <cell r="AN543">
            <v>0.2</v>
          </cell>
          <cell r="AO543">
            <v>0.2</v>
          </cell>
          <cell r="AP543">
            <v>0.2</v>
          </cell>
          <cell r="AQ543">
            <v>0.2</v>
          </cell>
          <cell r="AR543">
            <v>0.2</v>
          </cell>
          <cell r="AS543">
            <v>0.2</v>
          </cell>
          <cell r="AT543">
            <v>-0.04</v>
          </cell>
          <cell r="AU543">
            <v>0.92</v>
          </cell>
          <cell r="AV543">
            <v>20</v>
          </cell>
          <cell r="AZ543">
            <v>0.2</v>
          </cell>
          <cell r="BA543">
            <v>0.2</v>
          </cell>
        </row>
        <row r="544">
          <cell r="A544" t="str">
            <v>COLOMBELLI SRL</v>
          </cell>
          <cell r="D544" t="str">
            <v>VIA CIRCONVALLAZIONE OVEST, 25</v>
          </cell>
          <cell r="E544" t="str">
            <v>24040</v>
          </cell>
          <cell r="F544" t="str">
            <v>STEZZANO</v>
          </cell>
          <cell r="G544" t="str">
            <v>BG</v>
          </cell>
          <cell r="H544" t="str">
            <v>ITALIA</v>
          </cell>
          <cell r="J544" t="str">
            <v>02175420161</v>
          </cell>
          <cell r="M544" t="str">
            <v>UFFICIO ACQUISTI</v>
          </cell>
          <cell r="N544" t="str">
            <v>035 593132</v>
          </cell>
          <cell r="P544" t="str">
            <v>gaudi@colombellisrl.it</v>
          </cell>
          <cell r="R544" t="str">
            <v>BONIFICO BANCARIO, ALLA DATA DELLA NOSTRA CONFERMA D'ORDINE</v>
          </cell>
          <cell r="X544">
            <v>0.2</v>
          </cell>
          <cell r="Y544">
            <v>-0.04</v>
          </cell>
          <cell r="AB544">
            <v>0.2</v>
          </cell>
          <cell r="AC544">
            <v>0.2</v>
          </cell>
          <cell r="AD544">
            <v>0.2</v>
          </cell>
          <cell r="AE544">
            <v>0.2</v>
          </cell>
          <cell r="AF544">
            <v>0.2</v>
          </cell>
          <cell r="AG544">
            <v>0.2</v>
          </cell>
          <cell r="AH544">
            <v>0.2</v>
          </cell>
          <cell r="AI544">
            <v>0.2</v>
          </cell>
          <cell r="AJ544">
            <v>0.2</v>
          </cell>
          <cell r="AK544">
            <v>0.2</v>
          </cell>
          <cell r="AL544">
            <v>0.2</v>
          </cell>
          <cell r="AM544">
            <v>0.2</v>
          </cell>
          <cell r="AN544">
            <v>0.2</v>
          </cell>
          <cell r="AO544">
            <v>0.2</v>
          </cell>
          <cell r="AP544">
            <v>0.2</v>
          </cell>
          <cell r="AQ544">
            <v>0.2</v>
          </cell>
          <cell r="AR544">
            <v>0.2</v>
          </cell>
          <cell r="AS544">
            <v>0.2</v>
          </cell>
          <cell r="AT544">
            <v>-0.04</v>
          </cell>
          <cell r="AU544">
            <v>0.92</v>
          </cell>
          <cell r="AV544">
            <v>20</v>
          </cell>
          <cell r="AZ544">
            <v>0.2</v>
          </cell>
          <cell r="BA544">
            <v>0.2</v>
          </cell>
        </row>
        <row r="545">
          <cell r="A545" t="str">
            <v>COLOMBO FRANCA</v>
          </cell>
          <cell r="D545" t="str">
            <v>VIA IV NOVEMBRE, 15</v>
          </cell>
          <cell r="E545" t="str">
            <v>20064</v>
          </cell>
          <cell r="F545" t="str">
            <v>GORGONZOLA</v>
          </cell>
          <cell r="G545" t="str">
            <v>MI</v>
          </cell>
          <cell r="H545" t="str">
            <v>ITALIA</v>
          </cell>
          <cell r="J545" t="str">
            <v>07719720158</v>
          </cell>
          <cell r="M545" t="str">
            <v>UFFICIO ACQUISTI</v>
          </cell>
          <cell r="N545" t="str">
            <v>02 9513486</v>
          </cell>
          <cell r="R545" t="str">
            <v>BONIFICO BANCARIO, ALLA DATA DELLA NOSTRA CONFERMA D'ORDINE</v>
          </cell>
          <cell r="X545">
            <v>0.2</v>
          </cell>
          <cell r="Y545">
            <v>-0.04</v>
          </cell>
          <cell r="AB545">
            <v>0.2</v>
          </cell>
          <cell r="AC545">
            <v>0.2</v>
          </cell>
          <cell r="AD545">
            <v>0.2</v>
          </cell>
          <cell r="AE545">
            <v>0.2</v>
          </cell>
          <cell r="AF545">
            <v>0.2</v>
          </cell>
          <cell r="AG545">
            <v>0.2</v>
          </cell>
          <cell r="AH545">
            <v>0.2</v>
          </cell>
          <cell r="AI545">
            <v>0.2</v>
          </cell>
          <cell r="AJ545">
            <v>0.2</v>
          </cell>
          <cell r="AK545">
            <v>0.2</v>
          </cell>
          <cell r="AL545">
            <v>0.2</v>
          </cell>
          <cell r="AM545">
            <v>0.2</v>
          </cell>
          <cell r="AN545">
            <v>0.2</v>
          </cell>
          <cell r="AO545">
            <v>0.2</v>
          </cell>
          <cell r="AP545">
            <v>0.2</v>
          </cell>
          <cell r="AQ545">
            <v>0.2</v>
          </cell>
          <cell r="AR545">
            <v>0.2</v>
          </cell>
          <cell r="AS545">
            <v>0.2</v>
          </cell>
          <cell r="AT545">
            <v>-0.04</v>
          </cell>
          <cell r="AU545">
            <v>0.92</v>
          </cell>
          <cell r="AV545">
            <v>20</v>
          </cell>
          <cell r="AZ545">
            <v>0.2</v>
          </cell>
          <cell r="BA545">
            <v>0.2</v>
          </cell>
        </row>
        <row r="546">
          <cell r="A546" t="str">
            <v xml:space="preserve">COLOMBO GIOVANNI E FIGLIO SRL </v>
          </cell>
          <cell r="B546" t="str">
            <v>ALBERTO COLOMBO</v>
          </cell>
          <cell r="D546" t="str">
            <v>VIA 1° MAGGIO, 50</v>
          </cell>
          <cell r="E546" t="str">
            <v>20064</v>
          </cell>
          <cell r="F546" t="str">
            <v>GORGONZOLA</v>
          </cell>
          <cell r="G546" t="str">
            <v>MI</v>
          </cell>
          <cell r="H546" t="str">
            <v>ITALIA</v>
          </cell>
          <cell r="J546" t="str">
            <v>00687130153</v>
          </cell>
          <cell r="M546" t="str">
            <v>UFFICIO ACQUISTI</v>
          </cell>
          <cell r="N546" t="str">
            <v>02 9504047</v>
          </cell>
          <cell r="O546" t="str">
            <v>335 1384743 ALBERTO COLOMBO</v>
          </cell>
          <cell r="P546" t="str">
            <v>a.colombo@colombogef.com</v>
          </cell>
          <cell r="R546" t="str">
            <v>BONIFICO BANCARIO, ALLA DATA DELLA NOSTRA CONFERMA D'ORDINE</v>
          </cell>
          <cell r="X546">
            <v>0.2</v>
          </cell>
          <cell r="Y546">
            <v>-0.04</v>
          </cell>
          <cell r="AB546">
            <v>0.2</v>
          </cell>
          <cell r="AC546">
            <v>0.2</v>
          </cell>
          <cell r="AD546">
            <v>0.2</v>
          </cell>
          <cell r="AE546">
            <v>0.2</v>
          </cell>
          <cell r="AF546">
            <v>0.2</v>
          </cell>
          <cell r="AG546">
            <v>0.2</v>
          </cell>
          <cell r="AH546">
            <v>0.2</v>
          </cell>
          <cell r="AI546">
            <v>0.2</v>
          </cell>
          <cell r="AJ546">
            <v>0.2</v>
          </cell>
          <cell r="AK546">
            <v>0.2</v>
          </cell>
          <cell r="AL546">
            <v>0.2</v>
          </cell>
          <cell r="AM546">
            <v>0.2</v>
          </cell>
          <cell r="AN546">
            <v>0.2</v>
          </cell>
          <cell r="AO546">
            <v>0.2</v>
          </cell>
          <cell r="AP546">
            <v>0.2</v>
          </cell>
          <cell r="AQ546">
            <v>0.2</v>
          </cell>
          <cell r="AR546">
            <v>0.2</v>
          </cell>
          <cell r="AS546">
            <v>0.2</v>
          </cell>
          <cell r="AT546">
            <v>-0.04</v>
          </cell>
          <cell r="AU546">
            <v>0.92</v>
          </cell>
          <cell r="AV546">
            <v>20</v>
          </cell>
          <cell r="AZ546">
            <v>0.2</v>
          </cell>
          <cell r="BA546">
            <v>0.2</v>
          </cell>
        </row>
        <row r="547">
          <cell r="A547" t="str">
            <v>COLORAMA DI BOADUZZI DELIO</v>
          </cell>
          <cell r="D547" t="str">
            <v>CANNAREGIO, 2603</v>
          </cell>
          <cell r="E547">
            <v>30121</v>
          </cell>
          <cell r="F547" t="str">
            <v>VENEZIA</v>
          </cell>
          <cell r="G547" t="str">
            <v>VE</v>
          </cell>
          <cell r="H547" t="str">
            <v>ITALIA</v>
          </cell>
          <cell r="I547" t="str">
            <v>BDZDLE60A28L736Q</v>
          </cell>
          <cell r="J547" t="str">
            <v>03861180275</v>
          </cell>
          <cell r="K547" t="str">
            <v>SUBN70M</v>
          </cell>
          <cell r="M547" t="str">
            <v>UFFICIO ACQUISTI</v>
          </cell>
          <cell r="O547" t="str">
            <v>340 1061640</v>
          </cell>
          <cell r="P547" t="str">
            <v>deliobaoduzzi@gmail.com</v>
          </cell>
          <cell r="R547" t="str">
            <v>BONIFICO BANCARIO, ALLA DATA DELLA NOSTRA CONFERMA D'ORDINE</v>
          </cell>
          <cell r="W547" t="str">
            <v>ACQUA SALATA</v>
          </cell>
          <cell r="X547">
            <v>0.25</v>
          </cell>
          <cell r="Y547">
            <v>-0.04</v>
          </cell>
          <cell r="AB547">
            <v>0.25</v>
          </cell>
          <cell r="AC547">
            <v>0.25</v>
          </cell>
          <cell r="AD547">
            <v>0.25</v>
          </cell>
          <cell r="AE547">
            <v>0.25</v>
          </cell>
          <cell r="AF547">
            <v>0.25</v>
          </cell>
          <cell r="AG547">
            <v>0.25</v>
          </cell>
          <cell r="AH547">
            <v>0.25</v>
          </cell>
          <cell r="AI547">
            <v>0.25</v>
          </cell>
          <cell r="AJ547">
            <v>0.25</v>
          </cell>
          <cell r="AK547">
            <v>0.25</v>
          </cell>
          <cell r="AL547">
            <v>0.25</v>
          </cell>
          <cell r="AM547">
            <v>0.25</v>
          </cell>
          <cell r="AN547">
            <v>0.25</v>
          </cell>
          <cell r="AO547">
            <v>0.25</v>
          </cell>
          <cell r="AP547">
            <v>0.25</v>
          </cell>
          <cell r="AQ547">
            <v>0.25</v>
          </cell>
          <cell r="AR547">
            <v>0.25</v>
          </cell>
          <cell r="AS547">
            <v>0.25</v>
          </cell>
          <cell r="AT547">
            <v>-0.04</v>
          </cell>
          <cell r="AU547">
            <v>0.92</v>
          </cell>
          <cell r="AV547">
            <v>20</v>
          </cell>
          <cell r="AY547" t="str">
            <v/>
          </cell>
          <cell r="AZ547">
            <v>0.25</v>
          </cell>
          <cell r="BA547">
            <v>0.25</v>
          </cell>
        </row>
        <row r="548">
          <cell r="A548" t="str">
            <v>COLORIFICIO GHEDESE DI ROVERSI ROBERTO</v>
          </cell>
          <cell r="D548" t="str">
            <v>VIA I MAGGIO, 11</v>
          </cell>
          <cell r="E548" t="str">
            <v>25016</v>
          </cell>
          <cell r="F548" t="str">
            <v xml:space="preserve">GHEDI </v>
          </cell>
          <cell r="G548" t="str">
            <v>BS</v>
          </cell>
          <cell r="H548" t="str">
            <v>ITALIA</v>
          </cell>
          <cell r="M548" t="str">
            <v>UFFICIO ACQUISTI</v>
          </cell>
          <cell r="N548" t="str">
            <v>030 9032063</v>
          </cell>
          <cell r="O548" t="str">
            <v>333 4200953</v>
          </cell>
          <cell r="P548" t="str">
            <v>info@colorificioghedese.it</v>
          </cell>
          <cell r="R548" t="str">
            <v>BONIFICO BANCARIO, ALLA DATA DELLA NOSTRA CONFERMA D'ORDINE</v>
          </cell>
          <cell r="Y548">
            <v>-0.04</v>
          </cell>
          <cell r="AT548">
            <v>-0.04</v>
          </cell>
          <cell r="AV548">
            <v>20</v>
          </cell>
          <cell r="AZ548">
            <v>0</v>
          </cell>
          <cell r="BA548">
            <v>0</v>
          </cell>
        </row>
        <row r="549">
          <cell r="A549" t="str">
            <v>COLUCCI LEONE</v>
          </cell>
          <cell r="D549" t="str">
            <v>VIA MANFREDONIA, 24</v>
          </cell>
          <cell r="E549" t="str">
            <v>71121</v>
          </cell>
          <cell r="F549" t="str">
            <v>MANFREDONIA</v>
          </cell>
          <cell r="G549" t="str">
            <v>FG</v>
          </cell>
          <cell r="H549" t="str">
            <v>ITALIA</v>
          </cell>
          <cell r="J549" t="str">
            <v>02262840719</v>
          </cell>
          <cell r="M549" t="str">
            <v>UFFICIO ACQUISTI</v>
          </cell>
          <cell r="N549" t="str">
            <v>0881 568454</v>
          </cell>
          <cell r="R549" t="str">
            <v>BONIFICO BANCARIO, ALLA DATA DELLA NOSTRA CONFERMA D'ORDINE</v>
          </cell>
          <cell r="X549">
            <v>0.2</v>
          </cell>
          <cell r="Y549">
            <v>-0.04</v>
          </cell>
          <cell r="AB549">
            <v>0.2</v>
          </cell>
          <cell r="AC549">
            <v>0.2</v>
          </cell>
          <cell r="AD549">
            <v>0.2</v>
          </cell>
          <cell r="AE549">
            <v>0.2</v>
          </cell>
          <cell r="AF549">
            <v>0.2</v>
          </cell>
          <cell r="AG549">
            <v>0.2</v>
          </cell>
          <cell r="AH549">
            <v>0.2</v>
          </cell>
          <cell r="AI549">
            <v>0.2</v>
          </cell>
          <cell r="AJ549">
            <v>0.2</v>
          </cell>
          <cell r="AK549">
            <v>0.2</v>
          </cell>
          <cell r="AL549">
            <v>0.2</v>
          </cell>
          <cell r="AM549">
            <v>0.2</v>
          </cell>
          <cell r="AN549">
            <v>0.2</v>
          </cell>
          <cell r="AO549">
            <v>0.2</v>
          </cell>
          <cell r="AP549">
            <v>0.2</v>
          </cell>
          <cell r="AQ549">
            <v>0.2</v>
          </cell>
          <cell r="AR549">
            <v>0.2</v>
          </cell>
          <cell r="AS549">
            <v>0.2</v>
          </cell>
          <cell r="AT549">
            <v>-0.04</v>
          </cell>
          <cell r="AU549">
            <v>0.92</v>
          </cell>
          <cell r="AV549">
            <v>20</v>
          </cell>
          <cell r="AZ549">
            <v>0.2</v>
          </cell>
          <cell r="BA549">
            <v>0.2</v>
          </cell>
        </row>
        <row r="550">
          <cell r="A550" t="str">
            <v>COMEDI SRL</v>
          </cell>
          <cell r="D550" t="str">
            <v>VIA F. CORSELLI 15</v>
          </cell>
          <cell r="E550" t="str">
            <v>29122</v>
          </cell>
          <cell r="F550" t="str">
            <v>PIACENZA</v>
          </cell>
          <cell r="G550" t="str">
            <v>PC</v>
          </cell>
          <cell r="H550" t="str">
            <v>ITALIA</v>
          </cell>
          <cell r="J550" t="str">
            <v>01714010335</v>
          </cell>
          <cell r="M550" t="str">
            <v>GEOM. STEFANO ROSSI</v>
          </cell>
          <cell r="N550" t="str">
            <v xml:space="preserve">335 8236033 </v>
          </cell>
          <cell r="R550" t="str">
            <v>BONIFICO BANCARIO, ALLA DATA DELLA NOSTRA CONFERMA D'ORDINE</v>
          </cell>
          <cell r="X550">
            <v>0.25</v>
          </cell>
          <cell r="Y550">
            <v>-0.04</v>
          </cell>
          <cell r="AB550">
            <v>0.25</v>
          </cell>
          <cell r="AC550">
            <v>0.25</v>
          </cell>
          <cell r="AD550">
            <v>0.25</v>
          </cell>
          <cell r="AE550">
            <v>0.25</v>
          </cell>
          <cell r="AF550">
            <v>0.25</v>
          </cell>
          <cell r="AG550">
            <v>0.25</v>
          </cell>
          <cell r="AH550">
            <v>0.25</v>
          </cell>
          <cell r="AI550">
            <v>0.25</v>
          </cell>
          <cell r="AJ550">
            <v>0.25</v>
          </cell>
          <cell r="AK550">
            <v>0.25</v>
          </cell>
          <cell r="AL550">
            <v>0.25</v>
          </cell>
          <cell r="AM550">
            <v>0.25</v>
          </cell>
          <cell r="AN550">
            <v>0.25</v>
          </cell>
          <cell r="AO550">
            <v>0.25</v>
          </cell>
          <cell r="AP550">
            <v>0.25</v>
          </cell>
          <cell r="AQ550">
            <v>0.25</v>
          </cell>
          <cell r="AR550">
            <v>0.25</v>
          </cell>
          <cell r="AS550">
            <v>0.25</v>
          </cell>
          <cell r="AT550">
            <v>-0.04</v>
          </cell>
          <cell r="AU550">
            <v>0.92</v>
          </cell>
          <cell r="AV550">
            <v>20</v>
          </cell>
          <cell r="AY550" t="str">
            <v/>
          </cell>
          <cell r="AZ550">
            <v>0.25</v>
          </cell>
          <cell r="BA550">
            <v>0.25</v>
          </cell>
        </row>
        <row r="551">
          <cell r="A551" t="str">
            <v>COMEL ARMANDO SRL</v>
          </cell>
          <cell r="B551" t="str">
            <v>MEC STORE S.VITO TAGLIAMENTO 334 6215150 PIZZATO</v>
          </cell>
          <cell r="D551" t="str">
            <v>VIA FELTRE, 20</v>
          </cell>
          <cell r="E551" t="str">
            <v>32026</v>
          </cell>
          <cell r="F551" t="str">
            <v>BORGO VALBELLUNA</v>
          </cell>
          <cell r="G551" t="str">
            <v>BL</v>
          </cell>
          <cell r="H551" t="str">
            <v>ITALIA</v>
          </cell>
          <cell r="M551" t="str">
            <v>UFFICIO ACQUISTI</v>
          </cell>
          <cell r="N551" t="str">
            <v>0437 749092</v>
          </cell>
          <cell r="O551" t="str">
            <v xml:space="preserve">329 2591691 Nicola D'incà  </v>
          </cell>
          <cell r="P551" t="str">
            <v>info@comelarmando.it</v>
          </cell>
          <cell r="R551" t="str">
            <v>BONIFICO BANCARIO, ALLA DATA DELLA NOSTRA CONFERMA D'ORDINE</v>
          </cell>
          <cell r="X551">
            <v>0.25</v>
          </cell>
          <cell r="Y551">
            <v>-0.04</v>
          </cell>
          <cell r="AB551">
            <v>0.25</v>
          </cell>
          <cell r="AC551">
            <v>0.25</v>
          </cell>
          <cell r="AD551">
            <v>0.25</v>
          </cell>
          <cell r="AE551">
            <v>0.25</v>
          </cell>
          <cell r="AF551">
            <v>0.25</v>
          </cell>
          <cell r="AG551">
            <v>0.25</v>
          </cell>
          <cell r="AH551">
            <v>0.25</v>
          </cell>
          <cell r="AI551">
            <v>0.25</v>
          </cell>
          <cell r="AJ551">
            <v>0.25</v>
          </cell>
          <cell r="AK551">
            <v>0.25</v>
          </cell>
          <cell r="AL551">
            <v>0.25</v>
          </cell>
          <cell r="AM551">
            <v>0.25</v>
          </cell>
          <cell r="AN551">
            <v>0.25</v>
          </cell>
          <cell r="AO551">
            <v>0.25</v>
          </cell>
          <cell r="AP551">
            <v>0.25</v>
          </cell>
          <cell r="AQ551">
            <v>0.25</v>
          </cell>
          <cell r="AR551">
            <v>0.25</v>
          </cell>
          <cell r="AS551">
            <v>0.25</v>
          </cell>
          <cell r="AT551">
            <v>-0.04</v>
          </cell>
          <cell r="AU551">
            <v>0.92</v>
          </cell>
          <cell r="AV551">
            <v>20</v>
          </cell>
          <cell r="AZ551">
            <v>0.25</v>
          </cell>
          <cell r="BA551">
            <v>0.25</v>
          </cell>
        </row>
        <row r="552">
          <cell r="A552" t="str">
            <v>COMES TIZIANO</v>
          </cell>
          <cell r="D552" t="str">
            <v>VIA CARAVAGGIO, 13</v>
          </cell>
          <cell r="E552" t="str">
            <v>70043</v>
          </cell>
          <cell r="F552" t="str">
            <v>MONOPOLI</v>
          </cell>
          <cell r="G552" t="str">
            <v>BA</v>
          </cell>
          <cell r="H552" t="str">
            <v>ITALIA</v>
          </cell>
          <cell r="I552" t="str">
            <v>CMSTZN73509ZI33Q</v>
          </cell>
          <cell r="J552" t="str">
            <v>05266590727</v>
          </cell>
          <cell r="M552" t="str">
            <v>UFFICIO ACQUISTI</v>
          </cell>
          <cell r="N552" t="str">
            <v>080 9372594</v>
          </cell>
          <cell r="O552" t="str">
            <v>333 2134724</v>
          </cell>
          <cell r="R552" t="str">
            <v>BONIFICO BANCARIO, ALLA DATA DELLA NOSTRA CONFERMA D'ORDINE</v>
          </cell>
          <cell r="X552">
            <v>0.25</v>
          </cell>
          <cell r="Y552">
            <v>-0.04</v>
          </cell>
          <cell r="AB552">
            <v>0.25</v>
          </cell>
          <cell r="AC552">
            <v>0.25</v>
          </cell>
          <cell r="AD552">
            <v>0.25</v>
          </cell>
          <cell r="AE552">
            <v>0.25</v>
          </cell>
          <cell r="AF552">
            <v>0.25</v>
          </cell>
          <cell r="AG552">
            <v>0.25</v>
          </cell>
          <cell r="AH552">
            <v>0.25</v>
          </cell>
          <cell r="AI552">
            <v>0.25</v>
          </cell>
          <cell r="AJ552">
            <v>0.25</v>
          </cell>
          <cell r="AK552">
            <v>0.25</v>
          </cell>
          <cell r="AL552">
            <v>0.25</v>
          </cell>
          <cell r="AM552">
            <v>0.25</v>
          </cell>
          <cell r="AN552">
            <v>0.25</v>
          </cell>
          <cell r="AO552">
            <v>0.25</v>
          </cell>
          <cell r="AP552">
            <v>0.25</v>
          </cell>
          <cell r="AQ552">
            <v>0.25</v>
          </cell>
          <cell r="AR552">
            <v>0.25</v>
          </cell>
          <cell r="AS552">
            <v>0.25</v>
          </cell>
          <cell r="AT552">
            <v>-0.04</v>
          </cell>
          <cell r="AU552">
            <v>0.92</v>
          </cell>
          <cell r="AV552">
            <v>20</v>
          </cell>
          <cell r="AZ552">
            <v>0.25</v>
          </cell>
          <cell r="BA552">
            <v>0.25</v>
          </cell>
        </row>
        <row r="553">
          <cell r="A553" t="str">
            <v>COMETTI ABITARE</v>
          </cell>
          <cell r="B553" t="str">
            <v>FALEGNAMERIA:VIA BALILLA, 181 - ROMANO DI LOMBARDIA 0363 910605</v>
          </cell>
          <cell r="D553" t="str">
            <v>VIA N.SAURO,31</v>
          </cell>
          <cell r="E553" t="str">
            <v>24058</v>
          </cell>
          <cell r="F553" t="str">
            <v>ROMANO DI LOMBARDIA</v>
          </cell>
          <cell r="G553" t="str">
            <v>BG</v>
          </cell>
          <cell r="H553" t="str">
            <v>ITALIA</v>
          </cell>
          <cell r="M553" t="str">
            <v>UFFICIO ACQUISTI</v>
          </cell>
          <cell r="N553" t="str">
            <v>0363 910097</v>
          </cell>
          <cell r="P553" t="str">
            <v>info@comettiabitare.it</v>
          </cell>
          <cell r="R553" t="str">
            <v>BONIFICO BANCARIO, ALLA DATA DELLA NOSTRA CONFERMA D'ORDINE</v>
          </cell>
          <cell r="X553">
            <v>0.2</v>
          </cell>
          <cell r="Y553">
            <v>-0.04</v>
          </cell>
          <cell r="AB553">
            <v>0.2</v>
          </cell>
          <cell r="AC553">
            <v>0.2</v>
          </cell>
          <cell r="AD553">
            <v>0.2</v>
          </cell>
          <cell r="AE553">
            <v>0.2</v>
          </cell>
          <cell r="AF553">
            <v>0.2</v>
          </cell>
          <cell r="AG553">
            <v>0.2</v>
          </cell>
          <cell r="AH553">
            <v>0.2</v>
          </cell>
          <cell r="AI553">
            <v>0.2</v>
          </cell>
          <cell r="AJ553">
            <v>0.2</v>
          </cell>
          <cell r="AK553">
            <v>0.2</v>
          </cell>
          <cell r="AL553">
            <v>0.2</v>
          </cell>
          <cell r="AM553">
            <v>0.2</v>
          </cell>
          <cell r="AN553">
            <v>0.2</v>
          </cell>
          <cell r="AO553">
            <v>0.2</v>
          </cell>
          <cell r="AP553">
            <v>0.2</v>
          </cell>
          <cell r="AQ553">
            <v>0.2</v>
          </cell>
          <cell r="AR553">
            <v>0.2</v>
          </cell>
          <cell r="AS553">
            <v>0.2</v>
          </cell>
          <cell r="AT553">
            <v>-0.04</v>
          </cell>
          <cell r="AU553">
            <v>0.92</v>
          </cell>
          <cell r="AV553">
            <v>20</v>
          </cell>
          <cell r="AZ553">
            <v>0.2</v>
          </cell>
          <cell r="BA553">
            <v>0.2</v>
          </cell>
        </row>
        <row r="554">
          <cell r="A554" t="str">
            <v>COMEV SNC DI LALLI E DEL CASALE</v>
          </cell>
          <cell r="D554" t="str">
            <v>VIA S.ONOFRIO 29</v>
          </cell>
          <cell r="E554" t="str">
            <v>66054</v>
          </cell>
          <cell r="F554" t="str">
            <v>VASTO</v>
          </cell>
          <cell r="G554" t="str">
            <v>CH</v>
          </cell>
          <cell r="H554" t="str">
            <v>ITALIA</v>
          </cell>
          <cell r="J554" t="str">
            <v>00355300690</v>
          </cell>
          <cell r="M554" t="str">
            <v>UFFICIO ACQUISTI</v>
          </cell>
          <cell r="N554" t="str">
            <v>0873 58765</v>
          </cell>
          <cell r="O554" t="str">
            <v>333 5996661</v>
          </cell>
          <cell r="P554" t="str">
            <v>comev.vasto@gmail.com</v>
          </cell>
          <cell r="R554" t="str">
            <v>BONIFICO BANCARIO, ALLA DATA DELLA NOSTRA CONFERMA D'ORDINE</v>
          </cell>
          <cell r="X554">
            <v>0.25</v>
          </cell>
          <cell r="Y554">
            <v>-0.04</v>
          </cell>
          <cell r="AB554">
            <v>0.25</v>
          </cell>
          <cell r="AC554">
            <v>0.25</v>
          </cell>
          <cell r="AD554">
            <v>0.25</v>
          </cell>
          <cell r="AE554">
            <v>0.25</v>
          </cell>
          <cell r="AF554">
            <v>0.25</v>
          </cell>
          <cell r="AG554">
            <v>0.25</v>
          </cell>
          <cell r="AH554">
            <v>0.25</v>
          </cell>
          <cell r="AI554">
            <v>0.25</v>
          </cell>
          <cell r="AJ554">
            <v>0.25</v>
          </cell>
          <cell r="AK554">
            <v>0.25</v>
          </cell>
          <cell r="AL554">
            <v>0.25</v>
          </cell>
          <cell r="AM554">
            <v>0.25</v>
          </cell>
          <cell r="AN554">
            <v>0.25</v>
          </cell>
          <cell r="AO554">
            <v>0.25</v>
          </cell>
          <cell r="AP554">
            <v>0.25</v>
          </cell>
          <cell r="AQ554">
            <v>0.25</v>
          </cell>
          <cell r="AR554">
            <v>0.25</v>
          </cell>
          <cell r="AS554">
            <v>0.25</v>
          </cell>
          <cell r="AT554">
            <v>-0.04</v>
          </cell>
          <cell r="AU554">
            <v>0.92</v>
          </cell>
          <cell r="AV554">
            <v>20</v>
          </cell>
          <cell r="AY554" t="str">
            <v/>
          </cell>
          <cell r="AZ554">
            <v>0.25</v>
          </cell>
          <cell r="BA554">
            <v>0.25</v>
          </cell>
        </row>
        <row r="555">
          <cell r="A555" t="str">
            <v>COMI.ALL.SRL</v>
          </cell>
          <cell r="B555" t="str">
            <v>CONSONNI MICHELE AMM.RE  SHOW R. VIA BRASCA, 94 -TREZZO S/N (MI)</v>
          </cell>
          <cell r="D555" t="str">
            <v>VIA VENETO, 5</v>
          </cell>
          <cell r="E555" t="str">
            <v>24041</v>
          </cell>
          <cell r="F555" t="str">
            <v>BREMBATE</v>
          </cell>
          <cell r="G555" t="str">
            <v>BG</v>
          </cell>
          <cell r="H555" t="str">
            <v>ITALIA</v>
          </cell>
          <cell r="J555" t="str">
            <v>03857930162</v>
          </cell>
          <cell r="M555" t="str">
            <v>UFFICIO ACQUISTI</v>
          </cell>
          <cell r="N555" t="str">
            <v>035 801412</v>
          </cell>
          <cell r="O555" t="str">
            <v>333 5462356 CONSONNI MICHELE AMM.RE</v>
          </cell>
          <cell r="P555" t="str">
            <v>comi.allsrl@gmail.com</v>
          </cell>
          <cell r="R555" t="str">
            <v>BONIFICO BANCARIO, ALLA DATA DELLA NOSTRA CONFERMA D'ORDINE</v>
          </cell>
          <cell r="X555">
            <v>0.2</v>
          </cell>
          <cell r="Y555">
            <v>-0.04</v>
          </cell>
          <cell r="AB555">
            <v>0.2</v>
          </cell>
          <cell r="AC555">
            <v>0.2</v>
          </cell>
          <cell r="AD555">
            <v>0.2</v>
          </cell>
          <cell r="AE555">
            <v>0.2</v>
          </cell>
          <cell r="AF555">
            <v>0.2</v>
          </cell>
          <cell r="AG555">
            <v>0.2</v>
          </cell>
          <cell r="AH555">
            <v>0.2</v>
          </cell>
          <cell r="AI555">
            <v>0.2</v>
          </cell>
          <cell r="AJ555">
            <v>0.2</v>
          </cell>
          <cell r="AK555">
            <v>0.2</v>
          </cell>
          <cell r="AL555">
            <v>0.2</v>
          </cell>
          <cell r="AM555">
            <v>0.2</v>
          </cell>
          <cell r="AN555">
            <v>0.2</v>
          </cell>
          <cell r="AO555">
            <v>0.2</v>
          </cell>
          <cell r="AP555">
            <v>0.2</v>
          </cell>
          <cell r="AQ555">
            <v>0.2</v>
          </cell>
          <cell r="AR555">
            <v>0.2</v>
          </cell>
          <cell r="AS555">
            <v>0.2</v>
          </cell>
          <cell r="AT555">
            <v>-0.04</v>
          </cell>
          <cell r="AU555">
            <v>0.92</v>
          </cell>
          <cell r="AV555">
            <v>20</v>
          </cell>
          <cell r="AZ555">
            <v>0.2</v>
          </cell>
          <cell r="BA555">
            <v>0.2</v>
          </cell>
        </row>
        <row r="556">
          <cell r="A556" t="str">
            <v xml:space="preserve">COMMERCIALE INFISSI SRL PORTE E FINESTRE </v>
          </cell>
          <cell r="D556" t="str">
            <v>VIA PROVINCIALE, 354</v>
          </cell>
          <cell r="E556" t="str">
            <v>40056</v>
          </cell>
          <cell r="F556" t="str">
            <v>VALSAMOGGIA</v>
          </cell>
          <cell r="G556" t="str">
            <v>BO</v>
          </cell>
          <cell r="H556" t="str">
            <v>ITALIA</v>
          </cell>
          <cell r="I556" t="str">
            <v>03035981202</v>
          </cell>
          <cell r="J556" t="str">
            <v>03035981202</v>
          </cell>
          <cell r="M556" t="str">
            <v>UFFICIO ACQUISTI</v>
          </cell>
          <cell r="N556" t="str">
            <v>051 6705425</v>
          </cell>
          <cell r="O556" t="str">
            <v>331 90944361</v>
          </cell>
          <cell r="P556" t="str">
            <v>info@commercialeinfissi.it</v>
          </cell>
          <cell r="R556" t="str">
            <v>BONIFICO BANCARIO, ALLA DATA DELLA NOSTRA CONFERMA D'ORDINE</v>
          </cell>
          <cell r="X556">
            <v>0.25</v>
          </cell>
          <cell r="Y556">
            <v>-0.04</v>
          </cell>
          <cell r="AB556">
            <v>0.25</v>
          </cell>
          <cell r="AC556">
            <v>0.25</v>
          </cell>
          <cell r="AD556">
            <v>0.25</v>
          </cell>
          <cell r="AE556">
            <v>0.25</v>
          </cell>
          <cell r="AF556">
            <v>0.25</v>
          </cell>
          <cell r="AG556">
            <v>0.25</v>
          </cell>
          <cell r="AH556">
            <v>0.25</v>
          </cell>
          <cell r="AI556">
            <v>0.25</v>
          </cell>
          <cell r="AJ556">
            <v>0.25</v>
          </cell>
          <cell r="AK556">
            <v>0.25</v>
          </cell>
          <cell r="AL556">
            <v>0.25</v>
          </cell>
          <cell r="AM556">
            <v>0.25</v>
          </cell>
          <cell r="AN556">
            <v>0.25</v>
          </cell>
          <cell r="AO556">
            <v>0.25</v>
          </cell>
          <cell r="AP556">
            <v>0.25</v>
          </cell>
          <cell r="AQ556">
            <v>0.25</v>
          </cell>
          <cell r="AR556">
            <v>0.25</v>
          </cell>
          <cell r="AS556">
            <v>0.25</v>
          </cell>
          <cell r="AT556">
            <v>-0.04</v>
          </cell>
          <cell r="AU556">
            <v>0.92</v>
          </cell>
          <cell r="AV556">
            <v>20</v>
          </cell>
          <cell r="AZ556">
            <v>0.25</v>
          </cell>
          <cell r="BA556">
            <v>0.25</v>
          </cell>
        </row>
        <row r="557">
          <cell r="A557" t="str">
            <v>COMPEDIL SRL</v>
          </cell>
          <cell r="B557" t="str">
            <v>USO FOTO E FILMATI        - NIGRO EMILIA, CONNOTA FRANCESCO - 16/02 NON SONO RIUSCITI A SPINGERE IL PRODOTTO MA LO HANNO ANCORA ESPOSTO NELLO SHOWROOM. MANDATO LINK CON FOTO/VIDEO PER PUBBLICIZZARE PRODOTTO SU SITO E SOCIAL</v>
          </cell>
          <cell r="D557" t="str">
            <v>VIALE SCALA GRECA, 375</v>
          </cell>
          <cell r="E557">
            <v>96100</v>
          </cell>
          <cell r="F557" t="str">
            <v>SIRACUSA</v>
          </cell>
          <cell r="G557" t="str">
            <v>SR</v>
          </cell>
          <cell r="H557" t="str">
            <v>ITALIA</v>
          </cell>
          <cell r="J557" t="str">
            <v>00940050891</v>
          </cell>
          <cell r="K557" t="str">
            <v>1G94QO0</v>
          </cell>
          <cell r="M557" t="str">
            <v>UFFICIO ACQUISTI</v>
          </cell>
          <cell r="N557" t="str">
            <v>0931 493235</v>
          </cell>
          <cell r="P557" t="str">
            <v>info@compedil.com</v>
          </cell>
          <cell r="R557" t="str">
            <v>BONIFICO BANCARIO, ALLA DATA DELLA NOSTRA CONFERMA D'ORDINE</v>
          </cell>
          <cell r="X557">
            <v>0.25</v>
          </cell>
          <cell r="Y557">
            <v>-0.04</v>
          </cell>
          <cell r="AB557">
            <v>0.25</v>
          </cell>
          <cell r="AC557">
            <v>0.25</v>
          </cell>
          <cell r="AD557">
            <v>0.25</v>
          </cell>
          <cell r="AE557">
            <v>0.25</v>
          </cell>
          <cell r="AF557">
            <v>0.25</v>
          </cell>
          <cell r="AG557">
            <v>0.25</v>
          </cell>
          <cell r="AH557">
            <v>0.25</v>
          </cell>
          <cell r="AI557">
            <v>0.25</v>
          </cell>
          <cell r="AJ557">
            <v>0.25</v>
          </cell>
          <cell r="AK557">
            <v>0.25</v>
          </cell>
          <cell r="AL557">
            <v>0.25</v>
          </cell>
          <cell r="AM557">
            <v>0.25</v>
          </cell>
          <cell r="AN557">
            <v>0.25</v>
          </cell>
          <cell r="AO557">
            <v>0.25</v>
          </cell>
          <cell r="AP557">
            <v>0.25</v>
          </cell>
          <cell r="AQ557">
            <v>0.25</v>
          </cell>
          <cell r="AR557">
            <v>0.25</v>
          </cell>
          <cell r="AS557">
            <v>0.25</v>
          </cell>
          <cell r="AT557">
            <v>-0.04</v>
          </cell>
          <cell r="AU557">
            <v>0.92</v>
          </cell>
          <cell r="AV557">
            <v>20</v>
          </cell>
          <cell r="AW557" t="str">
            <v xml:space="preserve">IVAN LIVERANI </v>
          </cell>
          <cell r="AX557">
            <v>0.95</v>
          </cell>
          <cell r="AZ557">
            <v>0.25</v>
          </cell>
          <cell r="BA557">
            <v>0.25</v>
          </cell>
          <cell r="BF557" t="str">
            <v>CLICK RAPID con carpenteria 02/03/2020</v>
          </cell>
        </row>
        <row r="558">
          <cell r="A558" t="str">
            <v>COMPRA PORTE.IT</v>
          </cell>
          <cell r="D558" t="str">
            <v>VIA EMILIA OVEST, 77</v>
          </cell>
          <cell r="E558">
            <v>43126</v>
          </cell>
          <cell r="F558" t="str">
            <v>PARMA</v>
          </cell>
          <cell r="G558" t="str">
            <v>PR</v>
          </cell>
          <cell r="H558" t="str">
            <v>ITALIA</v>
          </cell>
          <cell r="J558" t="str">
            <v>02640920340</v>
          </cell>
          <cell r="M558" t="str">
            <v>UFFICIO ACQUISTI</v>
          </cell>
          <cell r="N558" t="str">
            <v>0521 712637</v>
          </cell>
          <cell r="P558" t="str">
            <v>info@compraporte.it</v>
          </cell>
          <cell r="R558" t="str">
            <v>BONIFICO BANCARIO, ALLA DATA DELLA NOSTRA CONFERMA D'ORDINE</v>
          </cell>
          <cell r="X558">
            <v>0.25</v>
          </cell>
          <cell r="Y558">
            <v>-0.04</v>
          </cell>
          <cell r="AB558">
            <v>0.25</v>
          </cell>
          <cell r="AC558">
            <v>0.25</v>
          </cell>
          <cell r="AD558">
            <v>0.25</v>
          </cell>
          <cell r="AE558">
            <v>0.25</v>
          </cell>
          <cell r="AF558">
            <v>0.25</v>
          </cell>
          <cell r="AG558">
            <v>0.25</v>
          </cell>
          <cell r="AH558">
            <v>0.25</v>
          </cell>
          <cell r="AI558">
            <v>0.25</v>
          </cell>
          <cell r="AJ558">
            <v>0.25</v>
          </cell>
          <cell r="AK558">
            <v>0.25</v>
          </cell>
          <cell r="AL558">
            <v>0.25</v>
          </cell>
          <cell r="AM558">
            <v>0.25</v>
          </cell>
          <cell r="AN558">
            <v>0.25</v>
          </cell>
          <cell r="AO558">
            <v>0.25</v>
          </cell>
          <cell r="AP558">
            <v>0.25</v>
          </cell>
          <cell r="AQ558">
            <v>0.25</v>
          </cell>
          <cell r="AR558">
            <v>0.25</v>
          </cell>
          <cell r="AS558">
            <v>0.25</v>
          </cell>
          <cell r="AT558">
            <v>-0.04</v>
          </cell>
          <cell r="AU558">
            <v>0.92</v>
          </cell>
          <cell r="AV558">
            <v>20</v>
          </cell>
          <cell r="AZ558">
            <v>0.25</v>
          </cell>
          <cell r="BA558">
            <v>0.25</v>
          </cell>
        </row>
        <row r="559">
          <cell r="A559" t="str">
            <v>CONTATTA - VALENTINO VACCHER &amp; C. COSTRUZIONI METALLICHE S.N.C.</v>
          </cell>
          <cell r="D559" t="str">
            <v>VIA ZUCCHERIFICIO 12</v>
          </cell>
          <cell r="E559" t="str">
            <v>33078</v>
          </cell>
          <cell r="F559" t="str">
            <v>SAN VITO AL TAGLIAMENTO</v>
          </cell>
          <cell r="G559" t="str">
            <v>PN</v>
          </cell>
          <cell r="H559" t="str">
            <v>ITALIA</v>
          </cell>
          <cell r="J559" t="str">
            <v>00179350939</v>
          </cell>
          <cell r="M559" t="str">
            <v>UFFICIO ACQUISTI</v>
          </cell>
          <cell r="N559" t="str">
            <v>0434 80274</v>
          </cell>
          <cell r="R559" t="str">
            <v>BONIFICO BANCARIO, ALLA DATA DELLA NOSTRA CONFERMA D'ORDINE</v>
          </cell>
          <cell r="X559">
            <v>0.25</v>
          </cell>
          <cell r="Y559">
            <v>-0.04</v>
          </cell>
          <cell r="AB559">
            <v>0.25</v>
          </cell>
          <cell r="AC559">
            <v>0.25</v>
          </cell>
          <cell r="AD559">
            <v>0.25</v>
          </cell>
          <cell r="AE559">
            <v>0.25</v>
          </cell>
          <cell r="AF559">
            <v>0.25</v>
          </cell>
          <cell r="AG559">
            <v>0.25</v>
          </cell>
          <cell r="AH559">
            <v>0.25</v>
          </cell>
          <cell r="AI559">
            <v>0.25</v>
          </cell>
          <cell r="AJ559">
            <v>0.25</v>
          </cell>
          <cell r="AK559">
            <v>0.25</v>
          </cell>
          <cell r="AL559">
            <v>0.25</v>
          </cell>
          <cell r="AM559">
            <v>0.25</v>
          </cell>
          <cell r="AN559">
            <v>0.25</v>
          </cell>
          <cell r="AO559">
            <v>0.25</v>
          </cell>
          <cell r="AP559">
            <v>0.25</v>
          </cell>
          <cell r="AQ559">
            <v>0.25</v>
          </cell>
          <cell r="AR559">
            <v>0.25</v>
          </cell>
          <cell r="AS559">
            <v>0.25</v>
          </cell>
          <cell r="AT559">
            <v>-0.04</v>
          </cell>
          <cell r="AU559">
            <v>0.92</v>
          </cell>
          <cell r="AV559">
            <v>20</v>
          </cell>
          <cell r="AY559" t="str">
            <v/>
          </cell>
          <cell r="AZ559">
            <v>0.25</v>
          </cell>
          <cell r="BA559">
            <v>0.25</v>
          </cell>
        </row>
        <row r="560">
          <cell r="A560" t="str">
            <v xml:space="preserve">CONTE SERRANDE </v>
          </cell>
          <cell r="D560" t="str">
            <v>VIA UGO FOSCOLO, 12</v>
          </cell>
          <cell r="E560" t="str">
            <v>03039</v>
          </cell>
          <cell r="F560" t="str">
            <v>SORA</v>
          </cell>
          <cell r="G560" t="str">
            <v>FR</v>
          </cell>
          <cell r="H560" t="str">
            <v>ITALIA</v>
          </cell>
          <cell r="M560" t="str">
            <v>UFFICIO ACQUISTI</v>
          </cell>
          <cell r="N560" t="str">
            <v>0776 831717</v>
          </cell>
          <cell r="O560" t="str">
            <v>333 2014263    360 819539</v>
          </cell>
          <cell r="R560" t="str">
            <v>BONIFICO BANCARIO, ALLA DATA DELLA NOSTRA CONFERMA D'ORDINE</v>
          </cell>
          <cell r="X560">
            <v>0.25</v>
          </cell>
          <cell r="Y560">
            <v>-0.04</v>
          </cell>
          <cell r="AB560">
            <v>0.25</v>
          </cell>
          <cell r="AC560">
            <v>0.25</v>
          </cell>
          <cell r="AD560">
            <v>0.25</v>
          </cell>
          <cell r="AE560">
            <v>0.25</v>
          </cell>
          <cell r="AF560">
            <v>0.25</v>
          </cell>
          <cell r="AG560">
            <v>0.25</v>
          </cell>
          <cell r="AH560">
            <v>0.25</v>
          </cell>
          <cell r="AI560">
            <v>0.25</v>
          </cell>
          <cell r="AJ560">
            <v>0.25</v>
          </cell>
          <cell r="AK560">
            <v>0.25</v>
          </cell>
          <cell r="AL560">
            <v>0.25</v>
          </cell>
          <cell r="AM560">
            <v>0.25</v>
          </cell>
          <cell r="AN560">
            <v>0.25</v>
          </cell>
          <cell r="AO560">
            <v>0.25</v>
          </cell>
          <cell r="AP560">
            <v>0.25</v>
          </cell>
          <cell r="AQ560">
            <v>0.25</v>
          </cell>
          <cell r="AR560">
            <v>0.25</v>
          </cell>
          <cell r="AS560">
            <v>0.25</v>
          </cell>
          <cell r="AT560">
            <v>-0.04</v>
          </cell>
          <cell r="AU560">
            <v>0.92</v>
          </cell>
          <cell r="AV560">
            <v>20</v>
          </cell>
          <cell r="AZ560">
            <v>0.25</v>
          </cell>
          <cell r="BA560">
            <v>0.25</v>
          </cell>
        </row>
        <row r="561">
          <cell r="A561" t="str">
            <v>CONTESSI FRANCO E C. SNC</v>
          </cell>
          <cell r="B561" t="str">
            <v>CONTESSI FELICITA ENRICO</v>
          </cell>
          <cell r="D561" t="str">
            <v>VIA BRONDANI, 58</v>
          </cell>
          <cell r="F561" t="str">
            <v>GEMONA DEL FRIULI</v>
          </cell>
          <cell r="G561" t="str">
            <v>UD</v>
          </cell>
          <cell r="H561" t="str">
            <v>ITALIA</v>
          </cell>
          <cell r="M561" t="str">
            <v>UFFICIO ACQUISTI</v>
          </cell>
          <cell r="N561" t="str">
            <v>0432 981365</v>
          </cell>
          <cell r="O561" t="str">
            <v>347 1541461</v>
          </cell>
          <cell r="P561" t="str">
            <v>info@contessifranco.it</v>
          </cell>
          <cell r="R561" t="str">
            <v>BONIFICO BANCARIO, ALLA DATA DELLA NOSTRA CONFERMA D'ORDINE</v>
          </cell>
          <cell r="X561">
            <v>0.25</v>
          </cell>
          <cell r="Y561">
            <v>-0.04</v>
          </cell>
          <cell r="AB561">
            <v>0.25</v>
          </cell>
          <cell r="AC561">
            <v>0.25</v>
          </cell>
          <cell r="AD561">
            <v>0.25</v>
          </cell>
          <cell r="AE561">
            <v>0.25</v>
          </cell>
          <cell r="AF561">
            <v>0.25</v>
          </cell>
          <cell r="AG561">
            <v>0.25</v>
          </cell>
          <cell r="AH561">
            <v>0.25</v>
          </cell>
          <cell r="AI561">
            <v>0.25</v>
          </cell>
          <cell r="AJ561">
            <v>0.25</v>
          </cell>
          <cell r="AK561">
            <v>0.25</v>
          </cell>
          <cell r="AL561">
            <v>0.25</v>
          </cell>
          <cell r="AM561">
            <v>0.25</v>
          </cell>
          <cell r="AN561">
            <v>0.25</v>
          </cell>
          <cell r="AO561">
            <v>0.25</v>
          </cell>
          <cell r="AP561">
            <v>0.25</v>
          </cell>
          <cell r="AQ561">
            <v>0.25</v>
          </cell>
          <cell r="AR561">
            <v>0.25</v>
          </cell>
          <cell r="AS561">
            <v>0.25</v>
          </cell>
          <cell r="AT561">
            <v>-0.04</v>
          </cell>
          <cell r="AU561">
            <v>0.92</v>
          </cell>
          <cell r="AV561">
            <v>20</v>
          </cell>
          <cell r="AZ561">
            <v>0.25</v>
          </cell>
          <cell r="BA561">
            <v>0.25</v>
          </cell>
        </row>
        <row r="562">
          <cell r="A562" t="str">
            <v>CONTI SERRAMENTI</v>
          </cell>
          <cell r="D562" t="str">
            <v>VIA LUIGI EINAUDI 40</v>
          </cell>
          <cell r="E562" t="str">
            <v>15121</v>
          </cell>
          <cell r="F562" t="str">
            <v>ALESSANDRIA</v>
          </cell>
          <cell r="G562" t="str">
            <v>AL</v>
          </cell>
          <cell r="H562" t="str">
            <v>ITALIA</v>
          </cell>
          <cell r="J562" t="str">
            <v>02444000067</v>
          </cell>
          <cell r="M562" t="str">
            <v>UFFICIO ACQUISTI</v>
          </cell>
          <cell r="N562" t="str">
            <v>0131 483208</v>
          </cell>
          <cell r="O562" t="str">
            <v>329 6443750 CONTI SALVATORE</v>
          </cell>
          <cell r="P562" t="str">
            <v>conti.serramenti@libero.it</v>
          </cell>
          <cell r="R562" t="str">
            <v>BONIFICO BANCARIO, ALLA DATA DELLA NOSTRA CONFERMA D'ORDINE</v>
          </cell>
          <cell r="X562">
            <v>0.25</v>
          </cell>
          <cell r="Y562">
            <v>-0.04</v>
          </cell>
          <cell r="AB562">
            <v>0.25</v>
          </cell>
          <cell r="AC562">
            <v>0.25</v>
          </cell>
          <cell r="AD562">
            <v>0.25</v>
          </cell>
          <cell r="AE562">
            <v>0.25</v>
          </cell>
          <cell r="AF562">
            <v>0.25</v>
          </cell>
          <cell r="AG562">
            <v>0.25</v>
          </cell>
          <cell r="AH562">
            <v>0.25</v>
          </cell>
          <cell r="AI562">
            <v>0.25</v>
          </cell>
          <cell r="AJ562">
            <v>0.25</v>
          </cell>
          <cell r="AK562">
            <v>0.25</v>
          </cell>
          <cell r="AL562">
            <v>0.25</v>
          </cell>
          <cell r="AM562">
            <v>0.25</v>
          </cell>
          <cell r="AN562">
            <v>0.25</v>
          </cell>
          <cell r="AO562">
            <v>0.25</v>
          </cell>
          <cell r="AP562">
            <v>0.25</v>
          </cell>
          <cell r="AQ562">
            <v>0.25</v>
          </cell>
          <cell r="AR562">
            <v>0.25</v>
          </cell>
          <cell r="AS562">
            <v>0.25</v>
          </cell>
          <cell r="AT562">
            <v>-0.04</v>
          </cell>
          <cell r="AU562">
            <v>0.92</v>
          </cell>
          <cell r="AV562">
            <v>20</v>
          </cell>
          <cell r="AZ562">
            <v>0.25</v>
          </cell>
          <cell r="BA562">
            <v>0.25</v>
          </cell>
        </row>
        <row r="563">
          <cell r="A563" t="str">
            <v>COOP.S COOPERAZIONE SINISCOLA DI CARTA DEVIS  ANTONIO E SIMONETTA</v>
          </cell>
          <cell r="D563" t="str">
            <v>ZONA IND.LOTTO 7</v>
          </cell>
          <cell r="E563" t="str">
            <v>08029</v>
          </cell>
          <cell r="F563" t="str">
            <v>SINISCOLA</v>
          </cell>
          <cell r="G563" t="str">
            <v>NU</v>
          </cell>
          <cell r="H563" t="str">
            <v>ITALIA</v>
          </cell>
          <cell r="J563" t="str">
            <v>01379910910</v>
          </cell>
          <cell r="K563" t="str">
            <v>M5SUXCR1</v>
          </cell>
          <cell r="M563" t="str">
            <v>UFFICIO ACQUISTI</v>
          </cell>
          <cell r="N563" t="str">
            <v>0784 878418</v>
          </cell>
          <cell r="O563" t="str">
            <v>328 3026224 ANTONIO  349 5739296 DEVIS</v>
          </cell>
          <cell r="P563" t="str">
            <v>coopsinfissieferro@tiscali.it</v>
          </cell>
          <cell r="R563" t="str">
            <v>BONIFICO BANCARIO, ALLA DATA DELLA NOSTRA CONFERMA D'ORDINE</v>
          </cell>
          <cell r="X563">
            <v>0.2</v>
          </cell>
          <cell r="Y563">
            <v>-0.04</v>
          </cell>
          <cell r="AB563">
            <v>0.2</v>
          </cell>
          <cell r="AC563">
            <v>0.2</v>
          </cell>
          <cell r="AD563">
            <v>0.2</v>
          </cell>
          <cell r="AE563">
            <v>0.2</v>
          </cell>
          <cell r="AF563">
            <v>0.2</v>
          </cell>
          <cell r="AG563">
            <v>0.2</v>
          </cell>
          <cell r="AH563">
            <v>0.2</v>
          </cell>
          <cell r="AI563">
            <v>0.2</v>
          </cell>
          <cell r="AJ563">
            <v>0.2</v>
          </cell>
          <cell r="AK563">
            <v>0.2</v>
          </cell>
          <cell r="AL563">
            <v>0.2</v>
          </cell>
          <cell r="AM563">
            <v>0.2</v>
          </cell>
          <cell r="AN563">
            <v>0.2</v>
          </cell>
          <cell r="AO563">
            <v>0.2</v>
          </cell>
          <cell r="AP563">
            <v>0.2</v>
          </cell>
          <cell r="AQ563">
            <v>0.2</v>
          </cell>
          <cell r="AR563">
            <v>0.2</v>
          </cell>
          <cell r="AS563">
            <v>0.2</v>
          </cell>
          <cell r="AT563">
            <v>-0.04</v>
          </cell>
          <cell r="AU563">
            <v>0.92</v>
          </cell>
          <cell r="AV563">
            <v>20</v>
          </cell>
          <cell r="AZ563">
            <v>0.2</v>
          </cell>
          <cell r="BA563">
            <v>0.2</v>
          </cell>
        </row>
        <row r="564">
          <cell r="A564" t="str">
            <v>COPPOLA GIANFRANCO</v>
          </cell>
          <cell r="D564" t="str">
            <v>VIA DUCA DEGLI ABRUZZI, 322 A</v>
          </cell>
          <cell r="E564">
            <v>18038</v>
          </cell>
          <cell r="F564" t="str">
            <v>SANREMO</v>
          </cell>
          <cell r="G564" t="str">
            <v>IM</v>
          </cell>
          <cell r="H564" t="str">
            <v>ITALIA</v>
          </cell>
          <cell r="I564" t="str">
            <v>CPPGFR62S21I138Q</v>
          </cell>
          <cell r="J564" t="str">
            <v>00960270080</v>
          </cell>
          <cell r="M564" t="str">
            <v>UFFICIO ACQUISTI</v>
          </cell>
          <cell r="N564" t="str">
            <v>0184 533422</v>
          </cell>
          <cell r="R564" t="str">
            <v>BONIFICO BANCARIO, ALLA DATA DELLA NOSTRA CONFERMA D'ORDINE</v>
          </cell>
          <cell r="X564">
            <v>0.25</v>
          </cell>
          <cell r="Y564">
            <v>-0.04</v>
          </cell>
          <cell r="AB564">
            <v>0.25</v>
          </cell>
          <cell r="AC564">
            <v>0.25</v>
          </cell>
          <cell r="AD564">
            <v>0.25</v>
          </cell>
          <cell r="AE564">
            <v>0.25</v>
          </cell>
          <cell r="AF564">
            <v>0.25</v>
          </cell>
          <cell r="AG564">
            <v>0.25</v>
          </cell>
          <cell r="AH564">
            <v>0.25</v>
          </cell>
          <cell r="AI564">
            <v>0.25</v>
          </cell>
          <cell r="AJ564">
            <v>0.25</v>
          </cell>
          <cell r="AK564">
            <v>0.25</v>
          </cell>
          <cell r="AL564">
            <v>0.25</v>
          </cell>
          <cell r="AM564">
            <v>0.25</v>
          </cell>
          <cell r="AN564">
            <v>0.25</v>
          </cell>
          <cell r="AO564">
            <v>0.25</v>
          </cell>
          <cell r="AP564">
            <v>0.25</v>
          </cell>
          <cell r="AQ564">
            <v>0.25</v>
          </cell>
          <cell r="AR564">
            <v>0.25</v>
          </cell>
          <cell r="AS564">
            <v>0.25</v>
          </cell>
          <cell r="AT564">
            <v>-0.04</v>
          </cell>
          <cell r="AU564">
            <v>0.92</v>
          </cell>
          <cell r="AV564">
            <v>20</v>
          </cell>
          <cell r="AY564" t="str">
            <v/>
          </cell>
          <cell r="AZ564">
            <v>0.25</v>
          </cell>
          <cell r="BA564">
            <v>0.25</v>
          </cell>
        </row>
        <row r="565">
          <cell r="A565" t="str">
            <v>COPS DI CARLO GALLIA</v>
          </cell>
          <cell r="B565" t="str">
            <v>14/02/2023 NON NE VUOLE SAPERE</v>
          </cell>
          <cell r="D565" t="str">
            <v>VIA GIORDANO BRUNO 51/55</v>
          </cell>
          <cell r="E565" t="str">
            <v>15040</v>
          </cell>
          <cell r="F565" t="str">
            <v>CASTELLETTO MONFERRATO</v>
          </cell>
          <cell r="G565" t="str">
            <v>AL</v>
          </cell>
          <cell r="H565" t="str">
            <v>ITALIA</v>
          </cell>
          <cell r="J565" t="str">
            <v>02047470063</v>
          </cell>
          <cell r="M565" t="str">
            <v>UFFICIO ACQUISTI</v>
          </cell>
          <cell r="N565" t="str">
            <v>3383927441</v>
          </cell>
          <cell r="P565" t="str">
            <v>carlogallia@gmail.com</v>
          </cell>
          <cell r="R565" t="str">
            <v>BONIFICO BANCARIO, ALLA DATA DELLA NOSTRA CONFERMA D'ORDINE</v>
          </cell>
          <cell r="X565">
            <v>0.25</v>
          </cell>
          <cell r="Y565">
            <v>-0.04</v>
          </cell>
          <cell r="AB565">
            <v>0.25</v>
          </cell>
          <cell r="AC565">
            <v>0.25</v>
          </cell>
          <cell r="AD565">
            <v>0.25</v>
          </cell>
          <cell r="AE565">
            <v>0.25</v>
          </cell>
          <cell r="AF565">
            <v>0.25</v>
          </cell>
          <cell r="AG565">
            <v>0.25</v>
          </cell>
          <cell r="AH565">
            <v>0.25</v>
          </cell>
          <cell r="AI565">
            <v>0.25</v>
          </cell>
          <cell r="AJ565">
            <v>0.25</v>
          </cell>
          <cell r="AK565">
            <v>0.25</v>
          </cell>
          <cell r="AL565">
            <v>0.25</v>
          </cell>
          <cell r="AM565">
            <v>0.25</v>
          </cell>
          <cell r="AN565">
            <v>0.25</v>
          </cell>
          <cell r="AO565">
            <v>0.25</v>
          </cell>
          <cell r="AP565">
            <v>0.25</v>
          </cell>
          <cell r="AQ565">
            <v>0.25</v>
          </cell>
          <cell r="AR565">
            <v>0.25</v>
          </cell>
          <cell r="AS565">
            <v>0.25</v>
          </cell>
          <cell r="AT565">
            <v>-0.04</v>
          </cell>
          <cell r="AU565">
            <v>0.92</v>
          </cell>
          <cell r="AV565">
            <v>20</v>
          </cell>
          <cell r="AY565" t="str">
            <v/>
          </cell>
          <cell r="AZ565">
            <v>0.25</v>
          </cell>
          <cell r="BA565">
            <v>0.25</v>
          </cell>
        </row>
        <row r="566">
          <cell r="A566" t="str">
            <v>CORBETTA SERRAMENTI SRL</v>
          </cell>
          <cell r="D566" t="str">
            <v xml:space="preserve">VIA LEONARDO DA VINCI, 1 </v>
          </cell>
          <cell r="E566" t="str">
            <v>22071</v>
          </cell>
          <cell r="F566" t="str">
            <v>CASLINO AL PIANO</v>
          </cell>
          <cell r="G566" t="str">
            <v>CO</v>
          </cell>
          <cell r="H566" t="str">
            <v>ITALIA</v>
          </cell>
          <cell r="J566" t="str">
            <v>03084750136</v>
          </cell>
          <cell r="M566" t="str">
            <v>UFFICIO ACQUISTI</v>
          </cell>
          <cell r="N566" t="str">
            <v>031 903188</v>
          </cell>
          <cell r="P566" t="str">
            <v>info@corbettaserramenti.it</v>
          </cell>
          <cell r="R566" t="str">
            <v>BONIFICO BANCARIO, ALLA DATA DELLA NOSTRA CONFERMA D'ORDINE</v>
          </cell>
          <cell r="X566">
            <v>0.25</v>
          </cell>
          <cell r="Y566">
            <v>-0.04</v>
          </cell>
          <cell r="AB566">
            <v>0.25</v>
          </cell>
          <cell r="AC566">
            <v>0.25</v>
          </cell>
          <cell r="AD566">
            <v>0.25</v>
          </cell>
          <cell r="AE566">
            <v>0.25</v>
          </cell>
          <cell r="AF566">
            <v>0.25</v>
          </cell>
          <cell r="AG566">
            <v>0.25</v>
          </cell>
          <cell r="AH566">
            <v>0.25</v>
          </cell>
          <cell r="AI566">
            <v>0.25</v>
          </cell>
          <cell r="AJ566">
            <v>0.25</v>
          </cell>
          <cell r="AK566">
            <v>0.25</v>
          </cell>
          <cell r="AL566">
            <v>0.25</v>
          </cell>
          <cell r="AM566">
            <v>0.25</v>
          </cell>
          <cell r="AN566">
            <v>0.25</v>
          </cell>
          <cell r="AO566">
            <v>0.25</v>
          </cell>
          <cell r="AP566">
            <v>0.25</v>
          </cell>
          <cell r="AQ566">
            <v>0.25</v>
          </cell>
          <cell r="AR566">
            <v>0.25</v>
          </cell>
          <cell r="AS566">
            <v>0.25</v>
          </cell>
          <cell r="AT566">
            <v>-0.04</v>
          </cell>
          <cell r="AU566">
            <v>0.92</v>
          </cell>
          <cell r="AV566">
            <v>20</v>
          </cell>
          <cell r="AY566" t="str">
            <v/>
          </cell>
          <cell r="AZ566">
            <v>0.25</v>
          </cell>
          <cell r="BA566">
            <v>0.25</v>
          </cell>
        </row>
        <row r="567">
          <cell r="A567" t="str">
            <v>CORFER DI CORAZZA G. E ANGELETTI M. SAS</v>
          </cell>
          <cell r="D567" t="str">
            <v>VIA MORRONI, 50</v>
          </cell>
          <cell r="E567" t="str">
            <v>02100</v>
          </cell>
          <cell r="F567" t="str">
            <v>RIETI</v>
          </cell>
          <cell r="G567" t="str">
            <v>RI</v>
          </cell>
          <cell r="H567" t="str">
            <v>ITALIA</v>
          </cell>
          <cell r="J567" t="str">
            <v>00763320579</v>
          </cell>
          <cell r="M567" t="str">
            <v>UFFICIO ACQUISTI</v>
          </cell>
          <cell r="N567" t="str">
            <v>0746 204053</v>
          </cell>
          <cell r="P567" t="str">
            <v>corfer.sas@tiscali.it</v>
          </cell>
          <cell r="R567" t="str">
            <v>BONIFICO BANCARIO, ALLA DATA DELLA NOSTRA CONFERMA D'ORDINE</v>
          </cell>
          <cell r="Y567">
            <v>-0.04</v>
          </cell>
          <cell r="AT567">
            <v>-0.04</v>
          </cell>
          <cell r="AV567">
            <v>20</v>
          </cell>
          <cell r="AZ567">
            <v>0</v>
          </cell>
          <cell r="BA567">
            <v>0</v>
          </cell>
        </row>
        <row r="568">
          <cell r="A568" t="str">
            <v>CORGHI SERRAMENTI</v>
          </cell>
          <cell r="D568" t="str">
            <v>VIA CESARE ABBA, 93</v>
          </cell>
          <cell r="E568" t="str">
            <v>25013</v>
          </cell>
          <cell r="F568" t="str">
            <v>CARPENEDOLO</v>
          </cell>
          <cell r="G568" t="str">
            <v>BS</v>
          </cell>
          <cell r="H568" t="str">
            <v>ITALIA</v>
          </cell>
          <cell r="M568" t="str">
            <v>UFFICIO ACQUISTI</v>
          </cell>
          <cell r="O568" t="str">
            <v>335 5377159 FABIO CORGHI</v>
          </cell>
          <cell r="P568" t="str">
            <v>info@corghiserramenti.it</v>
          </cell>
          <cell r="R568" t="str">
            <v>BONIFICO BANCARIO, ALLA DATA DELLA NOSTRA CONFERMA D'ORDINE</v>
          </cell>
          <cell r="Y568">
            <v>-0.04</v>
          </cell>
          <cell r="AT568">
            <v>-0.04</v>
          </cell>
          <cell r="AV568">
            <v>20</v>
          </cell>
          <cell r="AZ568">
            <v>0</v>
          </cell>
          <cell r="BA568">
            <v>0</v>
          </cell>
        </row>
        <row r="569">
          <cell r="A569" t="str">
            <v>CORONA TRE SRL</v>
          </cell>
          <cell r="B569" t="str">
            <v>DAVID CORONA</v>
          </cell>
          <cell r="D569" t="str">
            <v>VIA GALLURA SNC ZONA IND.LE</v>
          </cell>
          <cell r="E569" t="str">
            <v>09049</v>
          </cell>
          <cell r="F569" t="str">
            <v>VILLASIMIUS</v>
          </cell>
          <cell r="G569" t="str">
            <v>CA</v>
          </cell>
          <cell r="H569" t="str">
            <v>ITALIA</v>
          </cell>
          <cell r="J569" t="str">
            <v>03164250924</v>
          </cell>
          <cell r="M569" t="str">
            <v>UFFICIO ACQUISTI</v>
          </cell>
          <cell r="N569" t="str">
            <v>070 791271</v>
          </cell>
          <cell r="R569" t="str">
            <v>BONIFICO BANCARIO, ALLA DATA DELLA NOSTRA CONFERMA D'ORDINE</v>
          </cell>
          <cell r="X569">
            <v>0.2</v>
          </cell>
          <cell r="Y569">
            <v>-0.04</v>
          </cell>
          <cell r="AB569">
            <v>0.2</v>
          </cell>
          <cell r="AC569">
            <v>0.2</v>
          </cell>
          <cell r="AD569">
            <v>0.2</v>
          </cell>
          <cell r="AE569">
            <v>0.2</v>
          </cell>
          <cell r="AF569">
            <v>0.2</v>
          </cell>
          <cell r="AG569">
            <v>0.2</v>
          </cell>
          <cell r="AH569">
            <v>0.2</v>
          </cell>
          <cell r="AI569">
            <v>0.2</v>
          </cell>
          <cell r="AJ569">
            <v>0.2</v>
          </cell>
          <cell r="AK569">
            <v>0.2</v>
          </cell>
          <cell r="AL569">
            <v>0.2</v>
          </cell>
          <cell r="AM569">
            <v>0.2</v>
          </cell>
          <cell r="AN569">
            <v>0.2</v>
          </cell>
          <cell r="AO569">
            <v>0.2</v>
          </cell>
          <cell r="AP569">
            <v>0.2</v>
          </cell>
          <cell r="AQ569">
            <v>0.2</v>
          </cell>
          <cell r="AR569">
            <v>0.2</v>
          </cell>
          <cell r="AS569">
            <v>0.2</v>
          </cell>
          <cell r="AT569">
            <v>-0.04</v>
          </cell>
          <cell r="AU569">
            <v>0.92</v>
          </cell>
          <cell r="AV569">
            <v>20</v>
          </cell>
          <cell r="AZ569">
            <v>0.2</v>
          </cell>
          <cell r="BA569">
            <v>0.2</v>
          </cell>
        </row>
        <row r="570">
          <cell r="A570" t="str">
            <v xml:space="preserve">CORONA ZANZARIERE </v>
          </cell>
          <cell r="B570" t="str">
            <v>RIVENDITORE STOP ALLAGAMENTO INTERESSATO AL CAMPIONE   + AVVISARE PRIMA DI CONSEGNARE</v>
          </cell>
          <cell r="D570" t="str">
            <v>VIA PASSAGGIA, 34</v>
          </cell>
          <cell r="E570">
            <v>18010</v>
          </cell>
          <cell r="F570" t="str">
            <v>DIANO CASTELLO</v>
          </cell>
          <cell r="G570" t="str">
            <v>IM</v>
          </cell>
          <cell r="H570" t="str">
            <v>ITALIA</v>
          </cell>
          <cell r="J570" t="str">
            <v>01109170082</v>
          </cell>
          <cell r="K570" t="str">
            <v>M5UXCR1</v>
          </cell>
          <cell r="M570" t="str">
            <v>SIG. MARCO</v>
          </cell>
          <cell r="N570" t="str">
            <v>0183 407503</v>
          </cell>
          <cell r="P570" t="str">
            <v>coronazanzariere@libero.it</v>
          </cell>
          <cell r="R570" t="str">
            <v>BONIFICO BANCARIO, ALLA DATA DELLA NOSTRA CONFERMA D'ORDINE</v>
          </cell>
          <cell r="X570">
            <v>0.25</v>
          </cell>
          <cell r="Y570">
            <v>-0.04</v>
          </cell>
          <cell r="AB570">
            <v>0.25</v>
          </cell>
          <cell r="AC570">
            <v>0.25</v>
          </cell>
          <cell r="AD570">
            <v>0.25</v>
          </cell>
          <cell r="AE570">
            <v>0.25</v>
          </cell>
          <cell r="AF570">
            <v>0.25</v>
          </cell>
          <cell r="AG570">
            <v>0.25</v>
          </cell>
          <cell r="AH570">
            <v>0.25</v>
          </cell>
          <cell r="AI570">
            <v>0.25</v>
          </cell>
          <cell r="AJ570">
            <v>0.25</v>
          </cell>
          <cell r="AK570">
            <v>0.25</v>
          </cell>
          <cell r="AL570">
            <v>0.25</v>
          </cell>
          <cell r="AM570">
            <v>0.25</v>
          </cell>
          <cell r="AN570">
            <v>0.25</v>
          </cell>
          <cell r="AO570">
            <v>0.25</v>
          </cell>
          <cell r="AP570">
            <v>0.25</v>
          </cell>
          <cell r="AQ570">
            <v>0.25</v>
          </cell>
          <cell r="AR570">
            <v>0.25</v>
          </cell>
          <cell r="AS570">
            <v>0.25</v>
          </cell>
          <cell r="AT570">
            <v>-0.04</v>
          </cell>
          <cell r="AU570">
            <v>0.92</v>
          </cell>
          <cell r="AV570">
            <v>20</v>
          </cell>
          <cell r="AY570" t="str">
            <v/>
          </cell>
          <cell r="AZ570">
            <v>0.25</v>
          </cell>
          <cell r="BA570">
            <v>0.25</v>
          </cell>
          <cell r="BF570" t="str">
            <v>CLICK RAPID con carpenteria 07/01/2021</v>
          </cell>
        </row>
        <row r="571">
          <cell r="A571" t="str">
            <v>CORTI SERRAMENTI SAS DI CORTI NATALE E C.</v>
          </cell>
          <cell r="D571" t="str">
            <v>VIA PRIMO MAGGIO, 7</v>
          </cell>
          <cell r="E571" t="str">
            <v>20056</v>
          </cell>
          <cell r="F571" t="str">
            <v xml:space="preserve">GREZZAGO </v>
          </cell>
          <cell r="G571" t="str">
            <v>MI</v>
          </cell>
          <cell r="H571" t="str">
            <v>ITALIA</v>
          </cell>
          <cell r="J571" t="str">
            <v>05495710963</v>
          </cell>
          <cell r="M571" t="str">
            <v>UFFICIO ACQUISTI</v>
          </cell>
          <cell r="N571" t="str">
            <v>02 92010004</v>
          </cell>
          <cell r="O571" t="str">
            <v>393 9749946</v>
          </cell>
          <cell r="P571" t="str">
            <v>cortiserramentisas@gmail.com</v>
          </cell>
          <cell r="R571" t="str">
            <v>BONIFICO BANCARIO, ALLA DATA DELLA NOSTRA CONFERMA D'ORDINE</v>
          </cell>
          <cell r="X571">
            <v>0.2</v>
          </cell>
          <cell r="Y571">
            <v>-0.04</v>
          </cell>
          <cell r="AB571">
            <v>0.2</v>
          </cell>
          <cell r="AC571">
            <v>0.2</v>
          </cell>
          <cell r="AD571">
            <v>0.2</v>
          </cell>
          <cell r="AE571">
            <v>0.2</v>
          </cell>
          <cell r="AF571">
            <v>0.2</v>
          </cell>
          <cell r="AG571">
            <v>0.2</v>
          </cell>
          <cell r="AH571">
            <v>0.2</v>
          </cell>
          <cell r="AI571">
            <v>0.2</v>
          </cell>
          <cell r="AJ571">
            <v>0.2</v>
          </cell>
          <cell r="AK571">
            <v>0.2</v>
          </cell>
          <cell r="AL571">
            <v>0.2</v>
          </cell>
          <cell r="AM571">
            <v>0.2</v>
          </cell>
          <cell r="AN571">
            <v>0.2</v>
          </cell>
          <cell r="AO571">
            <v>0.2</v>
          </cell>
          <cell r="AP571">
            <v>0.2</v>
          </cell>
          <cell r="AQ571">
            <v>0.2</v>
          </cell>
          <cell r="AR571">
            <v>0.2</v>
          </cell>
          <cell r="AS571">
            <v>0.2</v>
          </cell>
          <cell r="AT571">
            <v>-0.04</v>
          </cell>
          <cell r="AU571">
            <v>0.92</v>
          </cell>
          <cell r="AV571">
            <v>20</v>
          </cell>
          <cell r="AZ571">
            <v>0.2</v>
          </cell>
          <cell r="BA571">
            <v>0.2</v>
          </cell>
        </row>
        <row r="572">
          <cell r="A572" t="str">
            <v>CORVAIA PORTE</v>
          </cell>
          <cell r="D572" t="str">
            <v>VIA SAN GIOVANNI 16</v>
          </cell>
          <cell r="F572" t="str">
            <v>ACI SANT' ANTONIO</v>
          </cell>
          <cell r="G572" t="str">
            <v>CT</v>
          </cell>
          <cell r="H572" t="str">
            <v>ITALIA</v>
          </cell>
          <cell r="M572" t="str">
            <v>UFFICIO ACQUISTI</v>
          </cell>
          <cell r="N572" t="str">
            <v>095 8035056</v>
          </cell>
          <cell r="P572" t="str">
            <v>info@corvaiaporte.com</v>
          </cell>
          <cell r="R572" t="str">
            <v>BONIFICO BANCARIO, ALLA DATA DELLA NOSTRA CONFERMA D'ORDINE</v>
          </cell>
          <cell r="X572">
            <v>0.25</v>
          </cell>
          <cell r="Y572">
            <v>-0.04</v>
          </cell>
          <cell r="AB572">
            <v>0.25</v>
          </cell>
          <cell r="AC572">
            <v>0.25</v>
          </cell>
          <cell r="AD572">
            <v>0.25</v>
          </cell>
          <cell r="AE572">
            <v>0.25</v>
          </cell>
          <cell r="AF572">
            <v>0.25</v>
          </cell>
          <cell r="AG572">
            <v>0.25</v>
          </cell>
          <cell r="AH572">
            <v>0.25</v>
          </cell>
          <cell r="AI572">
            <v>0.25</v>
          </cell>
          <cell r="AJ572">
            <v>0.25</v>
          </cell>
          <cell r="AK572">
            <v>0.25</v>
          </cell>
          <cell r="AL572">
            <v>0.25</v>
          </cell>
          <cell r="AM572">
            <v>0.25</v>
          </cell>
          <cell r="AN572">
            <v>0.25</v>
          </cell>
          <cell r="AO572">
            <v>0.25</v>
          </cell>
          <cell r="AP572">
            <v>0.25</v>
          </cell>
          <cell r="AQ572">
            <v>0.25</v>
          </cell>
          <cell r="AR572">
            <v>0.25</v>
          </cell>
          <cell r="AS572">
            <v>0.25</v>
          </cell>
          <cell r="AT572">
            <v>-0.04</v>
          </cell>
          <cell r="AU572">
            <v>0.92</v>
          </cell>
          <cell r="AV572">
            <v>20</v>
          </cell>
          <cell r="AY572" t="str">
            <v/>
          </cell>
          <cell r="AZ572">
            <v>0.25</v>
          </cell>
          <cell r="BA572">
            <v>0.25</v>
          </cell>
        </row>
        <row r="573">
          <cell r="A573" t="str">
            <v xml:space="preserve">COS METAL PI </v>
          </cell>
          <cell r="B573" t="str">
            <v>LASCIATO DEPLIAN -MP</v>
          </cell>
          <cell r="D573" t="str">
            <v>LOC. MONTECALA, 307</v>
          </cell>
          <cell r="E573">
            <v>17017</v>
          </cell>
          <cell r="F573" t="str">
            <v>COSSERIA</v>
          </cell>
          <cell r="G573" t="str">
            <v>SV</v>
          </cell>
          <cell r="H573" t="str">
            <v>ITALIA</v>
          </cell>
          <cell r="M573" t="str">
            <v>UFFICIO ACQUISTI</v>
          </cell>
          <cell r="N573" t="str">
            <v>019 519616</v>
          </cell>
          <cell r="O573" t="str">
            <v>393 8365461</v>
          </cell>
          <cell r="P573" t="str">
            <v>info@cosmetalpi.com</v>
          </cell>
          <cell r="R573" t="str">
            <v>BONIFICO BANCARIO, ALLA DATA DELLA NOSTRA CONFERMA D'ORDINE</v>
          </cell>
          <cell r="X573">
            <v>0.25</v>
          </cell>
          <cell r="Y573">
            <v>-0.04</v>
          </cell>
          <cell r="AB573">
            <v>0.25</v>
          </cell>
          <cell r="AC573">
            <v>0.25</v>
          </cell>
          <cell r="AD573">
            <v>0.25</v>
          </cell>
          <cell r="AE573">
            <v>0.25</v>
          </cell>
          <cell r="AF573">
            <v>0.25</v>
          </cell>
          <cell r="AG573">
            <v>0.25</v>
          </cell>
          <cell r="AH573">
            <v>0.25</v>
          </cell>
          <cell r="AI573">
            <v>0.25</v>
          </cell>
          <cell r="AJ573">
            <v>0.25</v>
          </cell>
          <cell r="AK573">
            <v>0.25</v>
          </cell>
          <cell r="AL573">
            <v>0.25</v>
          </cell>
          <cell r="AM573">
            <v>0.25</v>
          </cell>
          <cell r="AN573">
            <v>0.25</v>
          </cell>
          <cell r="AO573">
            <v>0.25</v>
          </cell>
          <cell r="AP573">
            <v>0.25</v>
          </cell>
          <cell r="AQ573">
            <v>0.25</v>
          </cell>
          <cell r="AR573">
            <v>0.25</v>
          </cell>
          <cell r="AS573">
            <v>0.25</v>
          </cell>
          <cell r="AT573">
            <v>-0.04</v>
          </cell>
          <cell r="AU573">
            <v>0.92</v>
          </cell>
          <cell r="AV573">
            <v>20</v>
          </cell>
          <cell r="AZ573">
            <v>0.25</v>
          </cell>
          <cell r="BA573">
            <v>0.25</v>
          </cell>
        </row>
        <row r="574">
          <cell r="A574" t="str">
            <v>COS.VA. SNC</v>
          </cell>
          <cell r="D574" t="str">
            <v>VIA SANT'EMILIANO, 3/5</v>
          </cell>
          <cell r="E574" t="str">
            <v>08100</v>
          </cell>
          <cell r="F574" t="str">
            <v>NUORO</v>
          </cell>
          <cell r="G574" t="str">
            <v>NU</v>
          </cell>
          <cell r="H574" t="str">
            <v>ITALIA</v>
          </cell>
          <cell r="J574" t="str">
            <v>01393250913</v>
          </cell>
          <cell r="K574" t="str">
            <v>M5UXCR1</v>
          </cell>
          <cell r="M574" t="str">
            <v>UFFICIO ACQUISTI</v>
          </cell>
          <cell r="N574" t="str">
            <v>0784 253033</v>
          </cell>
          <cell r="P574" t="str">
            <v>info@cosvasnc.com</v>
          </cell>
          <cell r="R574" t="str">
            <v>BONIFICO BANCARIO, ALLA DATA DELLA NOSTRA CONFERMA D'ORDINE</v>
          </cell>
          <cell r="X574">
            <v>0.25</v>
          </cell>
          <cell r="Y574">
            <v>-0.04</v>
          </cell>
          <cell r="AB574">
            <v>0.25</v>
          </cell>
          <cell r="AC574">
            <v>0.25</v>
          </cell>
          <cell r="AD574">
            <v>0.25</v>
          </cell>
          <cell r="AE574">
            <v>0.25</v>
          </cell>
          <cell r="AF574">
            <v>0.25</v>
          </cell>
          <cell r="AG574">
            <v>0.25</v>
          </cell>
          <cell r="AH574">
            <v>0.25</v>
          </cell>
          <cell r="AI574">
            <v>0.25</v>
          </cell>
          <cell r="AJ574">
            <v>0.25</v>
          </cell>
          <cell r="AK574">
            <v>0.25</v>
          </cell>
          <cell r="AL574">
            <v>0.25</v>
          </cell>
          <cell r="AM574">
            <v>0.25</v>
          </cell>
          <cell r="AN574">
            <v>0.25</v>
          </cell>
          <cell r="AO574">
            <v>0.25</v>
          </cell>
          <cell r="AP574">
            <v>0.25</v>
          </cell>
          <cell r="AQ574">
            <v>0.25</v>
          </cell>
          <cell r="AR574">
            <v>0.25</v>
          </cell>
          <cell r="AS574">
            <v>0.25</v>
          </cell>
          <cell r="AT574">
            <v>-0.04</v>
          </cell>
          <cell r="AU574">
            <v>0.92</v>
          </cell>
          <cell r="AV574">
            <v>20</v>
          </cell>
          <cell r="AZ574">
            <v>0.25</v>
          </cell>
          <cell r="BA574">
            <v>0.25</v>
          </cell>
          <cell r="BF574" t="str">
            <v>CLICK RAPID con carpenteria 11/05/2021</v>
          </cell>
        </row>
        <row r="575">
          <cell r="A575" t="str">
            <v>COSEMA DI MOGNATO N &amp; FURLAN M SNC</v>
          </cell>
          <cell r="D575" t="str">
            <v>VIA CASTELLANA 104</v>
          </cell>
          <cell r="E575" t="str">
            <v>30030</v>
          </cell>
          <cell r="F575" t="str">
            <v>MARTELLAGO</v>
          </cell>
          <cell r="G575" t="str">
            <v>VE</v>
          </cell>
          <cell r="H575" t="str">
            <v>ITALIA</v>
          </cell>
          <cell r="J575" t="str">
            <v>00454430273</v>
          </cell>
          <cell r="M575" t="str">
            <v>UFFICIO ACQUISTI</v>
          </cell>
          <cell r="N575" t="str">
            <v>041 5400530</v>
          </cell>
          <cell r="P575" t="str">
            <v>info@cosemainfissi.it</v>
          </cell>
          <cell r="R575" t="str">
            <v>BONIFICO BANCARIO, ALLA DATA DELLA NOSTRA CONFERMA D'ORDINE</v>
          </cell>
          <cell r="X575">
            <v>0.25</v>
          </cell>
          <cell r="Y575">
            <v>-0.04</v>
          </cell>
          <cell r="AB575">
            <v>0.25</v>
          </cell>
          <cell r="AC575">
            <v>0.25</v>
          </cell>
          <cell r="AD575">
            <v>0.25</v>
          </cell>
          <cell r="AE575">
            <v>0.25</v>
          </cell>
          <cell r="AF575">
            <v>0.25</v>
          </cell>
          <cell r="AG575">
            <v>0.25</v>
          </cell>
          <cell r="AH575">
            <v>0.25</v>
          </cell>
          <cell r="AI575">
            <v>0.25</v>
          </cell>
          <cell r="AJ575">
            <v>0.25</v>
          </cell>
          <cell r="AK575">
            <v>0.25</v>
          </cell>
          <cell r="AL575">
            <v>0.25</v>
          </cell>
          <cell r="AM575">
            <v>0.25</v>
          </cell>
          <cell r="AN575">
            <v>0.25</v>
          </cell>
          <cell r="AO575">
            <v>0.25</v>
          </cell>
          <cell r="AP575">
            <v>0.25</v>
          </cell>
          <cell r="AQ575">
            <v>0.25</v>
          </cell>
          <cell r="AR575">
            <v>0.25</v>
          </cell>
          <cell r="AS575">
            <v>0.25</v>
          </cell>
          <cell r="AT575">
            <v>-0.04</v>
          </cell>
          <cell r="AU575">
            <v>0.92</v>
          </cell>
          <cell r="AV575">
            <v>20</v>
          </cell>
          <cell r="AY575" t="str">
            <v/>
          </cell>
          <cell r="AZ575">
            <v>0.25</v>
          </cell>
          <cell r="BA575">
            <v>0.25</v>
          </cell>
        </row>
        <row r="576">
          <cell r="A576" t="str">
            <v>COSMO SRL</v>
          </cell>
          <cell r="B576" t="str">
            <v>02/03/23 PARECCHI ORDINI NEL 2021. NON HANNO PIU' AVUTO RICHIESTE MA CI TENGONO SEMPRE IN CONSIDERAZIONE</v>
          </cell>
          <cell r="D576" t="str">
            <v>TRAVERSA VESPUCCI, 10</v>
          </cell>
          <cell r="E576" t="str">
            <v>65015</v>
          </cell>
          <cell r="F576" t="str">
            <v>MONTESILVANO</v>
          </cell>
          <cell r="G576" t="str">
            <v>PE</v>
          </cell>
          <cell r="H576" t="str">
            <v>ITALIA</v>
          </cell>
          <cell r="J576" t="str">
            <v>02051190680</v>
          </cell>
          <cell r="K576" t="str">
            <v>M5UXCR1</v>
          </cell>
          <cell r="M576" t="str">
            <v>UFFICIO ACQUISTI</v>
          </cell>
          <cell r="N576" t="str">
            <v>0854 688041</v>
          </cell>
          <cell r="P576" t="str">
            <v>micaela.vadini@cosmo-srl.com</v>
          </cell>
          <cell r="R576" t="str">
            <v>BONIFICO BANCARIO, ALLA DATA DELLA NOSTRA CONFERMA D'ORDINE</v>
          </cell>
          <cell r="X576">
            <v>0</v>
          </cell>
          <cell r="Y576">
            <v>-0.04</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-0.04</v>
          </cell>
          <cell r="AU576">
            <v>0.92</v>
          </cell>
          <cell r="AV576">
            <v>20</v>
          </cell>
          <cell r="AZ576">
            <v>0</v>
          </cell>
          <cell r="BA576">
            <v>0</v>
          </cell>
        </row>
        <row r="577">
          <cell r="A577" t="str">
            <v>COSPOL DI VALOCCHI SANTA</v>
          </cell>
          <cell r="D577" t="str">
            <v>LOC. LICINA, 1</v>
          </cell>
          <cell r="E577" t="str">
            <v>06049</v>
          </cell>
          <cell r="F577" t="str">
            <v>SPOLETO</v>
          </cell>
          <cell r="G577" t="str">
            <v>PG</v>
          </cell>
          <cell r="H577" t="str">
            <v>ITALIA</v>
          </cell>
          <cell r="J577" t="str">
            <v>02257450540</v>
          </cell>
          <cell r="K577" t="str">
            <v>J6URRTW</v>
          </cell>
          <cell r="M577" t="str">
            <v>UFFICIO ACQUISTI</v>
          </cell>
          <cell r="N577" t="str">
            <v>0743 222903</v>
          </cell>
          <cell r="O577" t="str">
            <v>340 7111915 SANDRO</v>
          </cell>
          <cell r="P577" t="str">
            <v>info@cospol.it</v>
          </cell>
          <cell r="R577" t="str">
            <v>BONIFICO BANCARIO, ALLA DATA DELLA NOSTRA CONFERMA D'ORDINE</v>
          </cell>
          <cell r="X577">
            <v>0.2</v>
          </cell>
          <cell r="Y577">
            <v>-0.04</v>
          </cell>
          <cell r="AB577">
            <v>0.2</v>
          </cell>
          <cell r="AC577">
            <v>0.2</v>
          </cell>
          <cell r="AD577">
            <v>0.2</v>
          </cell>
          <cell r="AE577">
            <v>0.2</v>
          </cell>
          <cell r="AF577">
            <v>0.2</v>
          </cell>
          <cell r="AG577">
            <v>0.2</v>
          </cell>
          <cell r="AH577">
            <v>0.2</v>
          </cell>
          <cell r="AI577">
            <v>0.2</v>
          </cell>
          <cell r="AJ577">
            <v>0.2</v>
          </cell>
          <cell r="AK577">
            <v>0.2</v>
          </cell>
          <cell r="AL577">
            <v>0.2</v>
          </cell>
          <cell r="AM577">
            <v>0.2</v>
          </cell>
          <cell r="AN577">
            <v>0.2</v>
          </cell>
          <cell r="AO577">
            <v>0.2</v>
          </cell>
          <cell r="AP577">
            <v>0.2</v>
          </cell>
          <cell r="AQ577">
            <v>0.2</v>
          </cell>
          <cell r="AR577">
            <v>0.2</v>
          </cell>
          <cell r="AS577">
            <v>0.2</v>
          </cell>
          <cell r="AT577">
            <v>-0.04</v>
          </cell>
          <cell r="AU577">
            <v>0.92</v>
          </cell>
          <cell r="AV577">
            <v>20</v>
          </cell>
          <cell r="AZ577">
            <v>0.2</v>
          </cell>
          <cell r="BA577">
            <v>0.2</v>
          </cell>
        </row>
        <row r="578">
          <cell r="A578" t="str">
            <v>COSTRUZIONI E RESTAURI G. SALMISTRARI S.R.L.</v>
          </cell>
          <cell r="D578" t="str">
            <v>SAN MARCO, 2407</v>
          </cell>
          <cell r="E578" t="str">
            <v>30124</v>
          </cell>
          <cell r="F578" t="str">
            <v>VENEZIA</v>
          </cell>
          <cell r="G578" t="str">
            <v>VE</v>
          </cell>
          <cell r="H578" t="str">
            <v>ITALIA</v>
          </cell>
          <cell r="J578" t="str">
            <v>01817990276</v>
          </cell>
          <cell r="K578" t="str">
            <v>SUBM70N</v>
          </cell>
          <cell r="L578" t="str">
            <v>BOSCOLO BIERO IVANO SRL - CANALE DELLA SCOMENZERA, 1 - 30123 VENEZIA (VE)</v>
          </cell>
          <cell r="M578" t="str">
            <v>UFFICIO ACQUISTI</v>
          </cell>
          <cell r="N578" t="str">
            <v>041 719588</v>
          </cell>
          <cell r="P578" t="str">
            <v>gianpaolo.dotto@salmistrari.it</v>
          </cell>
          <cell r="R578" t="str">
            <v>BONIFICO BANCARIO, ALLA DATA DELLA NOSTRA CONFERMA D'ORDINE</v>
          </cell>
          <cell r="W578" t="str">
            <v>ACQUA SALATA</v>
          </cell>
          <cell r="X578">
            <v>0</v>
          </cell>
          <cell r="Y578">
            <v>-0.04</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-0.04</v>
          </cell>
          <cell r="AU578">
            <v>0.92</v>
          </cell>
          <cell r="AV578">
            <v>20</v>
          </cell>
          <cell r="AY578" t="str">
            <v/>
          </cell>
          <cell r="AZ578">
            <v>0</v>
          </cell>
          <cell r="BA578">
            <v>0</v>
          </cell>
          <cell r="BF578" t="str">
            <v>CLICK RAPID con carpenteria 30/04/2021</v>
          </cell>
        </row>
        <row r="579">
          <cell r="A579" t="str">
            <v>COSTRUZIONI MECCANICHE BACCARIN</v>
          </cell>
          <cell r="D579" t="str">
            <v>VIA TITO LIVIO 82/A</v>
          </cell>
          <cell r="E579" t="str">
            <v>35031</v>
          </cell>
          <cell r="F579" t="str">
            <v>ABANO TERME</v>
          </cell>
          <cell r="G579" t="str">
            <v>PD</v>
          </cell>
          <cell r="H579" t="str">
            <v>ITALIA</v>
          </cell>
          <cell r="M579" t="str">
            <v>UFFICIO ACQUISTI</v>
          </cell>
          <cell r="N579" t="str">
            <v>049 812154</v>
          </cell>
          <cell r="P579" t="str">
            <v>baccarin.snc@alice.it</v>
          </cell>
          <cell r="R579" t="str">
            <v>BONIFICO BANCARIO, ALLA DATA DELLA NOSTRA CONFERMA D'ORDINE</v>
          </cell>
          <cell r="X579">
            <v>0.25</v>
          </cell>
          <cell r="Y579">
            <v>-0.04</v>
          </cell>
          <cell r="AB579">
            <v>0.25</v>
          </cell>
          <cell r="AC579">
            <v>0.25</v>
          </cell>
          <cell r="AD579">
            <v>0.25</v>
          </cell>
          <cell r="AE579">
            <v>0.25</v>
          </cell>
          <cell r="AF579">
            <v>0.25</v>
          </cell>
          <cell r="AG579">
            <v>0.25</v>
          </cell>
          <cell r="AH579">
            <v>0.25</v>
          </cell>
          <cell r="AI579">
            <v>0.25</v>
          </cell>
          <cell r="AJ579">
            <v>0.25</v>
          </cell>
          <cell r="AK579">
            <v>0.25</v>
          </cell>
          <cell r="AL579">
            <v>0.25</v>
          </cell>
          <cell r="AM579">
            <v>0.25</v>
          </cell>
          <cell r="AN579">
            <v>0.25</v>
          </cell>
          <cell r="AO579">
            <v>0.25</v>
          </cell>
          <cell r="AP579">
            <v>0.25</v>
          </cell>
          <cell r="AQ579">
            <v>0.25</v>
          </cell>
          <cell r="AR579">
            <v>0.25</v>
          </cell>
          <cell r="AS579">
            <v>0.25</v>
          </cell>
          <cell r="AT579">
            <v>-0.04</v>
          </cell>
          <cell r="AU579">
            <v>0.92</v>
          </cell>
          <cell r="AV579">
            <v>20</v>
          </cell>
          <cell r="AY579" t="str">
            <v/>
          </cell>
          <cell r="AZ579">
            <v>0.25</v>
          </cell>
          <cell r="BA579">
            <v>0.25</v>
          </cell>
        </row>
        <row r="580">
          <cell r="A580" t="str">
            <v>COSTRUZIONI SPAGNOLI SPA</v>
          </cell>
          <cell r="D580" t="str">
            <v>VIA FRA' GIOVANNI, ANGELICO, 36/8</v>
          </cell>
          <cell r="E580" t="str">
            <v>50121</v>
          </cell>
          <cell r="F580" t="str">
            <v>FIRENZE</v>
          </cell>
          <cell r="G580" t="str">
            <v>FI</v>
          </cell>
          <cell r="H580" t="str">
            <v>ITALIA</v>
          </cell>
          <cell r="J580" t="str">
            <v>04318900489</v>
          </cell>
          <cell r="K580" t="str">
            <v>M5UXCR1</v>
          </cell>
          <cell r="M580" t="str">
            <v>UFFICIO ACQUISTI</v>
          </cell>
          <cell r="N580" t="str">
            <v>055 835291</v>
          </cell>
          <cell r="O580" t="str">
            <v>335 7776575 ING. RENATO IOPPOLO</v>
          </cell>
          <cell r="P580" t="str">
            <v>renato@costruzionispagnoli.it</v>
          </cell>
          <cell r="R580" t="str">
            <v>BONIFICO BANCARIO, ALLA DATA DELLA NOSTRA CONFERMA D'ORDINE</v>
          </cell>
          <cell r="X580">
            <v>0.15</v>
          </cell>
          <cell r="Y580">
            <v>-0.04</v>
          </cell>
          <cell r="AB580">
            <v>0.15</v>
          </cell>
          <cell r="AC580">
            <v>0.15</v>
          </cell>
          <cell r="AD580">
            <v>0.15</v>
          </cell>
          <cell r="AE580">
            <v>0.15</v>
          </cell>
          <cell r="AF580">
            <v>0.15</v>
          </cell>
          <cell r="AG580">
            <v>0.15</v>
          </cell>
          <cell r="AH580">
            <v>0.15</v>
          </cell>
          <cell r="AI580">
            <v>0.15</v>
          </cell>
          <cell r="AJ580">
            <v>0.15</v>
          </cell>
          <cell r="AK580">
            <v>0.15</v>
          </cell>
          <cell r="AL580">
            <v>0.15</v>
          </cell>
          <cell r="AM580">
            <v>0.15</v>
          </cell>
          <cell r="AN580">
            <v>0.15</v>
          </cell>
          <cell r="AO580">
            <v>0.15</v>
          </cell>
          <cell r="AP580">
            <v>0.15</v>
          </cell>
          <cell r="AQ580">
            <v>0.15</v>
          </cell>
          <cell r="AR580">
            <v>0.15</v>
          </cell>
          <cell r="AS580">
            <v>0.15</v>
          </cell>
          <cell r="AT580">
            <v>-0.04</v>
          </cell>
          <cell r="AU580">
            <v>0.92</v>
          </cell>
          <cell r="AV580">
            <v>20</v>
          </cell>
          <cell r="AZ580">
            <v>0.15</v>
          </cell>
          <cell r="BA580">
            <v>0.15</v>
          </cell>
        </row>
        <row r="581">
          <cell r="A581" t="str">
            <v>COSTRUZIONI TRIVELLATO DI MAURO TRIVELLATO E C. S.N.C.</v>
          </cell>
          <cell r="B581" t="str">
            <v>RIVENDITORE ACQUASTOP 05/12 NON CHIAMARE. LEGATO A CAUSA CON ACQUASTOP. TOLTA MAIL PER QUESTO MOTIVO</v>
          </cell>
          <cell r="C581" t="str">
            <v>AL3</v>
          </cell>
          <cell r="D581" t="str">
            <v>VIA GALLIERA, 13</v>
          </cell>
          <cell r="E581" t="str">
            <v>15076</v>
          </cell>
          <cell r="F581" t="str">
            <v>OVADA</v>
          </cell>
          <cell r="G581" t="str">
            <v>AL</v>
          </cell>
          <cell r="H581" t="str">
            <v>ITALIA</v>
          </cell>
          <cell r="I581" t="str">
            <v>01830790067</v>
          </cell>
          <cell r="J581" t="str">
            <v>01830790067</v>
          </cell>
          <cell r="K581" t="str">
            <v>M5UXCR1</v>
          </cell>
          <cell r="L581" t="str">
            <v>VIA C. COLOMBO 37 -15121 - ALESSANDRIA -AL</v>
          </cell>
          <cell r="M581" t="str">
            <v>SIG. MAURO TRIVELLATO</v>
          </cell>
          <cell r="N581" t="str">
            <v>0131 223790</v>
          </cell>
          <cell r="O581" t="str">
            <v>335 5322014 ????</v>
          </cell>
          <cell r="R581" t="str">
            <v>BONIFICO BANCARIO, ALLA DATA DELLA NOSTRA CONFERMA D'ORDINE</v>
          </cell>
          <cell r="X581">
            <v>0.25</v>
          </cell>
          <cell r="Y581">
            <v>-0.04</v>
          </cell>
          <cell r="AB581">
            <v>0.25</v>
          </cell>
          <cell r="AC581">
            <v>0.25</v>
          </cell>
          <cell r="AD581">
            <v>0.25</v>
          </cell>
          <cell r="AE581">
            <v>0.25</v>
          </cell>
          <cell r="AF581">
            <v>0.25</v>
          </cell>
          <cell r="AG581">
            <v>0.25</v>
          </cell>
          <cell r="AH581">
            <v>0.25</v>
          </cell>
          <cell r="AI581">
            <v>0.25</v>
          </cell>
          <cell r="AJ581">
            <v>0.25</v>
          </cell>
          <cell r="AK581">
            <v>0.25</v>
          </cell>
          <cell r="AL581">
            <v>0.25</v>
          </cell>
          <cell r="AM581">
            <v>0.25</v>
          </cell>
          <cell r="AN581">
            <v>0.25</v>
          </cell>
          <cell r="AO581">
            <v>0.25</v>
          </cell>
          <cell r="AP581">
            <v>0.25</v>
          </cell>
          <cell r="AQ581">
            <v>0.25</v>
          </cell>
          <cell r="AR581">
            <v>0.25</v>
          </cell>
          <cell r="AS581">
            <v>0.25</v>
          </cell>
          <cell r="AT581">
            <v>-0.04</v>
          </cell>
          <cell r="AU581">
            <v>0.92</v>
          </cell>
          <cell r="AV581">
            <v>20</v>
          </cell>
          <cell r="AY581" t="str">
            <v/>
          </cell>
          <cell r="AZ581">
            <v>0.25</v>
          </cell>
          <cell r="BA581">
            <v>0.25</v>
          </cell>
        </row>
        <row r="582">
          <cell r="A582" t="str">
            <v xml:space="preserve">COTTALI INSTALLAZIONI </v>
          </cell>
          <cell r="D582" t="str">
            <v>VIA NAZIONALE, 107</v>
          </cell>
          <cell r="E582" t="str">
            <v>33048</v>
          </cell>
          <cell r="F582" t="str">
            <v>SAN GIOVANNI AL NATISOLE</v>
          </cell>
          <cell r="G582" t="str">
            <v>UD</v>
          </cell>
          <cell r="H582" t="str">
            <v>ITALIA</v>
          </cell>
          <cell r="J582" t="str">
            <v>01009850312</v>
          </cell>
          <cell r="M582" t="str">
            <v>UFFICIO ACQUISTI</v>
          </cell>
          <cell r="N582" t="str">
            <v>0432 1714842</v>
          </cell>
          <cell r="P582" t="str">
            <v>cottali@cottali.eu</v>
          </cell>
          <cell r="R582" t="str">
            <v>BONIFICO BANCARIO, ALLA DATA DELLA NOSTRA CONFERMA D'ORDINE</v>
          </cell>
          <cell r="X582">
            <v>0.25</v>
          </cell>
          <cell r="Y582">
            <v>-0.04</v>
          </cell>
          <cell r="AB582">
            <v>0.25</v>
          </cell>
          <cell r="AC582">
            <v>0.25</v>
          </cell>
          <cell r="AD582">
            <v>0.25</v>
          </cell>
          <cell r="AE582">
            <v>0.25</v>
          </cell>
          <cell r="AF582">
            <v>0.25</v>
          </cell>
          <cell r="AG582">
            <v>0.25</v>
          </cell>
          <cell r="AH582">
            <v>0.25</v>
          </cell>
          <cell r="AI582">
            <v>0.25</v>
          </cell>
          <cell r="AJ582">
            <v>0.25</v>
          </cell>
          <cell r="AK582">
            <v>0.25</v>
          </cell>
          <cell r="AL582">
            <v>0.25</v>
          </cell>
          <cell r="AM582">
            <v>0.25</v>
          </cell>
          <cell r="AN582">
            <v>0.25</v>
          </cell>
          <cell r="AO582">
            <v>0.25</v>
          </cell>
          <cell r="AP582">
            <v>0.25</v>
          </cell>
          <cell r="AQ582">
            <v>0.25</v>
          </cell>
          <cell r="AR582">
            <v>0.25</v>
          </cell>
          <cell r="AS582">
            <v>0.25</v>
          </cell>
          <cell r="AT582">
            <v>-0.04</v>
          </cell>
          <cell r="AU582">
            <v>0.92</v>
          </cell>
          <cell r="AV582">
            <v>20</v>
          </cell>
          <cell r="AY582" t="str">
            <v/>
          </cell>
          <cell r="AZ582">
            <v>0.25</v>
          </cell>
          <cell r="BA582">
            <v>0.25</v>
          </cell>
        </row>
        <row r="583">
          <cell r="A583" t="str">
            <v>COVA SNC DI ROSSO &amp; VENIER</v>
          </cell>
          <cell r="B583" t="str">
            <v xml:space="preserve"> FERRAMENTA  08.30  12.45 \ 15 18.00   PRIMO POMERIGGIO</v>
          </cell>
          <cell r="D583" t="str">
            <v>VIA CASTELLO, 5026</v>
          </cell>
          <cell r="E583">
            <v>30122</v>
          </cell>
          <cell r="F583" t="str">
            <v>VENEZIA</v>
          </cell>
          <cell r="G583" t="str">
            <v>VE</v>
          </cell>
          <cell r="H583" t="str">
            <v>ITALIA</v>
          </cell>
          <cell r="I583">
            <v>2096910274</v>
          </cell>
          <cell r="J583">
            <v>2096910274</v>
          </cell>
          <cell r="K583" t="str">
            <v>P62QHDQ</v>
          </cell>
          <cell r="M583" t="str">
            <v>UFFICIO ACQUISTI</v>
          </cell>
          <cell r="R583" t="str">
            <v>BONIFICO BANCARIO, ALLA DATA DELLA NOSTRA CONFERMA D'ORDINE</v>
          </cell>
          <cell r="W583" t="str">
            <v>ACQUA SALATA</v>
          </cell>
          <cell r="X583">
            <v>0.25</v>
          </cell>
          <cell r="Y583">
            <v>-0.04</v>
          </cell>
          <cell r="AB583">
            <v>0.25</v>
          </cell>
          <cell r="AC583">
            <v>0.25</v>
          </cell>
          <cell r="AD583">
            <v>0.25</v>
          </cell>
          <cell r="AE583">
            <v>0.25</v>
          </cell>
          <cell r="AF583">
            <v>0.25</v>
          </cell>
          <cell r="AG583">
            <v>0.25</v>
          </cell>
          <cell r="AH583">
            <v>0.25</v>
          </cell>
          <cell r="AI583">
            <v>0.25</v>
          </cell>
          <cell r="AJ583">
            <v>0.25</v>
          </cell>
          <cell r="AK583">
            <v>0.25</v>
          </cell>
          <cell r="AL583">
            <v>0.25</v>
          </cell>
          <cell r="AM583">
            <v>0.25</v>
          </cell>
          <cell r="AN583">
            <v>0.25</v>
          </cell>
          <cell r="AO583">
            <v>0.25</v>
          </cell>
          <cell r="AP583">
            <v>0.25</v>
          </cell>
          <cell r="AQ583">
            <v>0.25</v>
          </cell>
          <cell r="AR583">
            <v>0.25</v>
          </cell>
          <cell r="AS583">
            <v>0.25</v>
          </cell>
          <cell r="AT583">
            <v>-0.04</v>
          </cell>
          <cell r="AU583">
            <v>0.92</v>
          </cell>
          <cell r="AV583">
            <v>20</v>
          </cell>
          <cell r="AY583" t="str">
            <v/>
          </cell>
          <cell r="AZ583">
            <v>0.25</v>
          </cell>
          <cell r="BA583">
            <v>0.25</v>
          </cell>
        </row>
        <row r="584">
          <cell r="A584" t="str">
            <v>CPC LIVING SPACES</v>
          </cell>
          <cell r="D584" t="str">
            <v>VIA APPIA, KM 56,900</v>
          </cell>
          <cell r="E584" t="str">
            <v>04012</v>
          </cell>
          <cell r="F584" t="str">
            <v>CISTERNA DI LATINA</v>
          </cell>
          <cell r="G584" t="str">
            <v>LT</v>
          </cell>
          <cell r="H584" t="str">
            <v>ITALIA</v>
          </cell>
          <cell r="M584" t="str">
            <v>UFFICIO ACQUISTI</v>
          </cell>
          <cell r="N584" t="str">
            <v>06 9694921</v>
          </cell>
          <cell r="P584" t="str">
            <v>tecnico@vealtenda.it</v>
          </cell>
          <cell r="R584" t="str">
            <v>BONIFICO BANCARIO, ALLA DATA DELLA NOSTRA CONFERMA D'ORDINE</v>
          </cell>
          <cell r="X584">
            <v>0.2</v>
          </cell>
          <cell r="Y584">
            <v>-0.04</v>
          </cell>
          <cell r="AB584">
            <v>0.2</v>
          </cell>
          <cell r="AC584">
            <v>0.2</v>
          </cell>
          <cell r="AD584">
            <v>0.2</v>
          </cell>
          <cell r="AE584">
            <v>0.2</v>
          </cell>
          <cell r="AF584">
            <v>0.2</v>
          </cell>
          <cell r="AG584">
            <v>0.2</v>
          </cell>
          <cell r="AH584">
            <v>0.2</v>
          </cell>
          <cell r="AI584">
            <v>0.2</v>
          </cell>
          <cell r="AJ584">
            <v>0.2</v>
          </cell>
          <cell r="AK584">
            <v>0.2</v>
          </cell>
          <cell r="AL584">
            <v>0.2</v>
          </cell>
          <cell r="AM584">
            <v>0.2</v>
          </cell>
          <cell r="AN584">
            <v>0.2</v>
          </cell>
          <cell r="AO584">
            <v>0.2</v>
          </cell>
          <cell r="AP584">
            <v>0.2</v>
          </cell>
          <cell r="AQ584">
            <v>0.2</v>
          </cell>
          <cell r="AR584">
            <v>0.2</v>
          </cell>
          <cell r="AS584">
            <v>0.2</v>
          </cell>
          <cell r="AT584">
            <v>-0.04</v>
          </cell>
          <cell r="AU584">
            <v>0.92</v>
          </cell>
          <cell r="AV584">
            <v>20</v>
          </cell>
          <cell r="AZ584">
            <v>0.2</v>
          </cell>
          <cell r="BA584">
            <v>0.2</v>
          </cell>
        </row>
        <row r="585">
          <cell r="A585" t="str">
            <v>CPD SRL</v>
          </cell>
          <cell r="B585" t="str">
            <v>FRANCESCA</v>
          </cell>
          <cell r="D585" t="str">
            <v>VIA IRNO, 185  191</v>
          </cell>
          <cell r="E585">
            <v>84135</v>
          </cell>
          <cell r="F585" t="str">
            <v>SALERNO</v>
          </cell>
          <cell r="G585" t="str">
            <v>SA</v>
          </cell>
          <cell r="H585" t="str">
            <v>ITALIA</v>
          </cell>
          <cell r="J585" t="str">
            <v>04897420651</v>
          </cell>
          <cell r="M585" t="str">
            <v>UFFICIO ACQUISTI</v>
          </cell>
          <cell r="N585" t="str">
            <v>089 2962348</v>
          </cell>
          <cell r="O585" t="str">
            <v>333 9212104</v>
          </cell>
          <cell r="P585" t="str">
            <v>cpdsalerno@gmail.com</v>
          </cell>
          <cell r="R585" t="str">
            <v>BONIFICO BANCARIO, ALLA DATA DELLA NOSTRA CONFERMA D'ORDINE</v>
          </cell>
          <cell r="X585">
            <v>0.25</v>
          </cell>
          <cell r="Y585">
            <v>-0.04</v>
          </cell>
          <cell r="AB585">
            <v>0.25</v>
          </cell>
          <cell r="AC585">
            <v>0.25</v>
          </cell>
          <cell r="AD585">
            <v>0.25</v>
          </cell>
          <cell r="AE585">
            <v>0.25</v>
          </cell>
          <cell r="AF585">
            <v>0.25</v>
          </cell>
          <cell r="AG585">
            <v>0.25</v>
          </cell>
          <cell r="AH585">
            <v>0.25</v>
          </cell>
          <cell r="AI585">
            <v>0.25</v>
          </cell>
          <cell r="AJ585">
            <v>0.25</v>
          </cell>
          <cell r="AK585">
            <v>0.25</v>
          </cell>
          <cell r="AL585">
            <v>0.25</v>
          </cell>
          <cell r="AM585">
            <v>0.25</v>
          </cell>
          <cell r="AN585">
            <v>0.25</v>
          </cell>
          <cell r="AO585">
            <v>0.25</v>
          </cell>
          <cell r="AP585">
            <v>0.25</v>
          </cell>
          <cell r="AQ585">
            <v>0.25</v>
          </cell>
          <cell r="AR585">
            <v>0.25</v>
          </cell>
          <cell r="AS585">
            <v>0.25</v>
          </cell>
          <cell r="AT585">
            <v>-0.04</v>
          </cell>
          <cell r="AU585">
            <v>0.92</v>
          </cell>
          <cell r="AV585">
            <v>20</v>
          </cell>
          <cell r="AZ585">
            <v>0.25</v>
          </cell>
          <cell r="BA585">
            <v>0.25</v>
          </cell>
        </row>
        <row r="586">
          <cell r="A586" t="str">
            <v>CR CRISTIANI ROSSANO DI CRISTINI FABIO &amp; LUCA SNC</v>
          </cell>
          <cell r="D586" t="str">
            <v>VIA CIMAROSA 106/108/110</v>
          </cell>
          <cell r="E586" t="str">
            <v>57124</v>
          </cell>
          <cell r="F586" t="str">
            <v>LIVORNO</v>
          </cell>
          <cell r="G586" t="str">
            <v>LI</v>
          </cell>
          <cell r="H586" t="str">
            <v>ITALIA</v>
          </cell>
          <cell r="J586" t="str">
            <v>01459020499</v>
          </cell>
          <cell r="M586" t="str">
            <v>UFFICIO ACQUISTI</v>
          </cell>
          <cell r="N586" t="str">
            <v>0586 854725</v>
          </cell>
          <cell r="P586" t="str">
            <v>email.cristianiserramenti@gmail.com</v>
          </cell>
          <cell r="R586" t="str">
            <v>BONIFICO BANCARIO, ALLA DATA DELLA NOSTRA CONFERMA D'ORDINE</v>
          </cell>
          <cell r="X586">
            <v>0.25</v>
          </cell>
          <cell r="Y586">
            <v>-0.04</v>
          </cell>
          <cell r="AB586">
            <v>0.25</v>
          </cell>
          <cell r="AC586">
            <v>0.25</v>
          </cell>
          <cell r="AD586">
            <v>0.25</v>
          </cell>
          <cell r="AE586">
            <v>0.25</v>
          </cell>
          <cell r="AF586">
            <v>0.25</v>
          </cell>
          <cell r="AG586">
            <v>0.25</v>
          </cell>
          <cell r="AH586">
            <v>0.25</v>
          </cell>
          <cell r="AI586">
            <v>0.25</v>
          </cell>
          <cell r="AJ586">
            <v>0.25</v>
          </cell>
          <cell r="AK586">
            <v>0.25</v>
          </cell>
          <cell r="AL586">
            <v>0.25</v>
          </cell>
          <cell r="AM586">
            <v>0.25</v>
          </cell>
          <cell r="AN586">
            <v>0.25</v>
          </cell>
          <cell r="AO586">
            <v>0.25</v>
          </cell>
          <cell r="AP586">
            <v>0.25</v>
          </cell>
          <cell r="AQ586">
            <v>0.25</v>
          </cell>
          <cell r="AR586">
            <v>0.25</v>
          </cell>
          <cell r="AS586">
            <v>0.25</v>
          </cell>
          <cell r="AT586">
            <v>-0.04</v>
          </cell>
          <cell r="AU586">
            <v>0.92</v>
          </cell>
          <cell r="AV586">
            <v>20</v>
          </cell>
          <cell r="AY586" t="str">
            <v/>
          </cell>
          <cell r="AZ586">
            <v>0.25</v>
          </cell>
          <cell r="BA586">
            <v>0.25</v>
          </cell>
        </row>
        <row r="587">
          <cell r="A587" t="str">
            <v>CR SERRAMENTI</v>
          </cell>
          <cell r="D587" t="str">
            <v>VIA SUARDI, 5</v>
          </cell>
          <cell r="E587" t="str">
            <v>24124</v>
          </cell>
          <cell r="F587" t="str">
            <v>BERGAMO</v>
          </cell>
          <cell r="G587" t="str">
            <v>BG</v>
          </cell>
          <cell r="H587" t="str">
            <v>ITALIA</v>
          </cell>
          <cell r="M587" t="str">
            <v>UFFICIO ACQUISTI</v>
          </cell>
          <cell r="N587" t="str">
            <v>035 217260</v>
          </cell>
          <cell r="P587" t="str">
            <v>info@crserramenti.it</v>
          </cell>
          <cell r="R587" t="str">
            <v>BONIFICO BANCARIO, ALLA DATA DELLA NOSTRA CONFERMA D'ORDINE</v>
          </cell>
          <cell r="X587">
            <v>0.2</v>
          </cell>
          <cell r="Y587">
            <v>-0.04</v>
          </cell>
          <cell r="AB587">
            <v>0.2</v>
          </cell>
          <cell r="AC587">
            <v>0.2</v>
          </cell>
          <cell r="AD587">
            <v>0.2</v>
          </cell>
          <cell r="AE587">
            <v>0.2</v>
          </cell>
          <cell r="AF587">
            <v>0.2</v>
          </cell>
          <cell r="AG587">
            <v>0.2</v>
          </cell>
          <cell r="AH587">
            <v>0.2</v>
          </cell>
          <cell r="AI587">
            <v>0.2</v>
          </cell>
          <cell r="AJ587">
            <v>0.2</v>
          </cell>
          <cell r="AK587">
            <v>0.2</v>
          </cell>
          <cell r="AL587">
            <v>0.2</v>
          </cell>
          <cell r="AM587">
            <v>0.2</v>
          </cell>
          <cell r="AN587">
            <v>0.2</v>
          </cell>
          <cell r="AO587">
            <v>0.2</v>
          </cell>
          <cell r="AP587">
            <v>0.2</v>
          </cell>
          <cell r="AQ587">
            <v>0.2</v>
          </cell>
          <cell r="AR587">
            <v>0.2</v>
          </cell>
          <cell r="AS587">
            <v>0.2</v>
          </cell>
          <cell r="AT587">
            <v>-0.04</v>
          </cell>
          <cell r="AU587">
            <v>0.92</v>
          </cell>
          <cell r="AV587">
            <v>20</v>
          </cell>
          <cell r="AZ587">
            <v>0.2</v>
          </cell>
          <cell r="BA587">
            <v>0.2</v>
          </cell>
        </row>
        <row r="588">
          <cell r="A588" t="str">
            <v>CRA.ME. DI CRABUZZA ROBERTO &amp; MELONE GIANCARLO</v>
          </cell>
          <cell r="B588" t="str">
            <v>346 1079170 MIRCO PINNA</v>
          </cell>
          <cell r="D588" t="str">
            <v>VIA MONTE D'OLLA, 108</v>
          </cell>
          <cell r="E588" t="str">
            <v>07041</v>
          </cell>
          <cell r="F588" t="str">
            <v>ALGHERO</v>
          </cell>
          <cell r="G588" t="str">
            <v>SS</v>
          </cell>
          <cell r="H588" t="str">
            <v>ITALIA</v>
          </cell>
          <cell r="M588" t="str">
            <v>UFFICIO ACQUISTI</v>
          </cell>
          <cell r="N588" t="str">
            <v>079 4123058</v>
          </cell>
          <cell r="O588" t="str">
            <v>348 6053690 ROBERTO   349 3527325 GIANCARLO</v>
          </cell>
          <cell r="P588" t="str">
            <v>crame.installazioni@libero.it</v>
          </cell>
          <cell r="R588" t="str">
            <v>BONIFICO BANCARIO, ALLA DATA DELLA NOSTRA CONFERMA D'ORDINE</v>
          </cell>
          <cell r="X588">
            <v>0.2</v>
          </cell>
          <cell r="Y588">
            <v>-0.04</v>
          </cell>
          <cell r="AB588">
            <v>0.2</v>
          </cell>
          <cell r="AC588">
            <v>0.2</v>
          </cell>
          <cell r="AD588">
            <v>0.2</v>
          </cell>
          <cell r="AE588">
            <v>0.2</v>
          </cell>
          <cell r="AF588">
            <v>0.2</v>
          </cell>
          <cell r="AG588">
            <v>0.2</v>
          </cell>
          <cell r="AH588">
            <v>0.2</v>
          </cell>
          <cell r="AI588">
            <v>0.2</v>
          </cell>
          <cell r="AJ588">
            <v>0.2</v>
          </cell>
          <cell r="AK588">
            <v>0.2</v>
          </cell>
          <cell r="AL588">
            <v>0.2</v>
          </cell>
          <cell r="AM588">
            <v>0.2</v>
          </cell>
          <cell r="AN588">
            <v>0.2</v>
          </cell>
          <cell r="AO588">
            <v>0.2</v>
          </cell>
          <cell r="AP588">
            <v>0.2</v>
          </cell>
          <cell r="AQ588">
            <v>0.2</v>
          </cell>
          <cell r="AR588">
            <v>0.2</v>
          </cell>
          <cell r="AS588">
            <v>0.2</v>
          </cell>
          <cell r="AT588">
            <v>-0.04</v>
          </cell>
          <cell r="AU588">
            <v>0.92</v>
          </cell>
          <cell r="AV588">
            <v>20</v>
          </cell>
          <cell r="AZ588">
            <v>0.2</v>
          </cell>
          <cell r="BA588">
            <v>0.2</v>
          </cell>
        </row>
        <row r="589">
          <cell r="A589" t="str">
            <v>CREMA INFISSI SRL</v>
          </cell>
          <cell r="D589" t="str">
            <v>VIA DLL'INDUSTRIA, 27</v>
          </cell>
          <cell r="E589">
            <v>26010</v>
          </cell>
          <cell r="F589" t="str">
            <v>CHIEVE</v>
          </cell>
          <cell r="G589" t="str">
            <v>CR</v>
          </cell>
          <cell r="H589" t="str">
            <v>ITALIA</v>
          </cell>
          <cell r="J589" t="str">
            <v>01529660191</v>
          </cell>
          <cell r="M589" t="str">
            <v>UFFICIO ACQUISTI</v>
          </cell>
          <cell r="N589" t="str">
            <v>0373 648624</v>
          </cell>
          <cell r="O589" t="str">
            <v>338 7964613</v>
          </cell>
          <cell r="P589" t="str">
            <v>info@cremainfissi.it</v>
          </cell>
          <cell r="R589" t="str">
            <v>BONIFICO BANCARIO, ALLA DATA DELLA NOSTRA CONFERMA D'ORDINE</v>
          </cell>
          <cell r="X589">
            <v>0.25</v>
          </cell>
          <cell r="Y589">
            <v>-0.04</v>
          </cell>
          <cell r="AB589">
            <v>0.25</v>
          </cell>
          <cell r="AC589">
            <v>0.25</v>
          </cell>
          <cell r="AD589">
            <v>0.25</v>
          </cell>
          <cell r="AE589">
            <v>0.25</v>
          </cell>
          <cell r="AF589">
            <v>0.25</v>
          </cell>
          <cell r="AG589">
            <v>0.25</v>
          </cell>
          <cell r="AH589">
            <v>0.25</v>
          </cell>
          <cell r="AI589">
            <v>0.25</v>
          </cell>
          <cell r="AJ589">
            <v>0.25</v>
          </cell>
          <cell r="AK589">
            <v>0.25</v>
          </cell>
          <cell r="AL589">
            <v>0.25</v>
          </cell>
          <cell r="AM589">
            <v>0.25</v>
          </cell>
          <cell r="AN589">
            <v>0.25</v>
          </cell>
          <cell r="AO589">
            <v>0.25</v>
          </cell>
          <cell r="AP589">
            <v>0.25</v>
          </cell>
          <cell r="AQ589">
            <v>0.25</v>
          </cell>
          <cell r="AR589">
            <v>0.25</v>
          </cell>
          <cell r="AS589">
            <v>0.25</v>
          </cell>
          <cell r="AT589">
            <v>-0.04</v>
          </cell>
          <cell r="AU589">
            <v>0.92</v>
          </cell>
          <cell r="AV589">
            <v>20</v>
          </cell>
          <cell r="AY589" t="str">
            <v/>
          </cell>
          <cell r="AZ589">
            <v>0.25</v>
          </cell>
          <cell r="BA589">
            <v>0.25</v>
          </cell>
        </row>
        <row r="590">
          <cell r="A590" t="str">
            <v>CREMONA AUTOMAZIONI SRL</v>
          </cell>
          <cell r="D590" t="str">
            <v>VIA BUOSO DA DOVARA, 12</v>
          </cell>
          <cell r="E590">
            <v>26100</v>
          </cell>
          <cell r="F590" t="str">
            <v>CREMONA</v>
          </cell>
          <cell r="G590" t="str">
            <v>CR</v>
          </cell>
          <cell r="H590" t="str">
            <v>ITALIA</v>
          </cell>
          <cell r="I590" t="str">
            <v>09033580961</v>
          </cell>
          <cell r="J590" t="str">
            <v>09033580961</v>
          </cell>
          <cell r="M590" t="str">
            <v>UFFICIO ACQUISTI</v>
          </cell>
          <cell r="N590" t="str">
            <v>0372 452749</v>
          </cell>
          <cell r="R590" t="str">
            <v>BONIFICO BANCARIO, ALLA DATA DELLA NOSTRA CONFERMA D'ORDINE</v>
          </cell>
          <cell r="X590">
            <v>0.25</v>
          </cell>
          <cell r="Y590">
            <v>-0.04</v>
          </cell>
          <cell r="AB590">
            <v>0.25</v>
          </cell>
          <cell r="AC590">
            <v>0.25</v>
          </cell>
          <cell r="AD590">
            <v>0.25</v>
          </cell>
          <cell r="AE590">
            <v>0.25</v>
          </cell>
          <cell r="AF590">
            <v>0.25</v>
          </cell>
          <cell r="AG590">
            <v>0.25</v>
          </cell>
          <cell r="AH590">
            <v>0.25</v>
          </cell>
          <cell r="AI590">
            <v>0.25</v>
          </cell>
          <cell r="AJ590">
            <v>0.25</v>
          </cell>
          <cell r="AK590">
            <v>0.25</v>
          </cell>
          <cell r="AL590">
            <v>0.25</v>
          </cell>
          <cell r="AM590">
            <v>0.25</v>
          </cell>
          <cell r="AN590">
            <v>0.25</v>
          </cell>
          <cell r="AO590">
            <v>0.25</v>
          </cell>
          <cell r="AP590">
            <v>0.25</v>
          </cell>
          <cell r="AQ590">
            <v>0.25</v>
          </cell>
          <cell r="AR590">
            <v>0.25</v>
          </cell>
          <cell r="AS590">
            <v>0.25</v>
          </cell>
          <cell r="AT590">
            <v>-0.04</v>
          </cell>
          <cell r="AU590">
            <v>0.92</v>
          </cell>
          <cell r="AV590">
            <v>20</v>
          </cell>
          <cell r="AZ590">
            <v>0.25</v>
          </cell>
          <cell r="BA590">
            <v>0.25</v>
          </cell>
        </row>
        <row r="591">
          <cell r="A591" t="str">
            <v>CREMONINI FABIO DI CREMONINI FABIO E DANIELE SNC</v>
          </cell>
          <cell r="D591" t="str">
            <v>VIA ENRICO FERMI 12</v>
          </cell>
          <cell r="E591" t="str">
            <v>40014</v>
          </cell>
          <cell r="F591" t="str">
            <v>CREVALCORE</v>
          </cell>
          <cell r="G591" t="str">
            <v>BO</v>
          </cell>
          <cell r="H591" t="str">
            <v>ITALIA</v>
          </cell>
          <cell r="J591" t="str">
            <v>01543581209</v>
          </cell>
          <cell r="M591" t="str">
            <v>UFFICIO ACQUISTI</v>
          </cell>
          <cell r="N591" t="str">
            <v>051 981409</v>
          </cell>
          <cell r="P591" t="str">
            <v>cremonini-infissi@libero.it</v>
          </cell>
          <cell r="R591" t="str">
            <v>BONIFICO BANCARIO, ALLA DATA DELLA NOSTRA CONFERMA D'ORDINE</v>
          </cell>
          <cell r="X591">
            <v>0.25</v>
          </cell>
          <cell r="Y591">
            <v>-0.04</v>
          </cell>
          <cell r="AB591">
            <v>0.25</v>
          </cell>
          <cell r="AC591">
            <v>0.25</v>
          </cell>
          <cell r="AD591">
            <v>0.25</v>
          </cell>
          <cell r="AE591">
            <v>0.25</v>
          </cell>
          <cell r="AF591">
            <v>0.25</v>
          </cell>
          <cell r="AG591">
            <v>0.25</v>
          </cell>
          <cell r="AH591">
            <v>0.25</v>
          </cell>
          <cell r="AI591">
            <v>0.25</v>
          </cell>
          <cell r="AJ591">
            <v>0.25</v>
          </cell>
          <cell r="AK591">
            <v>0.25</v>
          </cell>
          <cell r="AL591">
            <v>0.25</v>
          </cell>
          <cell r="AM591">
            <v>0.25</v>
          </cell>
          <cell r="AN591">
            <v>0.25</v>
          </cell>
          <cell r="AO591">
            <v>0.25</v>
          </cell>
          <cell r="AP591">
            <v>0.25</v>
          </cell>
          <cell r="AQ591">
            <v>0.25</v>
          </cell>
          <cell r="AR591">
            <v>0.25</v>
          </cell>
          <cell r="AS591">
            <v>0.25</v>
          </cell>
          <cell r="AT591">
            <v>-0.04</v>
          </cell>
          <cell r="AU591">
            <v>0.92</v>
          </cell>
          <cell r="AV591">
            <v>20</v>
          </cell>
          <cell r="AZ591">
            <v>0.25</v>
          </cell>
          <cell r="BA591">
            <v>0.25</v>
          </cell>
        </row>
        <row r="592">
          <cell r="A592" t="str">
            <v>CROESUS SERRAMENTI</v>
          </cell>
          <cell r="D592" t="str">
            <v>VIA S. PERTINI 19</v>
          </cell>
          <cell r="E592" t="str">
            <v>45020</v>
          </cell>
          <cell r="F592" t="str">
            <v>SAN BELLINO</v>
          </cell>
          <cell r="G592" t="str">
            <v>RO</v>
          </cell>
          <cell r="H592" t="str">
            <v>ITALIA</v>
          </cell>
          <cell r="M592" t="str">
            <v>UFFICIO ACQUISTI</v>
          </cell>
          <cell r="N592" t="str">
            <v>045 703336</v>
          </cell>
          <cell r="O592" t="str">
            <v>347 2845713</v>
          </cell>
          <cell r="P592" t="str">
            <v>riccardo.ghinello@croesus.it</v>
          </cell>
          <cell r="R592" t="str">
            <v>BONIFICO BANCARIO, ALLA DATA DELLA NOSTRA CONFERMA D'ORDINE</v>
          </cell>
          <cell r="X592">
            <v>0.25</v>
          </cell>
          <cell r="Y592">
            <v>-0.04</v>
          </cell>
          <cell r="AB592">
            <v>0.25</v>
          </cell>
          <cell r="AC592">
            <v>0.25</v>
          </cell>
          <cell r="AD592">
            <v>0.25</v>
          </cell>
          <cell r="AE592">
            <v>0.25</v>
          </cell>
          <cell r="AF592">
            <v>0.25</v>
          </cell>
          <cell r="AG592">
            <v>0.25</v>
          </cell>
          <cell r="AH592">
            <v>0.25</v>
          </cell>
          <cell r="AI592">
            <v>0.25</v>
          </cell>
          <cell r="AJ592">
            <v>0.25</v>
          </cell>
          <cell r="AK592">
            <v>0.25</v>
          </cell>
          <cell r="AL592">
            <v>0.25</v>
          </cell>
          <cell r="AM592">
            <v>0.25</v>
          </cell>
          <cell r="AN592">
            <v>0.25</v>
          </cell>
          <cell r="AO592">
            <v>0.25</v>
          </cell>
          <cell r="AP592">
            <v>0.25</v>
          </cell>
          <cell r="AQ592">
            <v>0.25</v>
          </cell>
          <cell r="AR592">
            <v>0.25</v>
          </cell>
          <cell r="AS592">
            <v>0.25</v>
          </cell>
          <cell r="AT592">
            <v>-0.04</v>
          </cell>
          <cell r="AU592">
            <v>0.92</v>
          </cell>
          <cell r="AV592">
            <v>20</v>
          </cell>
          <cell r="AY592" t="str">
            <v/>
          </cell>
          <cell r="AZ592">
            <v>0.25</v>
          </cell>
          <cell r="BA592">
            <v>0.25</v>
          </cell>
        </row>
        <row r="593">
          <cell r="A593" t="str">
            <v>CRUCIANELLI INFISSI</v>
          </cell>
          <cell r="B593" t="str">
            <v>PARLATO CON ROBERTO, IL PADRE.</v>
          </cell>
          <cell r="D593" t="str">
            <v>VIA MOLINO BASSO 6</v>
          </cell>
          <cell r="E593" t="str">
            <v>60027</v>
          </cell>
          <cell r="F593" t="str">
            <v>OSIMO</v>
          </cell>
          <cell r="G593" t="str">
            <v>AN</v>
          </cell>
          <cell r="H593" t="str">
            <v>ITALIA</v>
          </cell>
          <cell r="M593" t="str">
            <v>UFFICIO ACQUISTI</v>
          </cell>
          <cell r="N593" t="str">
            <v>071 715309</v>
          </cell>
          <cell r="O593" t="str">
            <v>338 2110619</v>
          </cell>
          <cell r="P593" t="str">
            <v>crucianellinfissi@gmail.com</v>
          </cell>
          <cell r="R593" t="str">
            <v>BONIFICO BANCARIO, ALLA DATA DELLA NOSTRA CONFERMA D'ORDINE</v>
          </cell>
          <cell r="X593">
            <v>0.25</v>
          </cell>
          <cell r="Y593">
            <v>-0.04</v>
          </cell>
          <cell r="AB593">
            <v>0.25</v>
          </cell>
          <cell r="AC593">
            <v>0.25</v>
          </cell>
          <cell r="AD593">
            <v>0.25</v>
          </cell>
          <cell r="AE593">
            <v>0.25</v>
          </cell>
          <cell r="AF593">
            <v>0.25</v>
          </cell>
          <cell r="AG593">
            <v>0.25</v>
          </cell>
          <cell r="AH593">
            <v>0.25</v>
          </cell>
          <cell r="AI593">
            <v>0.25</v>
          </cell>
          <cell r="AJ593">
            <v>0.25</v>
          </cell>
          <cell r="AK593">
            <v>0.25</v>
          </cell>
          <cell r="AL593">
            <v>0.25</v>
          </cell>
          <cell r="AM593">
            <v>0.25</v>
          </cell>
          <cell r="AN593">
            <v>0.25</v>
          </cell>
          <cell r="AO593">
            <v>0.25</v>
          </cell>
          <cell r="AP593">
            <v>0.25</v>
          </cell>
          <cell r="AQ593">
            <v>0.25</v>
          </cell>
          <cell r="AR593">
            <v>0.25</v>
          </cell>
          <cell r="AS593">
            <v>0.25</v>
          </cell>
          <cell r="AT593">
            <v>-0.04</v>
          </cell>
          <cell r="AU593">
            <v>0.92</v>
          </cell>
          <cell r="AV593">
            <v>20</v>
          </cell>
          <cell r="AY593" t="str">
            <v/>
          </cell>
          <cell r="AZ593">
            <v>0.25</v>
          </cell>
          <cell r="BA593">
            <v>0.25</v>
          </cell>
        </row>
        <row r="594">
          <cell r="A594" t="str">
            <v>CRUCIANI INFISSI SRL</v>
          </cell>
          <cell r="D594" t="str">
            <v>VIA GUSTAVO DE LUCA, 2/C</v>
          </cell>
          <cell r="E594" t="str">
            <v>00047</v>
          </cell>
          <cell r="F594" t="str">
            <v>MARINO</v>
          </cell>
          <cell r="G594" t="str">
            <v>RM</v>
          </cell>
          <cell r="H594" t="str">
            <v>ITALIA</v>
          </cell>
          <cell r="M594" t="str">
            <v>UFFICIO ACQUISTI</v>
          </cell>
          <cell r="N594" t="str">
            <v>06 9388707</v>
          </cell>
          <cell r="O594" t="str">
            <v>347 0056468 GIAMPIERO CRUCIANI</v>
          </cell>
          <cell r="P594" t="str">
            <v>info@crucianiinfissi.com</v>
          </cell>
          <cell r="R594" t="str">
            <v>BONIFICO BANCARIO, ALLA DATA DELLA NOSTRA CONFERMA D'ORDINE</v>
          </cell>
          <cell r="X594">
            <v>0.2</v>
          </cell>
          <cell r="Y594">
            <v>-0.04</v>
          </cell>
          <cell r="AB594">
            <v>0.2</v>
          </cell>
          <cell r="AC594">
            <v>0.2</v>
          </cell>
          <cell r="AD594">
            <v>0.2</v>
          </cell>
          <cell r="AE594">
            <v>0.2</v>
          </cell>
          <cell r="AF594">
            <v>0.2</v>
          </cell>
          <cell r="AG594">
            <v>0.2</v>
          </cell>
          <cell r="AH594">
            <v>0.2</v>
          </cell>
          <cell r="AI594">
            <v>0.2</v>
          </cell>
          <cell r="AJ594">
            <v>0.2</v>
          </cell>
          <cell r="AK594">
            <v>0.2</v>
          </cell>
          <cell r="AL594">
            <v>0.2</v>
          </cell>
          <cell r="AM594">
            <v>0.2</v>
          </cell>
          <cell r="AN594">
            <v>0.2</v>
          </cell>
          <cell r="AO594">
            <v>0.2</v>
          </cell>
          <cell r="AP594">
            <v>0.2</v>
          </cell>
          <cell r="AQ594">
            <v>0.2</v>
          </cell>
          <cell r="AR594">
            <v>0.2</v>
          </cell>
          <cell r="AS594">
            <v>0.2</v>
          </cell>
          <cell r="AT594">
            <v>-0.04</v>
          </cell>
          <cell r="AU594">
            <v>0.92</v>
          </cell>
          <cell r="AV594">
            <v>20</v>
          </cell>
          <cell r="AZ594">
            <v>0.2</v>
          </cell>
          <cell r="BA594">
            <v>0.2</v>
          </cell>
        </row>
        <row r="595">
          <cell r="A595" t="str">
            <v>CS CASTELLETTO SERRAMENTI</v>
          </cell>
          <cell r="D595" t="str">
            <v>VIA ROMA 80</v>
          </cell>
          <cell r="E595" t="str">
            <v>45060</v>
          </cell>
          <cell r="F595" t="str">
            <v>CAPRIATA D'ORBA</v>
          </cell>
          <cell r="G595" t="str">
            <v>AL</v>
          </cell>
          <cell r="H595" t="str">
            <v>ITALIA</v>
          </cell>
          <cell r="J595" t="str">
            <v>01093120069</v>
          </cell>
          <cell r="M595" t="str">
            <v>UFFICIO ACQUISTI</v>
          </cell>
          <cell r="N595" t="str">
            <v>0143 460015</v>
          </cell>
          <cell r="O595" t="str">
            <v>333 9041644 - 333 6700272</v>
          </cell>
          <cell r="P595" t="str">
            <v>castellettoserramenti@gmail.com</v>
          </cell>
          <cell r="R595" t="str">
            <v>BONIFICO BANCARIO, ALLA DATA DELLA NOSTRA CONFERMA D'ORDINE</v>
          </cell>
          <cell r="X595">
            <v>0.25</v>
          </cell>
          <cell r="Y595">
            <v>-0.04</v>
          </cell>
          <cell r="AB595">
            <v>0.25</v>
          </cell>
          <cell r="AC595">
            <v>0.25</v>
          </cell>
          <cell r="AD595">
            <v>0.25</v>
          </cell>
          <cell r="AE595">
            <v>0.25</v>
          </cell>
          <cell r="AF595">
            <v>0.25</v>
          </cell>
          <cell r="AG595">
            <v>0.25</v>
          </cell>
          <cell r="AH595">
            <v>0.25</v>
          </cell>
          <cell r="AI595">
            <v>0.25</v>
          </cell>
          <cell r="AJ595">
            <v>0.25</v>
          </cell>
          <cell r="AK595">
            <v>0.25</v>
          </cell>
          <cell r="AL595">
            <v>0.25</v>
          </cell>
          <cell r="AM595">
            <v>0.25</v>
          </cell>
          <cell r="AN595">
            <v>0.25</v>
          </cell>
          <cell r="AO595">
            <v>0.25</v>
          </cell>
          <cell r="AP595">
            <v>0.25</v>
          </cell>
          <cell r="AQ595">
            <v>0.25</v>
          </cell>
          <cell r="AR595">
            <v>0.25</v>
          </cell>
          <cell r="AS595">
            <v>0.25</v>
          </cell>
          <cell r="AT595">
            <v>-0.04</v>
          </cell>
          <cell r="AU595">
            <v>0.92</v>
          </cell>
          <cell r="AV595">
            <v>20</v>
          </cell>
          <cell r="AY595" t="str">
            <v/>
          </cell>
          <cell r="AZ595">
            <v>0.25</v>
          </cell>
          <cell r="BA595">
            <v>0.25</v>
          </cell>
        </row>
        <row r="596">
          <cell r="A596" t="str">
            <v>CSAVOCA S.A.S.</v>
          </cell>
          <cell r="D596" t="str">
            <v>VIALE LOMBARDIA, 177</v>
          </cell>
          <cell r="E596" t="str">
            <v>20861</v>
          </cell>
          <cell r="F596" t="str">
            <v>BRUGHERIO</v>
          </cell>
          <cell r="G596" t="str">
            <v>MB</v>
          </cell>
          <cell r="H596" t="str">
            <v>ITALIA</v>
          </cell>
          <cell r="J596" t="str">
            <v>09978140961</v>
          </cell>
          <cell r="K596" t="str">
            <v>T9K4ZHO</v>
          </cell>
          <cell r="M596" t="str">
            <v>UFFICIO ACQUISTI</v>
          </cell>
          <cell r="O596" t="str">
            <v>328 9486657</v>
          </cell>
          <cell r="P596" t="str">
            <v>info@serramentisavoca.it</v>
          </cell>
          <cell r="R596" t="str">
            <v>BONIFICO BANCARIO, ALLA DATA DELLA NOSTRA CONFERMA D'ORDINE</v>
          </cell>
          <cell r="X596">
            <v>0.25</v>
          </cell>
          <cell r="Y596">
            <v>-0.04</v>
          </cell>
          <cell r="AB596">
            <v>0.25</v>
          </cell>
          <cell r="AC596">
            <v>0.25</v>
          </cell>
          <cell r="AD596">
            <v>0.25</v>
          </cell>
          <cell r="AE596">
            <v>0.25</v>
          </cell>
          <cell r="AF596">
            <v>0.25</v>
          </cell>
          <cell r="AG596">
            <v>0.25</v>
          </cell>
          <cell r="AH596">
            <v>0.25</v>
          </cell>
          <cell r="AI596">
            <v>0.25</v>
          </cell>
          <cell r="AJ596">
            <v>0.25</v>
          </cell>
          <cell r="AK596">
            <v>0.25</v>
          </cell>
          <cell r="AL596">
            <v>0.25</v>
          </cell>
          <cell r="AM596">
            <v>0.25</v>
          </cell>
          <cell r="AN596">
            <v>0.25</v>
          </cell>
          <cell r="AO596">
            <v>0.25</v>
          </cell>
          <cell r="AP596">
            <v>0.25</v>
          </cell>
          <cell r="AQ596">
            <v>0.25</v>
          </cell>
          <cell r="AR596">
            <v>0.25</v>
          </cell>
          <cell r="AS596">
            <v>0.25</v>
          </cell>
          <cell r="AT596">
            <v>-0.04</v>
          </cell>
          <cell r="AU596">
            <v>0.92</v>
          </cell>
          <cell r="AV596">
            <v>20</v>
          </cell>
          <cell r="AY596" t="str">
            <v>CONTRASSEGNO corriere espresso GLS 3% (minimo 3 euro)</v>
          </cell>
          <cell r="AZ596">
            <v>0.25</v>
          </cell>
          <cell r="BA596">
            <v>0.25</v>
          </cell>
        </row>
        <row r="597">
          <cell r="A597" t="str">
            <v>CSFER SRL</v>
          </cell>
          <cell r="D597" t="str">
            <v>VIALE MILANO 14</v>
          </cell>
          <cell r="F597" t="str">
            <v xml:space="preserve">SAN GIULIANO MILANESE </v>
          </cell>
          <cell r="G597" t="str">
            <v>MI</v>
          </cell>
          <cell r="H597" t="str">
            <v>ITALIA</v>
          </cell>
          <cell r="M597" t="str">
            <v>UFFICIO ACQUISTI</v>
          </cell>
          <cell r="N597" t="str">
            <v>02 39521434</v>
          </cell>
          <cell r="R597" t="str">
            <v>BONIFICO BANCARIO, ALLA DATA DELLA NOSTRA CONFERMA D'ORDINE</v>
          </cell>
          <cell r="X597">
            <v>0.25</v>
          </cell>
          <cell r="Y597">
            <v>-0.04</v>
          </cell>
          <cell r="AB597">
            <v>0.25</v>
          </cell>
          <cell r="AC597">
            <v>0.25</v>
          </cell>
          <cell r="AD597">
            <v>0.25</v>
          </cell>
          <cell r="AE597">
            <v>0.25</v>
          </cell>
          <cell r="AF597">
            <v>0.25</v>
          </cell>
          <cell r="AG597">
            <v>0.25</v>
          </cell>
          <cell r="AH597">
            <v>0.25</v>
          </cell>
          <cell r="AI597">
            <v>0.25</v>
          </cell>
          <cell r="AJ597">
            <v>0.25</v>
          </cell>
          <cell r="AK597">
            <v>0.25</v>
          </cell>
          <cell r="AL597">
            <v>0.25</v>
          </cell>
          <cell r="AM597">
            <v>0.25</v>
          </cell>
          <cell r="AN597">
            <v>0.25</v>
          </cell>
          <cell r="AO597">
            <v>0.25</v>
          </cell>
          <cell r="AP597">
            <v>0.25</v>
          </cell>
          <cell r="AQ597">
            <v>0.25</v>
          </cell>
          <cell r="AR597">
            <v>0.25</v>
          </cell>
          <cell r="AS597">
            <v>0.25</v>
          </cell>
          <cell r="AT597">
            <v>-0.04</v>
          </cell>
          <cell r="AU597">
            <v>0.92</v>
          </cell>
          <cell r="AV597">
            <v>20</v>
          </cell>
          <cell r="AZ597">
            <v>0.25</v>
          </cell>
          <cell r="BA597">
            <v>0.25</v>
          </cell>
        </row>
        <row r="598">
          <cell r="A598" t="str">
            <v>CT CENTRO TAPPARELLE</v>
          </cell>
          <cell r="D598" t="str">
            <v>VIALE RIMEMBRANZE, 63 A</v>
          </cell>
          <cell r="E598">
            <v>21052</v>
          </cell>
          <cell r="F598" t="str">
            <v>BUSTO ARSIZIO</v>
          </cell>
          <cell r="G598" t="str">
            <v>VA</v>
          </cell>
          <cell r="H598" t="str">
            <v>ITALIA</v>
          </cell>
          <cell r="I598" t="str">
            <v>ZRBSSC75L17L682Z</v>
          </cell>
          <cell r="J598" t="str">
            <v>02874720127</v>
          </cell>
          <cell r="M598" t="str">
            <v>UFFICIO ACQUISTI</v>
          </cell>
          <cell r="N598" t="str">
            <v>0331 321040</v>
          </cell>
          <cell r="P598" t="str">
            <v>info@centrotapparelle.it</v>
          </cell>
          <cell r="R598" t="str">
            <v>BONIFICO BANCARIO, ALLA DATA DELLA NOSTRA CONFERMA D'ORDINE</v>
          </cell>
          <cell r="X598">
            <v>0.25</v>
          </cell>
          <cell r="Y598">
            <v>-0.04</v>
          </cell>
          <cell r="AB598">
            <v>0.25</v>
          </cell>
          <cell r="AC598">
            <v>0.25</v>
          </cell>
          <cell r="AD598">
            <v>0.25</v>
          </cell>
          <cell r="AE598">
            <v>0.25</v>
          </cell>
          <cell r="AF598">
            <v>0.25</v>
          </cell>
          <cell r="AG598">
            <v>0.25</v>
          </cell>
          <cell r="AH598">
            <v>0.25</v>
          </cell>
          <cell r="AI598">
            <v>0.25</v>
          </cell>
          <cell r="AJ598">
            <v>0.25</v>
          </cell>
          <cell r="AK598">
            <v>0.25</v>
          </cell>
          <cell r="AL598">
            <v>0.25</v>
          </cell>
          <cell r="AM598">
            <v>0.25</v>
          </cell>
          <cell r="AN598">
            <v>0.25</v>
          </cell>
          <cell r="AO598">
            <v>0.25</v>
          </cell>
          <cell r="AP598">
            <v>0.25</v>
          </cell>
          <cell r="AQ598">
            <v>0.25</v>
          </cell>
          <cell r="AR598">
            <v>0.25</v>
          </cell>
          <cell r="AS598">
            <v>0.25</v>
          </cell>
          <cell r="AT598">
            <v>-0.04</v>
          </cell>
          <cell r="AU598">
            <v>0.92</v>
          </cell>
          <cell r="AV598">
            <v>20</v>
          </cell>
          <cell r="AY598" t="str">
            <v/>
          </cell>
          <cell r="AZ598">
            <v>0.25</v>
          </cell>
          <cell r="BA598">
            <v>0.25</v>
          </cell>
        </row>
        <row r="599">
          <cell r="A599" t="str">
            <v>CUCCHI DANIELE</v>
          </cell>
          <cell r="B599" t="str">
            <v>NOSTRO RIVENDITORE</v>
          </cell>
          <cell r="D599" t="str">
            <v>VIA CANALETTO, 40</v>
          </cell>
          <cell r="E599" t="str">
            <v>60019</v>
          </cell>
          <cell r="F599" t="str">
            <v>SENIGALLIA</v>
          </cell>
          <cell r="G599" t="str">
            <v>AN</v>
          </cell>
          <cell r="H599" t="str">
            <v>ITALIA</v>
          </cell>
          <cell r="J599" t="str">
            <v>02095190423</v>
          </cell>
          <cell r="K599" t="str">
            <v>M5UXCR1</v>
          </cell>
          <cell r="M599" t="str">
            <v>UFFICIO ACQUISTI</v>
          </cell>
          <cell r="O599" t="str">
            <v>339 1568086</v>
          </cell>
          <cell r="P599" t="str">
            <v>info@danielecucchi.it</v>
          </cell>
          <cell r="R599" t="str">
            <v>BONIFICO BANCARIO, ALLA DATA DELLA NOSTRA CONFERMA D'ORDINE</v>
          </cell>
          <cell r="X599">
            <v>0.25</v>
          </cell>
          <cell r="Y599">
            <v>-0.04</v>
          </cell>
          <cell r="AB599">
            <v>0.25</v>
          </cell>
          <cell r="AC599">
            <v>0.25</v>
          </cell>
          <cell r="AD599">
            <v>0.25</v>
          </cell>
          <cell r="AE599">
            <v>0.25</v>
          </cell>
          <cell r="AF599">
            <v>0.25</v>
          </cell>
          <cell r="AG599">
            <v>0.25</v>
          </cell>
          <cell r="AH599">
            <v>0.25</v>
          </cell>
          <cell r="AI599">
            <v>0.25</v>
          </cell>
          <cell r="AJ599">
            <v>0.25</v>
          </cell>
          <cell r="AK599">
            <v>0.25</v>
          </cell>
          <cell r="AL599">
            <v>0.25</v>
          </cell>
          <cell r="AM599">
            <v>0.25</v>
          </cell>
          <cell r="AN599">
            <v>0.25</v>
          </cell>
          <cell r="AO599">
            <v>0.25</v>
          </cell>
          <cell r="AP599">
            <v>0.25</v>
          </cell>
          <cell r="AQ599">
            <v>0.25</v>
          </cell>
          <cell r="AR599">
            <v>0.25</v>
          </cell>
          <cell r="AS599">
            <v>0.25</v>
          </cell>
          <cell r="AT599">
            <v>-0.04</v>
          </cell>
          <cell r="AU599">
            <v>0.87</v>
          </cell>
          <cell r="AV599">
            <v>20</v>
          </cell>
          <cell r="AZ599">
            <v>0.2</v>
          </cell>
          <cell r="BA599">
            <v>0.2</v>
          </cell>
          <cell r="BF599" t="str">
            <v>CLICK RAPID con espositore 16/02/2023</v>
          </cell>
        </row>
        <row r="600">
          <cell r="A600" t="str">
            <v>CUCCOLI</v>
          </cell>
          <cell r="D600" t="str">
            <v>VIA SILVIO PELLICO, 3</v>
          </cell>
          <cell r="E600" t="str">
            <v>52024</v>
          </cell>
          <cell r="F600" t="str">
            <v>S. GIUSTINO VALDARNO</v>
          </cell>
          <cell r="G600" t="str">
            <v>AR</v>
          </cell>
          <cell r="H600" t="str">
            <v>ITALIA</v>
          </cell>
          <cell r="I600" t="str">
            <v>01805050513</v>
          </cell>
          <cell r="J600" t="str">
            <v>01805050513</v>
          </cell>
          <cell r="M600" t="str">
            <v>UFFICIO ACQUISTI</v>
          </cell>
          <cell r="N600" t="str">
            <v>055 977106</v>
          </cell>
          <cell r="P600" t="str">
            <v>info@cuccolisiro.it</v>
          </cell>
          <cell r="R600" t="str">
            <v>BONIFICO BANCARIO, ALLA DATA DELLA NOSTRA CONFERMA D'ORDINE</v>
          </cell>
          <cell r="X600">
            <v>0.25</v>
          </cell>
          <cell r="Y600">
            <v>-0.04</v>
          </cell>
          <cell r="AB600">
            <v>0.25</v>
          </cell>
          <cell r="AC600">
            <v>0.25</v>
          </cell>
          <cell r="AD600">
            <v>0.25</v>
          </cell>
          <cell r="AE600">
            <v>0.25</v>
          </cell>
          <cell r="AF600">
            <v>0.25</v>
          </cell>
          <cell r="AG600">
            <v>0.25</v>
          </cell>
          <cell r="AH600">
            <v>0.25</v>
          </cell>
          <cell r="AI600">
            <v>0.25</v>
          </cell>
          <cell r="AJ600">
            <v>0.25</v>
          </cell>
          <cell r="AK600">
            <v>0.25</v>
          </cell>
          <cell r="AL600">
            <v>0.25</v>
          </cell>
          <cell r="AM600">
            <v>0.25</v>
          </cell>
          <cell r="AN600">
            <v>0.25</v>
          </cell>
          <cell r="AO600">
            <v>0.25</v>
          </cell>
          <cell r="AP600">
            <v>0.25</v>
          </cell>
          <cell r="AQ600">
            <v>0.25</v>
          </cell>
          <cell r="AR600">
            <v>0.25</v>
          </cell>
          <cell r="AS600">
            <v>0.25</v>
          </cell>
          <cell r="AT600">
            <v>-0.04</v>
          </cell>
          <cell r="AU600">
            <v>0.92</v>
          </cell>
          <cell r="AV600">
            <v>20</v>
          </cell>
          <cell r="AY600" t="str">
            <v/>
          </cell>
          <cell r="AZ600">
            <v>0.25</v>
          </cell>
          <cell r="BA600">
            <v>0.25</v>
          </cell>
        </row>
        <row r="601">
          <cell r="A601" t="str">
            <v>CUOMO SERRAMENTI SC</v>
          </cell>
          <cell r="D601" t="str">
            <v>VIA BRUNACCI 4</v>
          </cell>
          <cell r="E601" t="str">
            <v>30175</v>
          </cell>
          <cell r="F601" t="str">
            <v>MARGHERA</v>
          </cell>
          <cell r="G601" t="str">
            <v>VE</v>
          </cell>
          <cell r="H601" t="str">
            <v>ITALIA</v>
          </cell>
          <cell r="J601" t="str">
            <v>03273110274</v>
          </cell>
          <cell r="M601" t="str">
            <v>UFFICIO ACQUISTI</v>
          </cell>
          <cell r="N601" t="str">
            <v>041 932296</v>
          </cell>
          <cell r="P601" t="str">
            <v>info@cuomoserramenti.it</v>
          </cell>
          <cell r="R601" t="str">
            <v>BONIFICO BANCARIO, ALLA DATA DELLA NOSTRA CONFERMA D'ORDINE</v>
          </cell>
          <cell r="X601">
            <v>0.25</v>
          </cell>
          <cell r="Y601">
            <v>-0.04</v>
          </cell>
          <cell r="AB601">
            <v>0.25</v>
          </cell>
          <cell r="AC601">
            <v>0.25</v>
          </cell>
          <cell r="AD601">
            <v>0.25</v>
          </cell>
          <cell r="AE601">
            <v>0.25</v>
          </cell>
          <cell r="AF601">
            <v>0.25</v>
          </cell>
          <cell r="AG601">
            <v>0.25</v>
          </cell>
          <cell r="AH601">
            <v>0.25</v>
          </cell>
          <cell r="AI601">
            <v>0.25</v>
          </cell>
          <cell r="AJ601">
            <v>0.25</v>
          </cell>
          <cell r="AK601">
            <v>0.25</v>
          </cell>
          <cell r="AL601">
            <v>0.25</v>
          </cell>
          <cell r="AM601">
            <v>0.25</v>
          </cell>
          <cell r="AN601">
            <v>0.25</v>
          </cell>
          <cell r="AO601">
            <v>0.25</v>
          </cell>
          <cell r="AP601">
            <v>0.25</v>
          </cell>
          <cell r="AQ601">
            <v>0.25</v>
          </cell>
          <cell r="AR601">
            <v>0.25</v>
          </cell>
          <cell r="AS601">
            <v>0.25</v>
          </cell>
          <cell r="AT601">
            <v>-0.04</v>
          </cell>
          <cell r="AU601">
            <v>0.92</v>
          </cell>
          <cell r="AV601">
            <v>20</v>
          </cell>
          <cell r="AY601" t="str">
            <v/>
          </cell>
          <cell r="AZ601">
            <v>0.25</v>
          </cell>
          <cell r="BA601">
            <v>0.25</v>
          </cell>
        </row>
        <row r="602">
          <cell r="A602" t="str">
            <v>CUPER SRL</v>
          </cell>
          <cell r="D602" t="str">
            <v>VIA MATTEOTTI 8</v>
          </cell>
          <cell r="E602" t="str">
            <v>40057</v>
          </cell>
          <cell r="F602" t="str">
            <v>CADRIANO</v>
          </cell>
          <cell r="G602" t="str">
            <v>BO</v>
          </cell>
          <cell r="H602" t="str">
            <v>ITALIA</v>
          </cell>
          <cell r="J602" t="str">
            <v>00529631202</v>
          </cell>
          <cell r="M602" t="str">
            <v>UFFICIO ACQUISTI</v>
          </cell>
          <cell r="N602" t="str">
            <v>051 766523</v>
          </cell>
          <cell r="P602" t="str">
            <v>info@cuperdoors.it</v>
          </cell>
          <cell r="R602" t="str">
            <v>BONIFICO BANCARIO, ALLA DATA DELLA NOSTRA CONFERMA D'ORDINE</v>
          </cell>
          <cell r="X602">
            <v>0.25</v>
          </cell>
          <cell r="Y602">
            <v>-0.04</v>
          </cell>
          <cell r="AB602">
            <v>0.25</v>
          </cell>
          <cell r="AC602">
            <v>0.25</v>
          </cell>
          <cell r="AD602">
            <v>0.25</v>
          </cell>
          <cell r="AE602">
            <v>0.25</v>
          </cell>
          <cell r="AF602">
            <v>0.25</v>
          </cell>
          <cell r="AG602">
            <v>0.25</v>
          </cell>
          <cell r="AH602">
            <v>0.25</v>
          </cell>
          <cell r="AI602">
            <v>0.25</v>
          </cell>
          <cell r="AJ602">
            <v>0.25</v>
          </cell>
          <cell r="AK602">
            <v>0.25</v>
          </cell>
          <cell r="AL602">
            <v>0.25</v>
          </cell>
          <cell r="AM602">
            <v>0.25</v>
          </cell>
          <cell r="AN602">
            <v>0.25</v>
          </cell>
          <cell r="AO602">
            <v>0.25</v>
          </cell>
          <cell r="AP602">
            <v>0.25</v>
          </cell>
          <cell r="AQ602">
            <v>0.25</v>
          </cell>
          <cell r="AR602">
            <v>0.25</v>
          </cell>
          <cell r="AS602">
            <v>0.25</v>
          </cell>
          <cell r="AT602">
            <v>-0.04</v>
          </cell>
          <cell r="AU602">
            <v>0.92</v>
          </cell>
          <cell r="AV602">
            <v>20</v>
          </cell>
          <cell r="AY602" t="str">
            <v/>
          </cell>
          <cell r="AZ602">
            <v>0.25</v>
          </cell>
          <cell r="BA602">
            <v>0.25</v>
          </cell>
        </row>
        <row r="603">
          <cell r="A603" t="str">
            <v>CUSAN SRL</v>
          </cell>
          <cell r="D603" t="str">
            <v>VIA RAGAZZI DELL'99 10</v>
          </cell>
          <cell r="E603" t="str">
            <v>30026</v>
          </cell>
          <cell r="F603" t="str">
            <v>PORTOGRUARO</v>
          </cell>
          <cell r="G603" t="str">
            <v>VE</v>
          </cell>
          <cell r="H603" t="str">
            <v>ITALIA</v>
          </cell>
          <cell r="J603" t="str">
            <v>04565860279</v>
          </cell>
          <cell r="M603" t="str">
            <v>UFFICIO ACQUISTI</v>
          </cell>
          <cell r="N603" t="str">
            <v>0421 275598</v>
          </cell>
          <cell r="O603" t="str">
            <v>346 3014797</v>
          </cell>
          <cell r="P603" t="str">
            <v>info@cusansrl.it</v>
          </cell>
          <cell r="R603" t="str">
            <v>BONIFICO BANCARIO, ALLA DATA DELLA NOSTRA CONFERMA D'ORDINE</v>
          </cell>
          <cell r="X603">
            <v>0.25</v>
          </cell>
          <cell r="Y603">
            <v>-0.04</v>
          </cell>
          <cell r="AB603">
            <v>0.25</v>
          </cell>
          <cell r="AC603">
            <v>0.25</v>
          </cell>
          <cell r="AD603">
            <v>0.25</v>
          </cell>
          <cell r="AE603">
            <v>0.25</v>
          </cell>
          <cell r="AF603">
            <v>0.25</v>
          </cell>
          <cell r="AG603">
            <v>0.25</v>
          </cell>
          <cell r="AH603">
            <v>0.25</v>
          </cell>
          <cell r="AI603">
            <v>0.25</v>
          </cell>
          <cell r="AJ603">
            <v>0.25</v>
          </cell>
          <cell r="AK603">
            <v>0.25</v>
          </cell>
          <cell r="AL603">
            <v>0.25</v>
          </cell>
          <cell r="AM603">
            <v>0.25</v>
          </cell>
          <cell r="AN603">
            <v>0.25</v>
          </cell>
          <cell r="AO603">
            <v>0.25</v>
          </cell>
          <cell r="AP603">
            <v>0.25</v>
          </cell>
          <cell r="AQ603">
            <v>0.25</v>
          </cell>
          <cell r="AR603">
            <v>0.25</v>
          </cell>
          <cell r="AS603">
            <v>0.25</v>
          </cell>
          <cell r="AT603">
            <v>-0.04</v>
          </cell>
          <cell r="AU603">
            <v>0.92</v>
          </cell>
          <cell r="AV603">
            <v>20</v>
          </cell>
          <cell r="AY603" t="str">
            <v/>
          </cell>
          <cell r="AZ603">
            <v>0.25</v>
          </cell>
          <cell r="BA603">
            <v>0.25</v>
          </cell>
        </row>
        <row r="604">
          <cell r="A604" t="str">
            <v>CUSMAI PORTE &amp; FINESTRE</v>
          </cell>
          <cell r="D604" t="str">
            <v>VICO DEL FICO, 9</v>
          </cell>
          <cell r="E604" t="str">
            <v>71121</v>
          </cell>
          <cell r="F604" t="str">
            <v>FOGGIA</v>
          </cell>
          <cell r="G604" t="str">
            <v>FG</v>
          </cell>
          <cell r="H604" t="str">
            <v>ITALIA</v>
          </cell>
          <cell r="M604" t="str">
            <v>UFFICIO ACQUISTI</v>
          </cell>
          <cell r="N604" t="str">
            <v>0881 751732</v>
          </cell>
          <cell r="O604" t="str">
            <v>340 4044609 ALESSANDRO  327 5387555 ANDREA</v>
          </cell>
          <cell r="P604" t="str">
            <v>cusmaiporte@gmail.com</v>
          </cell>
          <cell r="R604" t="str">
            <v>BONIFICO BANCARIO, ALLA DATA DELLA NOSTRA CONFERMA D'ORDINE</v>
          </cell>
          <cell r="X604">
            <v>0.2</v>
          </cell>
          <cell r="Y604">
            <v>-0.04</v>
          </cell>
          <cell r="AB604">
            <v>0.2</v>
          </cell>
          <cell r="AC604">
            <v>0.2</v>
          </cell>
          <cell r="AD604">
            <v>0.2</v>
          </cell>
          <cell r="AE604">
            <v>0.2</v>
          </cell>
          <cell r="AF604">
            <v>0.2</v>
          </cell>
          <cell r="AG604">
            <v>0.2</v>
          </cell>
          <cell r="AH604">
            <v>0.2</v>
          </cell>
          <cell r="AI604">
            <v>0.2</v>
          </cell>
          <cell r="AJ604">
            <v>0.2</v>
          </cell>
          <cell r="AK604">
            <v>0.2</v>
          </cell>
          <cell r="AL604">
            <v>0.2</v>
          </cell>
          <cell r="AM604">
            <v>0.2</v>
          </cell>
          <cell r="AN604">
            <v>0.2</v>
          </cell>
          <cell r="AO604">
            <v>0.2</v>
          </cell>
          <cell r="AP604">
            <v>0.2</v>
          </cell>
          <cell r="AQ604">
            <v>0.2</v>
          </cell>
          <cell r="AR604">
            <v>0.2</v>
          </cell>
          <cell r="AS604">
            <v>0.2</v>
          </cell>
          <cell r="AT604">
            <v>-0.04</v>
          </cell>
          <cell r="AU604">
            <v>0.92</v>
          </cell>
          <cell r="AV604">
            <v>20</v>
          </cell>
          <cell r="AZ604">
            <v>0.2</v>
          </cell>
          <cell r="BA604">
            <v>0.2</v>
          </cell>
        </row>
        <row r="605">
          <cell r="A605" t="str">
            <v>CV VETRERIA COVET SRL </v>
          </cell>
          <cell r="D605" t="str">
            <v>VIA PANDOLFI, 6  8</v>
          </cell>
          <cell r="E605">
            <v>26845</v>
          </cell>
          <cell r="F605" t="str">
            <v>CODOGNO</v>
          </cell>
          <cell r="G605" t="str">
            <v>LO</v>
          </cell>
          <cell r="H605" t="str">
            <v>ITALIA</v>
          </cell>
          <cell r="J605" t="str">
            <v> 03970540963</v>
          </cell>
          <cell r="M605" t="str">
            <v>UFFICIO ACQUISTI</v>
          </cell>
          <cell r="N605" t="str">
            <v>0377 32393</v>
          </cell>
          <cell r="P605" t="str">
            <v>vetreriacovet@libero.it</v>
          </cell>
          <cell r="R605" t="str">
            <v>BONIFICO BANCARIO, ALLA DATA DELLA NOSTRA CONFERMA D'ORDINE</v>
          </cell>
          <cell r="X605">
            <v>0.25</v>
          </cell>
          <cell r="Y605">
            <v>-0.04</v>
          </cell>
          <cell r="AB605">
            <v>0.25</v>
          </cell>
          <cell r="AC605">
            <v>0.25</v>
          </cell>
          <cell r="AD605">
            <v>0.25</v>
          </cell>
          <cell r="AE605">
            <v>0.25</v>
          </cell>
          <cell r="AF605">
            <v>0.25</v>
          </cell>
          <cell r="AG605">
            <v>0.25</v>
          </cell>
          <cell r="AH605">
            <v>0.25</v>
          </cell>
          <cell r="AI605">
            <v>0.25</v>
          </cell>
          <cell r="AJ605">
            <v>0.25</v>
          </cell>
          <cell r="AK605">
            <v>0.25</v>
          </cell>
          <cell r="AL605">
            <v>0.25</v>
          </cell>
          <cell r="AM605">
            <v>0.25</v>
          </cell>
          <cell r="AN605">
            <v>0.25</v>
          </cell>
          <cell r="AO605">
            <v>0.25</v>
          </cell>
          <cell r="AP605">
            <v>0.25</v>
          </cell>
          <cell r="AQ605">
            <v>0.25</v>
          </cell>
          <cell r="AR605">
            <v>0.25</v>
          </cell>
          <cell r="AS605">
            <v>0.25</v>
          </cell>
          <cell r="AT605">
            <v>-0.04</v>
          </cell>
          <cell r="AU605">
            <v>0.92</v>
          </cell>
          <cell r="AV605">
            <v>20</v>
          </cell>
          <cell r="AY605" t="str">
            <v/>
          </cell>
          <cell r="AZ605">
            <v>0.25</v>
          </cell>
          <cell r="BA605">
            <v>0.25</v>
          </cell>
        </row>
        <row r="606">
          <cell r="A606" t="str">
            <v>D&amp;M INFISSI</v>
          </cell>
          <cell r="B606" t="str">
            <v>02/03/23 NON INTERESSATI</v>
          </cell>
          <cell r="D606" t="str">
            <v>STRADA FOSSO CAVONE, 1/5</v>
          </cell>
          <cell r="E606" t="str">
            <v>65128</v>
          </cell>
          <cell r="F606" t="str">
            <v>PESCARA</v>
          </cell>
          <cell r="G606" t="str">
            <v>PE</v>
          </cell>
          <cell r="H606" t="str">
            <v>ITALIA</v>
          </cell>
          <cell r="M606" t="str">
            <v>UFFICIO ACQUISTI</v>
          </cell>
          <cell r="O606" t="str">
            <v>340 3123093</v>
          </cell>
          <cell r="P606" t="str">
            <v>dminfissisnc@gmail.com</v>
          </cell>
          <cell r="R606" t="str">
            <v>BONIFICO BANCARIO, ALLA DATA DELLA NOSTRA CONFERMA D'ORDINE</v>
          </cell>
          <cell r="X606">
            <v>0.25</v>
          </cell>
          <cell r="Y606">
            <v>-0.04</v>
          </cell>
          <cell r="AB606">
            <v>0.25</v>
          </cell>
          <cell r="AC606">
            <v>0.25</v>
          </cell>
          <cell r="AD606">
            <v>0.25</v>
          </cell>
          <cell r="AE606">
            <v>0.25</v>
          </cell>
          <cell r="AF606">
            <v>0.25</v>
          </cell>
          <cell r="AG606">
            <v>0.25</v>
          </cell>
          <cell r="AH606">
            <v>0.25</v>
          </cell>
          <cell r="AI606">
            <v>0.25</v>
          </cell>
          <cell r="AJ606">
            <v>0.25</v>
          </cell>
          <cell r="AK606">
            <v>0.25</v>
          </cell>
          <cell r="AL606">
            <v>0.25</v>
          </cell>
          <cell r="AM606">
            <v>0.25</v>
          </cell>
          <cell r="AN606">
            <v>0.25</v>
          </cell>
          <cell r="AO606">
            <v>0.25</v>
          </cell>
          <cell r="AP606">
            <v>0.25</v>
          </cell>
          <cell r="AQ606">
            <v>0.25</v>
          </cell>
          <cell r="AR606">
            <v>0.25</v>
          </cell>
          <cell r="AS606">
            <v>0.25</v>
          </cell>
          <cell r="AT606">
            <v>-0.04</v>
          </cell>
          <cell r="AU606">
            <v>0.92</v>
          </cell>
          <cell r="AV606">
            <v>20</v>
          </cell>
          <cell r="AZ606">
            <v>0.25</v>
          </cell>
          <cell r="BA606">
            <v>0.25</v>
          </cell>
        </row>
        <row r="607">
          <cell r="A607" t="str">
            <v>D.ERRE</v>
          </cell>
          <cell r="D607" t="str">
            <v>VIA GIANNI AGNELLI</v>
          </cell>
          <cell r="E607">
            <v>73054</v>
          </cell>
          <cell r="F607" t="str">
            <v>PRESICCE</v>
          </cell>
          <cell r="G607" t="str">
            <v>LE</v>
          </cell>
          <cell r="H607" t="str">
            <v>ITALIA</v>
          </cell>
          <cell r="I607" t="str">
            <v>MCARRT73T23Z112J</v>
          </cell>
          <cell r="J607" t="str">
            <v>03778000756</v>
          </cell>
          <cell r="K607" t="str">
            <v>M5UXCR1</v>
          </cell>
          <cell r="M607" t="str">
            <v>UFFICIO ACQUISTI</v>
          </cell>
          <cell r="O607" t="str">
            <v>333 2650264 ROBERTO</v>
          </cell>
          <cell r="P607" t="str">
            <v>info@drportefinestre.it</v>
          </cell>
          <cell r="R607" t="str">
            <v>BONIFICO BANCARIO, ALLA DATA DELLA NOSTRA CONFERMA D'ORDINE</v>
          </cell>
          <cell r="X607">
            <v>0.25</v>
          </cell>
          <cell r="Y607">
            <v>-0.04</v>
          </cell>
          <cell r="AB607">
            <v>0.25</v>
          </cell>
          <cell r="AC607">
            <v>0.25</v>
          </cell>
          <cell r="AD607">
            <v>0.25</v>
          </cell>
          <cell r="AE607">
            <v>0.25</v>
          </cell>
          <cell r="AF607">
            <v>0.25</v>
          </cell>
          <cell r="AG607">
            <v>0.25</v>
          </cell>
          <cell r="AH607">
            <v>0.25</v>
          </cell>
          <cell r="AI607">
            <v>0.25</v>
          </cell>
          <cell r="AJ607">
            <v>0.25</v>
          </cell>
          <cell r="AK607">
            <v>0.25</v>
          </cell>
          <cell r="AL607">
            <v>0.25</v>
          </cell>
          <cell r="AM607">
            <v>0.25</v>
          </cell>
          <cell r="AN607">
            <v>0.25</v>
          </cell>
          <cell r="AO607">
            <v>0.25</v>
          </cell>
          <cell r="AP607">
            <v>0.25</v>
          </cell>
          <cell r="AQ607">
            <v>0.25</v>
          </cell>
          <cell r="AR607">
            <v>0.25</v>
          </cell>
          <cell r="AS607">
            <v>0.25</v>
          </cell>
          <cell r="AT607">
            <v>-0.04</v>
          </cell>
          <cell r="AU607">
            <v>0.92</v>
          </cell>
          <cell r="AV607">
            <v>20</v>
          </cell>
          <cell r="AZ607">
            <v>0.25</v>
          </cell>
          <cell r="BA607">
            <v>0.25</v>
          </cell>
        </row>
        <row r="608">
          <cell r="A608" t="str">
            <v>D.I.M.A.INFISSI DI NALI ANTONELLO</v>
          </cell>
          <cell r="D608" t="str">
            <v>VIA PERTINI, 11</v>
          </cell>
          <cell r="E608" t="str">
            <v>07046</v>
          </cell>
          <cell r="F608" t="str">
            <v>PORTO TORRES</v>
          </cell>
          <cell r="G608" t="str">
            <v>SS</v>
          </cell>
          <cell r="H608" t="str">
            <v>ITALIA</v>
          </cell>
          <cell r="J608" t="str">
            <v>02276500903</v>
          </cell>
          <cell r="M608" t="str">
            <v>UFFICIO ACQUISTI</v>
          </cell>
          <cell r="N608" t="str">
            <v>079 5044049</v>
          </cell>
          <cell r="P608" t="str">
            <v>dima.infissi@gmail.com</v>
          </cell>
          <cell r="R608" t="str">
            <v>BONIFICO BANCARIO, ALLA DATA DELLA NOSTRA CONFERMA D'ORDINE</v>
          </cell>
          <cell r="X608">
            <v>0.2</v>
          </cell>
          <cell r="Y608">
            <v>-0.04</v>
          </cell>
          <cell r="AB608">
            <v>0.2</v>
          </cell>
          <cell r="AC608">
            <v>0.2</v>
          </cell>
          <cell r="AD608">
            <v>0.2</v>
          </cell>
          <cell r="AE608">
            <v>0.2</v>
          </cell>
          <cell r="AF608">
            <v>0.2</v>
          </cell>
          <cell r="AG608">
            <v>0.2</v>
          </cell>
          <cell r="AH608">
            <v>0.2</v>
          </cell>
          <cell r="AI608">
            <v>0.2</v>
          </cell>
          <cell r="AJ608">
            <v>0.2</v>
          </cell>
          <cell r="AK608">
            <v>0.2</v>
          </cell>
          <cell r="AL608">
            <v>0.2</v>
          </cell>
          <cell r="AM608">
            <v>0.2</v>
          </cell>
          <cell r="AN608">
            <v>0.2</v>
          </cell>
          <cell r="AO608">
            <v>0.2</v>
          </cell>
          <cell r="AP608">
            <v>0.2</v>
          </cell>
          <cell r="AQ608">
            <v>0.2</v>
          </cell>
          <cell r="AR608">
            <v>0.2</v>
          </cell>
          <cell r="AS608">
            <v>0.2</v>
          </cell>
          <cell r="AT608">
            <v>-0.04</v>
          </cell>
          <cell r="AU608">
            <v>0.92</v>
          </cell>
          <cell r="AV608">
            <v>20</v>
          </cell>
          <cell r="AZ608">
            <v>0.2</v>
          </cell>
          <cell r="BA608">
            <v>0.2</v>
          </cell>
        </row>
        <row r="609">
          <cell r="A609" t="str">
            <v>D.N.SERRAMENTI SNC DI GIAGONI E ASARA</v>
          </cell>
          <cell r="D609" t="str">
            <v>ZONA ARTIGIANALE</v>
          </cell>
          <cell r="E609" t="str">
            <v>07028</v>
          </cell>
          <cell r="F609" t="str">
            <v>SANTA TERESA DI GALLURA</v>
          </cell>
          <cell r="G609" t="str">
            <v>SS</v>
          </cell>
          <cell r="H609" t="str">
            <v>ITALIA</v>
          </cell>
          <cell r="J609" t="str">
            <v>00193070901</v>
          </cell>
          <cell r="M609" t="str">
            <v>UFFICIO ACQUISTI</v>
          </cell>
          <cell r="N609" t="str">
            <v>0789 754543</v>
          </cell>
          <cell r="P609" t="str">
            <v>dnserramenti@interfree.it</v>
          </cell>
          <cell r="R609" t="str">
            <v>BONIFICO BANCARIO, ALLA DATA DELLA NOSTRA CONFERMA D'ORDINE</v>
          </cell>
          <cell r="X609">
            <v>0.2</v>
          </cell>
          <cell r="Y609">
            <v>-0.04</v>
          </cell>
          <cell r="AB609">
            <v>0.2</v>
          </cell>
          <cell r="AC609">
            <v>0.2</v>
          </cell>
          <cell r="AD609">
            <v>0.2</v>
          </cell>
          <cell r="AE609">
            <v>0.2</v>
          </cell>
          <cell r="AF609">
            <v>0.2</v>
          </cell>
          <cell r="AG609">
            <v>0.2</v>
          </cell>
          <cell r="AH609">
            <v>0.2</v>
          </cell>
          <cell r="AI609">
            <v>0.2</v>
          </cell>
          <cell r="AJ609">
            <v>0.2</v>
          </cell>
          <cell r="AK609">
            <v>0.2</v>
          </cell>
          <cell r="AL609">
            <v>0.2</v>
          </cell>
          <cell r="AM609">
            <v>0.2</v>
          </cell>
          <cell r="AN609">
            <v>0.2</v>
          </cell>
          <cell r="AO609">
            <v>0.2</v>
          </cell>
          <cell r="AP609">
            <v>0.2</v>
          </cell>
          <cell r="AQ609">
            <v>0.2</v>
          </cell>
          <cell r="AR609">
            <v>0.2</v>
          </cell>
          <cell r="AS609">
            <v>0.2</v>
          </cell>
          <cell r="AT609">
            <v>-0.04</v>
          </cell>
          <cell r="AU609">
            <v>0.92</v>
          </cell>
          <cell r="AV609">
            <v>20</v>
          </cell>
          <cell r="AZ609">
            <v>0.2</v>
          </cell>
          <cell r="BA609">
            <v>0.2</v>
          </cell>
        </row>
        <row r="610">
          <cell r="A610" t="str">
            <v>D.S.INFISSI DI SANTINO DETTORI</v>
          </cell>
          <cell r="D610" t="str">
            <v>ZONA IND.LE NASEDDU</v>
          </cell>
          <cell r="E610" t="str">
            <v>07021</v>
          </cell>
          <cell r="F610" t="str">
            <v>ARZACHENA</v>
          </cell>
          <cell r="G610" t="str">
            <v>SS</v>
          </cell>
          <cell r="H610" t="str">
            <v>ITALIA</v>
          </cell>
          <cell r="J610" t="str">
            <v>01986110904</v>
          </cell>
          <cell r="M610" t="str">
            <v>UFFICIO ACQUISTI</v>
          </cell>
          <cell r="N610" t="str">
            <v>0789 845001</v>
          </cell>
          <cell r="O610" t="str">
            <v>328 5337676</v>
          </cell>
          <cell r="P610" t="str">
            <v>infodsinfissi@gmail.com</v>
          </cell>
          <cell r="R610" t="str">
            <v>BONIFICO BANCARIO, ALLA DATA DELLA NOSTRA CONFERMA D'ORDINE</v>
          </cell>
          <cell r="X610">
            <v>0.2</v>
          </cell>
          <cell r="Y610">
            <v>-0.04</v>
          </cell>
          <cell r="AB610">
            <v>0.2</v>
          </cell>
          <cell r="AC610">
            <v>0.2</v>
          </cell>
          <cell r="AD610">
            <v>0.2</v>
          </cell>
          <cell r="AE610">
            <v>0.2</v>
          </cell>
          <cell r="AF610">
            <v>0.2</v>
          </cell>
          <cell r="AG610">
            <v>0.2</v>
          </cell>
          <cell r="AH610">
            <v>0.2</v>
          </cell>
          <cell r="AI610">
            <v>0.2</v>
          </cell>
          <cell r="AJ610">
            <v>0.2</v>
          </cell>
          <cell r="AK610">
            <v>0.2</v>
          </cell>
          <cell r="AL610">
            <v>0.2</v>
          </cell>
          <cell r="AM610">
            <v>0.2</v>
          </cell>
          <cell r="AN610">
            <v>0.2</v>
          </cell>
          <cell r="AO610">
            <v>0.2</v>
          </cell>
          <cell r="AP610">
            <v>0.2</v>
          </cell>
          <cell r="AQ610">
            <v>0.2</v>
          </cell>
          <cell r="AR610">
            <v>0.2</v>
          </cell>
          <cell r="AS610">
            <v>0.2</v>
          </cell>
          <cell r="AT610">
            <v>-0.04</v>
          </cell>
          <cell r="AU610">
            <v>0.92</v>
          </cell>
          <cell r="AV610">
            <v>20</v>
          </cell>
          <cell r="AZ610">
            <v>0.2</v>
          </cell>
          <cell r="BA610">
            <v>0.2</v>
          </cell>
        </row>
        <row r="611">
          <cell r="A611" t="str">
            <v>D.V.C. FALEGNAMERIA</v>
          </cell>
          <cell r="D611" t="str">
            <v>VIA GARDESANA, 166</v>
          </cell>
          <cell r="E611">
            <v>37018</v>
          </cell>
          <cell r="F611" t="str">
            <v>MALCESINE</v>
          </cell>
          <cell r="G611" t="str">
            <v>VR</v>
          </cell>
          <cell r="H611" t="str">
            <v>ITALIA</v>
          </cell>
          <cell r="I611" t="str">
            <v>CNSVLR79003G489A</v>
          </cell>
          <cell r="J611" t="str">
            <v>04384880235</v>
          </cell>
          <cell r="M611" t="str">
            <v>UFFICIO ACQUISTI</v>
          </cell>
          <cell r="N611" t="str">
            <v>045 7401239</v>
          </cell>
          <cell r="P611" t="str">
            <v>falegnameriadvc@gmail.com</v>
          </cell>
          <cell r="R611" t="str">
            <v>BONIFICO BANCARIO, ALLA DATA DELLA NOSTRA CONFERMA D'ORDINE</v>
          </cell>
          <cell r="X611">
            <v>0.25</v>
          </cell>
          <cell r="Y611">
            <v>-0.04</v>
          </cell>
          <cell r="AB611">
            <v>0.25</v>
          </cell>
          <cell r="AC611">
            <v>0.25</v>
          </cell>
          <cell r="AD611">
            <v>0.25</v>
          </cell>
          <cell r="AE611">
            <v>0.25</v>
          </cell>
          <cell r="AF611">
            <v>0.25</v>
          </cell>
          <cell r="AG611">
            <v>0.25</v>
          </cell>
          <cell r="AH611">
            <v>0.25</v>
          </cell>
          <cell r="AI611">
            <v>0.25</v>
          </cell>
          <cell r="AJ611">
            <v>0.25</v>
          </cell>
          <cell r="AK611">
            <v>0.25</v>
          </cell>
          <cell r="AL611">
            <v>0.25</v>
          </cell>
          <cell r="AM611">
            <v>0.25</v>
          </cell>
          <cell r="AN611">
            <v>0.25</v>
          </cell>
          <cell r="AO611">
            <v>0.25</v>
          </cell>
          <cell r="AP611">
            <v>0.25</v>
          </cell>
          <cell r="AQ611">
            <v>0.25</v>
          </cell>
          <cell r="AR611">
            <v>0.25</v>
          </cell>
          <cell r="AS611">
            <v>0.25</v>
          </cell>
          <cell r="AT611">
            <v>-0.04</v>
          </cell>
          <cell r="AU611">
            <v>0.92</v>
          </cell>
          <cell r="AV611">
            <v>20</v>
          </cell>
          <cell r="AZ611">
            <v>0.25</v>
          </cell>
          <cell r="BA611">
            <v>0.25</v>
          </cell>
        </row>
        <row r="612">
          <cell r="A612" t="str">
            <v>DA.MA HOME DESIGN</v>
          </cell>
          <cell r="B612" t="str">
            <v>MATTEO TEDDE RESP.CONS.ZA E AMM.NE</v>
          </cell>
          <cell r="D612" t="str">
            <v>VIA GIUSEPPE MAZZINI, 257</v>
          </cell>
          <cell r="E612" t="str">
            <v>07041</v>
          </cell>
          <cell r="F612" t="str">
            <v>ALGHERO</v>
          </cell>
          <cell r="G612" t="str">
            <v>SS</v>
          </cell>
          <cell r="H612" t="str">
            <v>ITALIA</v>
          </cell>
          <cell r="M612" t="str">
            <v>UFFICIO ACQUISTI</v>
          </cell>
          <cell r="N612" t="str">
            <v>079 5625694</v>
          </cell>
          <cell r="O612" t="str">
            <v>320 3035007 MATTEO TEDDE</v>
          </cell>
          <cell r="P612" t="str">
            <v>dama.tedde@gmail.com</v>
          </cell>
          <cell r="R612" t="str">
            <v>BONIFICO BANCARIO, ALLA DATA DELLA NOSTRA CONFERMA D'ORDINE</v>
          </cell>
          <cell r="X612">
            <v>0.2</v>
          </cell>
          <cell r="Y612">
            <v>-0.04</v>
          </cell>
          <cell r="AB612">
            <v>0.2</v>
          </cell>
          <cell r="AC612">
            <v>0.2</v>
          </cell>
          <cell r="AD612">
            <v>0.2</v>
          </cell>
          <cell r="AE612">
            <v>0.2</v>
          </cell>
          <cell r="AF612">
            <v>0.2</v>
          </cell>
          <cell r="AG612">
            <v>0.2</v>
          </cell>
          <cell r="AH612">
            <v>0.2</v>
          </cell>
          <cell r="AI612">
            <v>0.2</v>
          </cell>
          <cell r="AJ612">
            <v>0.2</v>
          </cell>
          <cell r="AK612">
            <v>0.2</v>
          </cell>
          <cell r="AL612">
            <v>0.2</v>
          </cell>
          <cell r="AM612">
            <v>0.2</v>
          </cell>
          <cell r="AN612">
            <v>0.2</v>
          </cell>
          <cell r="AO612">
            <v>0.2</v>
          </cell>
          <cell r="AP612">
            <v>0.2</v>
          </cell>
          <cell r="AQ612">
            <v>0.2</v>
          </cell>
          <cell r="AR612">
            <v>0.2</v>
          </cell>
          <cell r="AS612">
            <v>0.2</v>
          </cell>
          <cell r="AT612">
            <v>-0.04</v>
          </cell>
          <cell r="AU612">
            <v>0.92</v>
          </cell>
          <cell r="AV612">
            <v>20</v>
          </cell>
          <cell r="AZ612">
            <v>0.2</v>
          </cell>
          <cell r="BA612">
            <v>0.2</v>
          </cell>
        </row>
        <row r="613">
          <cell r="A613" t="str">
            <v>D'ADDARIO</v>
          </cell>
          <cell r="B613" t="str">
            <v xml:space="preserve">DIR.DOMENICO D'ADDARIO SHOW R.VI DEGLI ARTIGIANI, 7(FG)0881 720964 </v>
          </cell>
          <cell r="D613" t="str">
            <v>VIA DI SALSOLA, 28</v>
          </cell>
          <cell r="E613" t="str">
            <v>71121</v>
          </cell>
          <cell r="F613" t="str">
            <v>FOGGIA</v>
          </cell>
          <cell r="G613" t="str">
            <v>FG</v>
          </cell>
          <cell r="H613" t="str">
            <v>ITALIA</v>
          </cell>
          <cell r="M613" t="str">
            <v>UFFICIO ACQUISTI</v>
          </cell>
          <cell r="N613" t="str">
            <v>0881 708555</v>
          </cell>
          <cell r="O613" t="str">
            <v>335 7235444 D'ADDARIO DOMENICO</v>
          </cell>
          <cell r="P613" t="str">
            <v>daddariosicurezza@libero.it</v>
          </cell>
          <cell r="R613" t="str">
            <v>BONIFICO BANCARIO, ALLA DATA DELLA NOSTRA CONFERMA D'ORDINE</v>
          </cell>
          <cell r="X613">
            <v>0.2</v>
          </cell>
          <cell r="Y613">
            <v>-0.04</v>
          </cell>
          <cell r="AB613">
            <v>0.2</v>
          </cell>
          <cell r="AC613">
            <v>0.2</v>
          </cell>
          <cell r="AD613">
            <v>0.2</v>
          </cell>
          <cell r="AE613">
            <v>0.2</v>
          </cell>
          <cell r="AF613">
            <v>0.2</v>
          </cell>
          <cell r="AG613">
            <v>0.2</v>
          </cell>
          <cell r="AH613">
            <v>0.2</v>
          </cell>
          <cell r="AI613">
            <v>0.2</v>
          </cell>
          <cell r="AJ613">
            <v>0.2</v>
          </cell>
          <cell r="AK613">
            <v>0.2</v>
          </cell>
          <cell r="AL613">
            <v>0.2</v>
          </cell>
          <cell r="AM613">
            <v>0.2</v>
          </cell>
          <cell r="AN613">
            <v>0.2</v>
          </cell>
          <cell r="AO613">
            <v>0.2</v>
          </cell>
          <cell r="AP613">
            <v>0.2</v>
          </cell>
          <cell r="AQ613">
            <v>0.2</v>
          </cell>
          <cell r="AR613">
            <v>0.2</v>
          </cell>
          <cell r="AS613">
            <v>0.2</v>
          </cell>
          <cell r="AT613">
            <v>-0.04</v>
          </cell>
          <cell r="AU613">
            <v>0.92</v>
          </cell>
          <cell r="AV613">
            <v>20</v>
          </cell>
          <cell r="AZ613">
            <v>0.2</v>
          </cell>
          <cell r="BA613">
            <v>0.2</v>
          </cell>
        </row>
        <row r="614">
          <cell r="A614" t="str">
            <v>DAGA SERRAMENTI</v>
          </cell>
          <cell r="D614" t="str">
            <v>VIALE ALESSANDRO TASSONI, 64</v>
          </cell>
          <cell r="E614">
            <v>41124</v>
          </cell>
          <cell r="F614" t="str">
            <v>MODENA</v>
          </cell>
          <cell r="G614" t="str">
            <v>MO</v>
          </cell>
          <cell r="H614" t="str">
            <v>ITALIA</v>
          </cell>
          <cell r="M614" t="str">
            <v>UFFICIO ACQUISTI</v>
          </cell>
          <cell r="O614" t="str">
            <v>Biagio Mastroianni 342 5088479</v>
          </cell>
          <cell r="P614" t="str">
            <v>b.mastroianni@dagaserramenti.it</v>
          </cell>
          <cell r="R614" t="str">
            <v>BONIFICO BANCARIO, ALLA DATA DELLA NOSTRA CONFERMA D'ORDINE</v>
          </cell>
          <cell r="X614">
            <v>0.25</v>
          </cell>
          <cell r="Y614">
            <v>-0.04</v>
          </cell>
          <cell r="AB614">
            <v>0.25</v>
          </cell>
          <cell r="AC614">
            <v>0.25</v>
          </cell>
          <cell r="AD614">
            <v>0.25</v>
          </cell>
          <cell r="AE614">
            <v>0.25</v>
          </cell>
          <cell r="AF614">
            <v>0.25</v>
          </cell>
          <cell r="AG614">
            <v>0.25</v>
          </cell>
          <cell r="AH614">
            <v>0.25</v>
          </cell>
          <cell r="AI614">
            <v>0.25</v>
          </cell>
          <cell r="AJ614">
            <v>0.25</v>
          </cell>
          <cell r="AK614">
            <v>0.25</v>
          </cell>
          <cell r="AL614">
            <v>0.25</v>
          </cell>
          <cell r="AM614">
            <v>0.25</v>
          </cell>
          <cell r="AN614">
            <v>0.25</v>
          </cell>
          <cell r="AO614">
            <v>0.25</v>
          </cell>
          <cell r="AP614">
            <v>0.25</v>
          </cell>
          <cell r="AQ614">
            <v>0.25</v>
          </cell>
          <cell r="AR614">
            <v>0.25</v>
          </cell>
          <cell r="AS614">
            <v>0.25</v>
          </cell>
          <cell r="AT614">
            <v>-0.04</v>
          </cell>
          <cell r="AU614">
            <v>0.92</v>
          </cell>
          <cell r="AV614">
            <v>20</v>
          </cell>
          <cell r="AY614" t="str">
            <v/>
          </cell>
          <cell r="AZ614">
            <v>0.25</v>
          </cell>
          <cell r="BA614">
            <v>0.25</v>
          </cell>
        </row>
        <row r="615">
          <cell r="A615" t="str">
            <v>DAGO S.R.L.</v>
          </cell>
          <cell r="B615" t="str">
            <v>CAMPIONE 30% VERIFICA 3 CAMPIONE   SIG.GIUFFRE'</v>
          </cell>
          <cell r="D615" t="str">
            <v>VIA CAVOUR, 129  D</v>
          </cell>
          <cell r="E615">
            <v>22078</v>
          </cell>
          <cell r="F615" t="str">
            <v>TURATE</v>
          </cell>
          <cell r="G615" t="str">
            <v>CO</v>
          </cell>
          <cell r="H615" t="str">
            <v>ITALIA</v>
          </cell>
          <cell r="I615" t="str">
            <v>00789360138</v>
          </cell>
          <cell r="J615" t="str">
            <v>00789360138</v>
          </cell>
          <cell r="M615" t="str">
            <v>UFFICIO ACQUISTI</v>
          </cell>
          <cell r="N615" t="str">
            <v>02 96750362</v>
          </cell>
          <cell r="P615" t="str">
            <v>info@dagosrl.it</v>
          </cell>
          <cell r="R615" t="str">
            <v>BONIFICO BANCARIO, ALLA DATA DELLA NOSTRA CONFERMA D'ORDINE</v>
          </cell>
          <cell r="X615">
            <v>0.25</v>
          </cell>
          <cell r="Y615">
            <v>-0.04</v>
          </cell>
          <cell r="AB615">
            <v>0.25</v>
          </cell>
          <cell r="AC615">
            <v>0.25</v>
          </cell>
          <cell r="AD615">
            <v>0.25</v>
          </cell>
          <cell r="AE615">
            <v>0.25</v>
          </cell>
          <cell r="AF615">
            <v>0.25</v>
          </cell>
          <cell r="AG615">
            <v>0.25</v>
          </cell>
          <cell r="AH615">
            <v>0.25</v>
          </cell>
          <cell r="AI615">
            <v>0.25</v>
          </cell>
          <cell r="AJ615">
            <v>0.25</v>
          </cell>
          <cell r="AK615">
            <v>0.25</v>
          </cell>
          <cell r="AL615">
            <v>0.25</v>
          </cell>
          <cell r="AM615">
            <v>0.25</v>
          </cell>
          <cell r="AN615">
            <v>0.25</v>
          </cell>
          <cell r="AO615">
            <v>0.25</v>
          </cell>
          <cell r="AP615">
            <v>0.25</v>
          </cell>
          <cell r="AQ615">
            <v>0.25</v>
          </cell>
          <cell r="AR615">
            <v>0.25</v>
          </cell>
          <cell r="AS615">
            <v>0.25</v>
          </cell>
          <cell r="AT615">
            <v>-0.04</v>
          </cell>
          <cell r="AU615">
            <v>0.92</v>
          </cell>
          <cell r="AV615">
            <v>20</v>
          </cell>
          <cell r="AY615" t="str">
            <v/>
          </cell>
          <cell r="AZ615">
            <v>0.25</v>
          </cell>
          <cell r="BA615">
            <v>0.25</v>
          </cell>
        </row>
        <row r="616">
          <cell r="A616" t="str">
            <v>DAL BELLO S.R.L.</v>
          </cell>
          <cell r="D616" t="str">
            <v>VIA DEGLI ARTIGIANI, 13</v>
          </cell>
          <cell r="E616">
            <v>35042</v>
          </cell>
          <cell r="F616" t="str">
            <v>ESTE</v>
          </cell>
          <cell r="G616" t="str">
            <v>PD</v>
          </cell>
          <cell r="H616" t="str">
            <v>ITALIA</v>
          </cell>
          <cell r="I616" t="str">
            <v>03486420288</v>
          </cell>
          <cell r="J616" t="str">
            <v>03486420288</v>
          </cell>
          <cell r="K616" t="str">
            <v>M5UXCR1</v>
          </cell>
          <cell r="M616" t="str">
            <v>UFFICIO ACQUISTI</v>
          </cell>
          <cell r="N616" t="str">
            <v>0429 600438</v>
          </cell>
          <cell r="O616" t="str">
            <v>Roberto 348 2582297</v>
          </cell>
          <cell r="P616" t="str">
            <v>info@dalbellosrl.com</v>
          </cell>
          <cell r="R616" t="str">
            <v>BONIFICO BANCARIO, ALLA DATA DELLA NOSTRA CONFERMA D'ORDINE</v>
          </cell>
          <cell r="X616">
            <v>0.25</v>
          </cell>
          <cell r="Y616">
            <v>-0.04</v>
          </cell>
          <cell r="AB616">
            <v>0.25</v>
          </cell>
          <cell r="AC616">
            <v>0.25</v>
          </cell>
          <cell r="AD616">
            <v>0.25</v>
          </cell>
          <cell r="AE616">
            <v>0.25</v>
          </cell>
          <cell r="AF616">
            <v>0.25</v>
          </cell>
          <cell r="AG616">
            <v>0.25</v>
          </cell>
          <cell r="AH616">
            <v>0.25</v>
          </cell>
          <cell r="AI616">
            <v>0.25</v>
          </cell>
          <cell r="AJ616">
            <v>0.25</v>
          </cell>
          <cell r="AK616">
            <v>0.25</v>
          </cell>
          <cell r="AL616">
            <v>0.25</v>
          </cell>
          <cell r="AM616">
            <v>0.25</v>
          </cell>
          <cell r="AN616">
            <v>0.25</v>
          </cell>
          <cell r="AO616">
            <v>0.25</v>
          </cell>
          <cell r="AP616">
            <v>0.25</v>
          </cell>
          <cell r="AQ616">
            <v>0.25</v>
          </cell>
          <cell r="AR616">
            <v>0.25</v>
          </cell>
          <cell r="AS616">
            <v>0.25</v>
          </cell>
          <cell r="AT616">
            <v>-0.04</v>
          </cell>
          <cell r="AU616">
            <v>0.87</v>
          </cell>
          <cell r="AV616">
            <v>20</v>
          </cell>
          <cell r="AY616" t="str">
            <v/>
          </cell>
          <cell r="AZ616">
            <v>0.25</v>
          </cell>
          <cell r="BA616">
            <v>0.25</v>
          </cell>
          <cell r="BF616" t="str">
            <v>CLICK RAPID con carpenteria 18/11/2020</v>
          </cell>
        </row>
        <row r="617">
          <cell r="A617" t="str">
            <v>DAMAR SERRAMENTI SNC</v>
          </cell>
          <cell r="B617" t="str">
            <v xml:space="preserve">CHIAMARE VIVACE    AMICO DI COSTANTINO TRILLO </v>
          </cell>
          <cell r="D617" t="str">
            <v>VIA MARCO POLO, 135</v>
          </cell>
          <cell r="E617">
            <v>56031</v>
          </cell>
          <cell r="F617" t="str">
            <v>BIENTINA</v>
          </cell>
          <cell r="G617" t="str">
            <v>PI</v>
          </cell>
          <cell r="H617" t="str">
            <v>ITALIA</v>
          </cell>
          <cell r="J617" t="str">
            <v>00926580507</v>
          </cell>
          <cell r="M617" t="str">
            <v>UFFICIO ACQUISTI</v>
          </cell>
          <cell r="N617" t="str">
            <v>0587 756385</v>
          </cell>
          <cell r="P617" t="str">
            <v>info@damarserramenti.it</v>
          </cell>
          <cell r="R617" t="str">
            <v>BONIFICO BANCARIO, ALLA DATA DELLA NOSTRA CONFERMA D'ORDINE</v>
          </cell>
          <cell r="X617">
            <v>0.25</v>
          </cell>
          <cell r="Y617">
            <v>-0.04</v>
          </cell>
          <cell r="AB617">
            <v>0.25</v>
          </cell>
          <cell r="AC617">
            <v>0.25</v>
          </cell>
          <cell r="AD617">
            <v>0.25</v>
          </cell>
          <cell r="AE617">
            <v>0.25</v>
          </cell>
          <cell r="AF617">
            <v>0.25</v>
          </cell>
          <cell r="AG617">
            <v>0.25</v>
          </cell>
          <cell r="AH617">
            <v>0.25</v>
          </cell>
          <cell r="AI617">
            <v>0.25</v>
          </cell>
          <cell r="AJ617">
            <v>0.25</v>
          </cell>
          <cell r="AK617">
            <v>0.25</v>
          </cell>
          <cell r="AL617">
            <v>0.25</v>
          </cell>
          <cell r="AM617">
            <v>0.25</v>
          </cell>
          <cell r="AN617">
            <v>0.25</v>
          </cell>
          <cell r="AO617">
            <v>0.25</v>
          </cell>
          <cell r="AP617">
            <v>0.25</v>
          </cell>
          <cell r="AQ617">
            <v>0.25</v>
          </cell>
          <cell r="AR617">
            <v>0.25</v>
          </cell>
          <cell r="AS617">
            <v>0.25</v>
          </cell>
          <cell r="AT617">
            <v>-0.04</v>
          </cell>
          <cell r="AU617">
            <v>0.92</v>
          </cell>
          <cell r="AV617">
            <v>20</v>
          </cell>
          <cell r="AY617" t="str">
            <v/>
          </cell>
          <cell r="AZ617">
            <v>0.25</v>
          </cell>
          <cell r="BA617">
            <v>0.25</v>
          </cell>
        </row>
        <row r="618">
          <cell r="A618" t="str">
            <v>DANI INFISSI</v>
          </cell>
          <cell r="D618" t="str">
            <v>VIA TASSO, 23</v>
          </cell>
          <cell r="E618">
            <v>42023</v>
          </cell>
          <cell r="F618" t="str">
            <v>CADELBOSCO DI SOPRA</v>
          </cell>
          <cell r="G618" t="str">
            <v>RE</v>
          </cell>
          <cell r="H618" t="str">
            <v>ITALIA</v>
          </cell>
          <cell r="I618" t="str">
            <v>FRRDNL76C28H223M</v>
          </cell>
          <cell r="J618" t="str">
            <v>02403230358</v>
          </cell>
          <cell r="M618" t="str">
            <v>UFFICIO ACQUISTI</v>
          </cell>
          <cell r="O618" t="str">
            <v>393 3642156</v>
          </cell>
          <cell r="P618" t="str">
            <v>daninfissi@hotmail.it</v>
          </cell>
          <cell r="R618" t="str">
            <v>BONIFICO BANCARIO, ALLA DATA DELLA NOSTRA CONFERMA D'ORDINE</v>
          </cell>
          <cell r="X618">
            <v>0.25</v>
          </cell>
          <cell r="Y618">
            <v>-0.04</v>
          </cell>
          <cell r="AB618">
            <v>0.25</v>
          </cell>
          <cell r="AC618">
            <v>0.25</v>
          </cell>
          <cell r="AD618">
            <v>0.25</v>
          </cell>
          <cell r="AE618">
            <v>0.25</v>
          </cell>
          <cell r="AF618">
            <v>0.25</v>
          </cell>
          <cell r="AG618">
            <v>0.25</v>
          </cell>
          <cell r="AH618">
            <v>0.25</v>
          </cell>
          <cell r="AI618">
            <v>0.25</v>
          </cell>
          <cell r="AJ618">
            <v>0.25</v>
          </cell>
          <cell r="AK618">
            <v>0.25</v>
          </cell>
          <cell r="AL618">
            <v>0.25</v>
          </cell>
          <cell r="AM618">
            <v>0.25</v>
          </cell>
          <cell r="AN618">
            <v>0.25</v>
          </cell>
          <cell r="AO618">
            <v>0.25</v>
          </cell>
          <cell r="AP618">
            <v>0.25</v>
          </cell>
          <cell r="AQ618">
            <v>0.25</v>
          </cell>
          <cell r="AR618">
            <v>0.25</v>
          </cell>
          <cell r="AS618">
            <v>0.25</v>
          </cell>
          <cell r="AT618">
            <v>-0.04</v>
          </cell>
          <cell r="AU618">
            <v>0.92</v>
          </cell>
          <cell r="AV618">
            <v>20</v>
          </cell>
          <cell r="AZ618">
            <v>0.25</v>
          </cell>
          <cell r="BA618">
            <v>0.25</v>
          </cell>
        </row>
        <row r="619">
          <cell r="A619" t="str">
            <v xml:space="preserve">DANIELE BAUDINO </v>
          </cell>
          <cell r="D619" t="str">
            <v>STRADA CANTON CLARE, 2-FRAZ ARGENTERA</v>
          </cell>
          <cell r="E619">
            <v>10086</v>
          </cell>
          <cell r="F619" t="str">
            <v>RIVAROLO CANAVESE</v>
          </cell>
          <cell r="G619" t="str">
            <v>TO</v>
          </cell>
          <cell r="H619" t="str">
            <v>ITALIA</v>
          </cell>
          <cell r="I619" t="str">
            <v xml:space="preserve"> BDNDNL78H16D208M</v>
          </cell>
          <cell r="J619" t="str">
            <v>1021590019</v>
          </cell>
          <cell r="M619" t="str">
            <v>UFFICIO ACQUISTI</v>
          </cell>
          <cell r="N619" t="str">
            <v>0124 308197</v>
          </cell>
          <cell r="O619" t="str">
            <v>338 9255263</v>
          </cell>
          <cell r="P619" t="str">
            <v>daniele.baudino@gmail.com</v>
          </cell>
          <cell r="R619" t="str">
            <v>BONIFICO BANCARIO, ALLA DATA DELLA NOSTRA CONFERMA D'ORDINE</v>
          </cell>
          <cell r="X619">
            <v>0.25</v>
          </cell>
          <cell r="Y619">
            <v>-0.04</v>
          </cell>
          <cell r="AB619">
            <v>0.25</v>
          </cell>
          <cell r="AC619">
            <v>0.25</v>
          </cell>
          <cell r="AD619">
            <v>0.25</v>
          </cell>
          <cell r="AE619">
            <v>0.25</v>
          </cell>
          <cell r="AF619">
            <v>0.25</v>
          </cell>
          <cell r="AG619">
            <v>0.25</v>
          </cell>
          <cell r="AH619">
            <v>0.25</v>
          </cell>
          <cell r="AI619">
            <v>0.25</v>
          </cell>
          <cell r="AJ619">
            <v>0.25</v>
          </cell>
          <cell r="AK619">
            <v>0.25</v>
          </cell>
          <cell r="AL619">
            <v>0.25</v>
          </cell>
          <cell r="AM619">
            <v>0.25</v>
          </cell>
          <cell r="AN619">
            <v>0.25</v>
          </cell>
          <cell r="AO619">
            <v>0.25</v>
          </cell>
          <cell r="AP619">
            <v>0.25</v>
          </cell>
          <cell r="AQ619">
            <v>0.25</v>
          </cell>
          <cell r="AR619">
            <v>0.25</v>
          </cell>
          <cell r="AS619">
            <v>0.25</v>
          </cell>
          <cell r="AT619">
            <v>-0.04</v>
          </cell>
          <cell r="AU619">
            <v>0.92</v>
          </cell>
          <cell r="AV619">
            <v>20</v>
          </cell>
          <cell r="AY619" t="str">
            <v/>
          </cell>
          <cell r="AZ619">
            <v>0.25</v>
          </cell>
          <cell r="BA619">
            <v>0.25</v>
          </cell>
        </row>
        <row r="620">
          <cell r="A620" t="str">
            <v>DANIELE LANZONI SRL</v>
          </cell>
          <cell r="D620" t="str">
            <v>VIA DEL FABBRO, 2</v>
          </cell>
          <cell r="E620">
            <v>18012</v>
          </cell>
          <cell r="F620" t="str">
            <v>BORDIGHERA</v>
          </cell>
          <cell r="G620" t="str">
            <v>IM</v>
          </cell>
          <cell r="H620" t="str">
            <v>ITALIA</v>
          </cell>
          <cell r="J620" t="str">
            <v>01400800080</v>
          </cell>
          <cell r="K620" t="str">
            <v>5RUO82D</v>
          </cell>
          <cell r="M620" t="str">
            <v>UFFICIO ACQUISTI</v>
          </cell>
          <cell r="N620" t="str">
            <v>0184 251730</v>
          </cell>
          <cell r="P620" t="str">
            <v>info@danielelanzoni.com</v>
          </cell>
          <cell r="R620" t="str">
            <v>BONIFICO BANCARIO, ALLA DATA DELLA NOSTRA CONFERMA D'ORDINE</v>
          </cell>
          <cell r="X620">
            <v>0.25</v>
          </cell>
          <cell r="Y620">
            <v>-0.04</v>
          </cell>
          <cell r="AB620">
            <v>0.25</v>
          </cell>
          <cell r="AC620">
            <v>0.25</v>
          </cell>
          <cell r="AD620">
            <v>0.25</v>
          </cell>
          <cell r="AE620">
            <v>0.25</v>
          </cell>
          <cell r="AF620">
            <v>0.25</v>
          </cell>
          <cell r="AG620">
            <v>0.25</v>
          </cell>
          <cell r="AH620">
            <v>0.25</v>
          </cell>
          <cell r="AI620">
            <v>0.25</v>
          </cell>
          <cell r="AJ620">
            <v>0.25</v>
          </cell>
          <cell r="AK620">
            <v>0.25</v>
          </cell>
          <cell r="AL620">
            <v>0.25</v>
          </cell>
          <cell r="AM620">
            <v>0.25</v>
          </cell>
          <cell r="AN620">
            <v>0.25</v>
          </cell>
          <cell r="AO620">
            <v>0.25</v>
          </cell>
          <cell r="AP620">
            <v>0.25</v>
          </cell>
          <cell r="AQ620">
            <v>0.25</v>
          </cell>
          <cell r="AR620">
            <v>0.25</v>
          </cell>
          <cell r="AS620">
            <v>0.25</v>
          </cell>
          <cell r="AT620">
            <v>-0.04</v>
          </cell>
          <cell r="AU620">
            <v>0.92</v>
          </cell>
          <cell r="AV620">
            <v>20</v>
          </cell>
          <cell r="AY620" t="str">
            <v/>
          </cell>
          <cell r="AZ620">
            <v>0.25</v>
          </cell>
          <cell r="BA620">
            <v>0.25</v>
          </cell>
          <cell r="BF620" t="str">
            <v>CLICK RAPID con carpenteria 18/11/2020</v>
          </cell>
        </row>
        <row r="621">
          <cell r="A621" t="str">
            <v>DANINFISSI di Ferrari Daniele</v>
          </cell>
          <cell r="D621" t="str">
            <v>VIA TASSO, 23</v>
          </cell>
          <cell r="E621">
            <v>42023</v>
          </cell>
          <cell r="F621" t="str">
            <v>CADELBOSCO SOPRA</v>
          </cell>
          <cell r="G621" t="str">
            <v>RE</v>
          </cell>
          <cell r="H621" t="str">
            <v>ITALIA</v>
          </cell>
          <cell r="M621" t="str">
            <v>UFFICIO ACQUISTI</v>
          </cell>
          <cell r="O621">
            <v>3933642156</v>
          </cell>
          <cell r="P621" t="str">
            <v>daninfissi@hotmail.it</v>
          </cell>
          <cell r="R621" t="str">
            <v>BONIFICO BANCARIO, ALLA DATA DELLA NOSTRA CONFERMA D'ORDINE</v>
          </cell>
          <cell r="X621">
            <v>0.25</v>
          </cell>
          <cell r="Y621">
            <v>-0.04</v>
          </cell>
          <cell r="AB621">
            <v>0.25</v>
          </cell>
          <cell r="AC621">
            <v>0.25</v>
          </cell>
          <cell r="AD621">
            <v>0.25</v>
          </cell>
          <cell r="AE621">
            <v>0.25</v>
          </cell>
          <cell r="AF621">
            <v>0.25</v>
          </cell>
          <cell r="AG621">
            <v>0.25</v>
          </cell>
          <cell r="AH621">
            <v>0.25</v>
          </cell>
          <cell r="AI621">
            <v>0.25</v>
          </cell>
          <cell r="AJ621">
            <v>0.25</v>
          </cell>
          <cell r="AK621">
            <v>0.25</v>
          </cell>
          <cell r="AL621">
            <v>0.25</v>
          </cell>
          <cell r="AM621">
            <v>0.25</v>
          </cell>
          <cell r="AN621">
            <v>0.25</v>
          </cell>
          <cell r="AO621">
            <v>0.25</v>
          </cell>
          <cell r="AP621">
            <v>0.25</v>
          </cell>
          <cell r="AQ621">
            <v>0.25</v>
          </cell>
          <cell r="AR621">
            <v>0.25</v>
          </cell>
          <cell r="AS621">
            <v>0.25</v>
          </cell>
          <cell r="AT621">
            <v>-0.04</v>
          </cell>
          <cell r="AU621">
            <v>0.92</v>
          </cell>
          <cell r="AV621">
            <v>20</v>
          </cell>
          <cell r="AY621" t="str">
            <v/>
          </cell>
          <cell r="AZ621">
            <v>0.25</v>
          </cell>
          <cell r="BA621">
            <v>0.25</v>
          </cell>
        </row>
        <row r="622">
          <cell r="A622" t="str">
            <v>DANNUNZIO HOME</v>
          </cell>
          <cell r="D622" t="str">
            <v>VIA MARTIRI DELLA LIBERTA' 2</v>
          </cell>
          <cell r="E622" t="str">
            <v>66054</v>
          </cell>
          <cell r="F622" t="str">
            <v>VASTO</v>
          </cell>
          <cell r="G622" t="str">
            <v>CH</v>
          </cell>
          <cell r="H622" t="str">
            <v>ITALIA</v>
          </cell>
          <cell r="M622" t="str">
            <v>UFFICIO ACQUISTI</v>
          </cell>
          <cell r="N622" t="str">
            <v>0873 367390</v>
          </cell>
          <cell r="P622" t="str">
            <v>info@dannunziohome.it</v>
          </cell>
          <cell r="R622" t="str">
            <v>BONIFICO BANCARIO, ALLA DATA DELLA NOSTRA CONFERMA D'ORDINE</v>
          </cell>
          <cell r="X622">
            <v>0.25</v>
          </cell>
          <cell r="Y622">
            <v>-0.04</v>
          </cell>
          <cell r="AB622">
            <v>0.25</v>
          </cell>
          <cell r="AC622">
            <v>0.25</v>
          </cell>
          <cell r="AD622">
            <v>0.25</v>
          </cell>
          <cell r="AE622">
            <v>0.25</v>
          </cell>
          <cell r="AF622">
            <v>0.25</v>
          </cell>
          <cell r="AG622">
            <v>0.25</v>
          </cell>
          <cell r="AH622">
            <v>0.25</v>
          </cell>
          <cell r="AI622">
            <v>0.25</v>
          </cell>
          <cell r="AJ622">
            <v>0.25</v>
          </cell>
          <cell r="AK622">
            <v>0.25</v>
          </cell>
          <cell r="AL622">
            <v>0.25</v>
          </cell>
          <cell r="AM622">
            <v>0.25</v>
          </cell>
          <cell r="AN622">
            <v>0.25</v>
          </cell>
          <cell r="AO622">
            <v>0.25</v>
          </cell>
          <cell r="AP622">
            <v>0.25</v>
          </cell>
          <cell r="AQ622">
            <v>0.25</v>
          </cell>
          <cell r="AR622">
            <v>0.25</v>
          </cell>
          <cell r="AS622">
            <v>0.25</v>
          </cell>
          <cell r="AT622">
            <v>-0.04</v>
          </cell>
          <cell r="AU622">
            <v>0.92</v>
          </cell>
          <cell r="AV622">
            <v>20</v>
          </cell>
          <cell r="AY622" t="str">
            <v/>
          </cell>
          <cell r="AZ622">
            <v>0.25</v>
          </cell>
          <cell r="BA622">
            <v>0.25</v>
          </cell>
        </row>
        <row r="623">
          <cell r="A623" t="str">
            <v>DAOLIO NAPOLEONE SNC</v>
          </cell>
          <cell r="B623" t="str">
            <v xml:space="preserve">USA TRITONE CI CHIAMERA </v>
          </cell>
          <cell r="D623" t="str">
            <v>VIA CAVALLO, 19 A</v>
          </cell>
          <cell r="E623">
            <v>42016</v>
          </cell>
          <cell r="F623" t="str">
            <v>GUASTALLA</v>
          </cell>
          <cell r="G623" t="str">
            <v>RE</v>
          </cell>
          <cell r="H623" t="str">
            <v>ITALIA</v>
          </cell>
          <cell r="I623" t="str">
            <v>01196310351</v>
          </cell>
          <cell r="J623" t="str">
            <v>01196310351</v>
          </cell>
          <cell r="M623" t="str">
            <v>UFFICIO ACQUISTI</v>
          </cell>
          <cell r="N623" t="str">
            <v>0522 824790</v>
          </cell>
          <cell r="P623" t="str">
            <v>info@daolionapoleone.com</v>
          </cell>
          <cell r="R623" t="str">
            <v>BONIFICO BANCARIO, ALLA DATA DELLA NOSTRA CONFERMA D'ORDINE</v>
          </cell>
          <cell r="X623">
            <v>0.25</v>
          </cell>
          <cell r="Y623">
            <v>-0.04</v>
          </cell>
          <cell r="AB623">
            <v>0.25</v>
          </cell>
          <cell r="AC623">
            <v>0.25</v>
          </cell>
          <cell r="AD623">
            <v>0.25</v>
          </cell>
          <cell r="AE623">
            <v>0.25</v>
          </cell>
          <cell r="AF623">
            <v>0.25</v>
          </cell>
          <cell r="AG623">
            <v>0.25</v>
          </cell>
          <cell r="AH623">
            <v>0.25</v>
          </cell>
          <cell r="AI623">
            <v>0.25</v>
          </cell>
          <cell r="AJ623">
            <v>0.25</v>
          </cell>
          <cell r="AK623">
            <v>0.25</v>
          </cell>
          <cell r="AL623">
            <v>0.25</v>
          </cell>
          <cell r="AM623">
            <v>0.25</v>
          </cell>
          <cell r="AN623">
            <v>0.25</v>
          </cell>
          <cell r="AO623">
            <v>0.25</v>
          </cell>
          <cell r="AP623">
            <v>0.25</v>
          </cell>
          <cell r="AQ623">
            <v>0.25</v>
          </cell>
          <cell r="AR623">
            <v>0.25</v>
          </cell>
          <cell r="AS623">
            <v>0.25</v>
          </cell>
          <cell r="AT623">
            <v>-0.04</v>
          </cell>
          <cell r="AU623">
            <v>0.92</v>
          </cell>
          <cell r="AV623">
            <v>20</v>
          </cell>
          <cell r="AY623" t="str">
            <v/>
          </cell>
          <cell r="AZ623">
            <v>0.25</v>
          </cell>
          <cell r="BA623">
            <v>0.25</v>
          </cell>
        </row>
        <row r="624">
          <cell r="A624" t="str">
            <v>DAXDOOR AUTOMATIC</v>
          </cell>
          <cell r="D624" t="str">
            <v>L.GO BRUGNATELLI 13/17</v>
          </cell>
          <cell r="E624">
            <v>20290</v>
          </cell>
          <cell r="F624" t="str">
            <v>BUCCINASCO</v>
          </cell>
          <cell r="G624" t="str">
            <v>MI</v>
          </cell>
          <cell r="H624" t="str">
            <v>ITALIA</v>
          </cell>
          <cell r="J624" t="str">
            <v>12901290150</v>
          </cell>
          <cell r="M624" t="str">
            <v>UFFICIO ACQUISTI</v>
          </cell>
          <cell r="N624" t="str">
            <v>0245708689</v>
          </cell>
          <cell r="O624" t="str">
            <v>335 6288368</v>
          </cell>
          <cell r="P624" t="str">
            <v>domenicodepalo@tiscali.it</v>
          </cell>
          <cell r="R624" t="str">
            <v>BONIFICO BANCARIO, ALLA DATA DELLA NOSTRA CONFERMA D'ORDINE</v>
          </cell>
          <cell r="X624">
            <v>0.25</v>
          </cell>
          <cell r="Y624">
            <v>-0.04</v>
          </cell>
          <cell r="AB624">
            <v>0.25</v>
          </cell>
          <cell r="AC624">
            <v>0.25</v>
          </cell>
          <cell r="AD624">
            <v>0.25</v>
          </cell>
          <cell r="AE624">
            <v>0.25</v>
          </cell>
          <cell r="AF624">
            <v>0.25</v>
          </cell>
          <cell r="AG624">
            <v>0.25</v>
          </cell>
          <cell r="AH624">
            <v>0.25</v>
          </cell>
          <cell r="AI624">
            <v>0.25</v>
          </cell>
          <cell r="AJ624">
            <v>0.25</v>
          </cell>
          <cell r="AK624">
            <v>0.25</v>
          </cell>
          <cell r="AL624">
            <v>0.25</v>
          </cell>
          <cell r="AM624">
            <v>0.25</v>
          </cell>
          <cell r="AN624">
            <v>0.25</v>
          </cell>
          <cell r="AO624">
            <v>0.25</v>
          </cell>
          <cell r="AP624">
            <v>0.25</v>
          </cell>
          <cell r="AQ624">
            <v>0.25</v>
          </cell>
          <cell r="AR624">
            <v>0.25</v>
          </cell>
          <cell r="AS624">
            <v>0.25</v>
          </cell>
          <cell r="AT624">
            <v>-0.04</v>
          </cell>
          <cell r="AU624">
            <v>0.92</v>
          </cell>
          <cell r="AV624">
            <v>20</v>
          </cell>
          <cell r="AY624" t="str">
            <v/>
          </cell>
          <cell r="AZ624">
            <v>0.25</v>
          </cell>
          <cell r="BA624">
            <v>0.25</v>
          </cell>
        </row>
        <row r="625">
          <cell r="A625" t="str">
            <v>DB INFISSI SRL</v>
          </cell>
          <cell r="D625" t="str">
            <v>VIA PAPA GIOVANNI XXIII 1</v>
          </cell>
          <cell r="E625" t="str">
            <v>27058</v>
          </cell>
          <cell r="F625" t="str">
            <v>VOGHERA</v>
          </cell>
          <cell r="G625" t="str">
            <v>PV</v>
          </cell>
          <cell r="H625" t="str">
            <v>ITALIA</v>
          </cell>
          <cell r="M625" t="str">
            <v>UFFICIO ACQUISTI</v>
          </cell>
          <cell r="N625" t="str">
            <v>0383 367344</v>
          </cell>
          <cell r="R625" t="str">
            <v>BONIFICO BANCARIO, ALLA DATA DELLA NOSTRA CONFERMA D'ORDINE</v>
          </cell>
          <cell r="X625">
            <v>0.25</v>
          </cell>
          <cell r="Y625">
            <v>-0.04</v>
          </cell>
          <cell r="AB625">
            <v>0.25</v>
          </cell>
          <cell r="AC625">
            <v>0.25</v>
          </cell>
          <cell r="AD625">
            <v>0.25</v>
          </cell>
          <cell r="AE625">
            <v>0.25</v>
          </cell>
          <cell r="AF625">
            <v>0.25</v>
          </cell>
          <cell r="AG625">
            <v>0.25</v>
          </cell>
          <cell r="AH625">
            <v>0.25</v>
          </cell>
          <cell r="AI625">
            <v>0.25</v>
          </cell>
          <cell r="AJ625">
            <v>0.25</v>
          </cell>
          <cell r="AK625">
            <v>0.25</v>
          </cell>
          <cell r="AL625">
            <v>0.25</v>
          </cell>
          <cell r="AM625">
            <v>0.25</v>
          </cell>
          <cell r="AN625">
            <v>0.25</v>
          </cell>
          <cell r="AO625">
            <v>0.25</v>
          </cell>
          <cell r="AP625">
            <v>0.25</v>
          </cell>
          <cell r="AQ625">
            <v>0.25</v>
          </cell>
          <cell r="AR625">
            <v>0.25</v>
          </cell>
          <cell r="AS625">
            <v>0.25</v>
          </cell>
          <cell r="AT625">
            <v>-0.04</v>
          </cell>
          <cell r="AU625">
            <v>0.92</v>
          </cell>
          <cell r="AV625">
            <v>20</v>
          </cell>
          <cell r="AZ625">
            <v>0.25</v>
          </cell>
          <cell r="BA625">
            <v>0.25</v>
          </cell>
        </row>
        <row r="626">
          <cell r="A626" t="str">
            <v xml:space="preserve">DBS  SERRAMENTI IN PVC </v>
          </cell>
          <cell r="B626" t="str">
            <v xml:space="preserve">   BUONO</v>
          </cell>
          <cell r="D626" t="str">
            <v>VIA SAN LUIGI, 157 - FRAZ.PESINA</v>
          </cell>
          <cell r="E626">
            <v>37013</v>
          </cell>
          <cell r="F626" t="str">
            <v>CAPRINO V.SE</v>
          </cell>
          <cell r="G626" t="str">
            <v>VR</v>
          </cell>
          <cell r="H626" t="str">
            <v>ITALIA</v>
          </cell>
          <cell r="I626" t="str">
            <v>02404670230</v>
          </cell>
          <cell r="J626" t="str">
            <v>02404670230</v>
          </cell>
          <cell r="M626" t="str">
            <v>UFFICIO ACQUISTI</v>
          </cell>
          <cell r="N626" t="str">
            <v>045 7200459</v>
          </cell>
          <cell r="P626" t="str">
            <v>info@serramentidbs.it</v>
          </cell>
          <cell r="R626" t="str">
            <v>BONIFICO BANCARIO, ALLA DATA DELLA NOSTRA CONFERMA D'ORDINE</v>
          </cell>
          <cell r="X626">
            <v>0.25</v>
          </cell>
          <cell r="Y626">
            <v>-0.04</v>
          </cell>
          <cell r="AB626">
            <v>0.25</v>
          </cell>
          <cell r="AC626">
            <v>0.25</v>
          </cell>
          <cell r="AD626">
            <v>0.25</v>
          </cell>
          <cell r="AE626">
            <v>0.25</v>
          </cell>
          <cell r="AF626">
            <v>0.25</v>
          </cell>
          <cell r="AG626">
            <v>0.25</v>
          </cell>
          <cell r="AH626">
            <v>0.25</v>
          </cell>
          <cell r="AI626">
            <v>0.25</v>
          </cell>
          <cell r="AJ626">
            <v>0.25</v>
          </cell>
          <cell r="AK626">
            <v>0.25</v>
          </cell>
          <cell r="AL626">
            <v>0.25</v>
          </cell>
          <cell r="AM626">
            <v>0.25</v>
          </cell>
          <cell r="AN626">
            <v>0.25</v>
          </cell>
          <cell r="AO626">
            <v>0.25</v>
          </cell>
          <cell r="AP626">
            <v>0.25</v>
          </cell>
          <cell r="AQ626">
            <v>0.25</v>
          </cell>
          <cell r="AR626">
            <v>0.25</v>
          </cell>
          <cell r="AS626">
            <v>0.25</v>
          </cell>
          <cell r="AT626">
            <v>-0.04</v>
          </cell>
          <cell r="AU626">
            <v>0.92</v>
          </cell>
          <cell r="AV626">
            <v>20</v>
          </cell>
          <cell r="AY626" t="str">
            <v/>
          </cell>
          <cell r="AZ626">
            <v>0.25</v>
          </cell>
          <cell r="BA626">
            <v>0.25</v>
          </cell>
        </row>
        <row r="627">
          <cell r="A627" t="str">
            <v>DE BENEDETTO MATTEO</v>
          </cell>
          <cell r="E627" t="str">
            <v>73020</v>
          </cell>
          <cell r="F627" t="str">
            <v>GIURDIGNANO</v>
          </cell>
          <cell r="G627" t="str">
            <v>LE</v>
          </cell>
          <cell r="H627" t="str">
            <v>ITALIA</v>
          </cell>
          <cell r="M627" t="str">
            <v>UFFICIO ACQUISTI</v>
          </cell>
          <cell r="O627" t="str">
            <v>328 7025156</v>
          </cell>
          <cell r="R627" t="str">
            <v>BONIFICO BANCARIO, ALLA DATA DELLA NOSTRA CONFERMA D'ORDINE</v>
          </cell>
          <cell r="X627">
            <v>0.25</v>
          </cell>
          <cell r="Y627">
            <v>-0.04</v>
          </cell>
          <cell r="AB627">
            <v>0.25</v>
          </cell>
          <cell r="AC627">
            <v>0.25</v>
          </cell>
          <cell r="AD627">
            <v>0.25</v>
          </cell>
          <cell r="AE627">
            <v>0.25</v>
          </cell>
          <cell r="AF627">
            <v>0.25</v>
          </cell>
          <cell r="AG627">
            <v>0.25</v>
          </cell>
          <cell r="AH627">
            <v>0.25</v>
          </cell>
          <cell r="AI627">
            <v>0.25</v>
          </cell>
          <cell r="AJ627">
            <v>0.25</v>
          </cell>
          <cell r="AK627">
            <v>0.25</v>
          </cell>
          <cell r="AL627">
            <v>0.25</v>
          </cell>
          <cell r="AM627">
            <v>0.25</v>
          </cell>
          <cell r="AN627">
            <v>0.25</v>
          </cell>
          <cell r="AO627">
            <v>0.25</v>
          </cell>
          <cell r="AP627">
            <v>0.25</v>
          </cell>
          <cell r="AQ627">
            <v>0.25</v>
          </cell>
          <cell r="AR627">
            <v>0.25</v>
          </cell>
          <cell r="AS627">
            <v>0.25</v>
          </cell>
          <cell r="AT627">
            <v>-0.04</v>
          </cell>
          <cell r="AU627">
            <v>0.92</v>
          </cell>
          <cell r="AV627">
            <v>20</v>
          </cell>
          <cell r="AZ627">
            <v>0.25</v>
          </cell>
          <cell r="BA627">
            <v>0.25</v>
          </cell>
        </row>
        <row r="628">
          <cell r="A628" t="str">
            <v>DE CAROLIS SNC</v>
          </cell>
          <cell r="D628" t="str">
            <v>VIA G.B.GRASSI, 39</v>
          </cell>
          <cell r="E628" t="str">
            <v>04011</v>
          </cell>
          <cell r="F628" t="str">
            <v>APRILIA</v>
          </cell>
          <cell r="G628" t="str">
            <v>LT</v>
          </cell>
          <cell r="H628" t="str">
            <v>ITALIA</v>
          </cell>
          <cell r="J628" t="str">
            <v>01530550597</v>
          </cell>
          <cell r="L628" t="str">
            <v>VIA NETTUNENSE, 196 - APRILIA</v>
          </cell>
          <cell r="M628" t="str">
            <v>UFFICIO ACQUISTI</v>
          </cell>
          <cell r="N628" t="str">
            <v>06 9271905</v>
          </cell>
          <cell r="O628" t="str">
            <v xml:space="preserve"> MARCO 339 6677866  FRANCO 333 2003437</v>
          </cell>
          <cell r="P628" t="str">
            <v>info@decarolisinfissi.it</v>
          </cell>
          <cell r="R628" t="str">
            <v>BONIFICO BANCARIO, ALLA DATA DELLA NOSTRA CONFERMA D'ORDINE</v>
          </cell>
          <cell r="X628">
            <v>0.2</v>
          </cell>
          <cell r="Y628">
            <v>-0.04</v>
          </cell>
          <cell r="AB628">
            <v>0.2</v>
          </cell>
          <cell r="AC628">
            <v>0.2</v>
          </cell>
          <cell r="AD628">
            <v>0.2</v>
          </cell>
          <cell r="AE628">
            <v>0.2</v>
          </cell>
          <cell r="AF628">
            <v>0.2</v>
          </cell>
          <cell r="AG628">
            <v>0.2</v>
          </cell>
          <cell r="AH628">
            <v>0.2</v>
          </cell>
          <cell r="AI628">
            <v>0.2</v>
          </cell>
          <cell r="AJ628">
            <v>0.2</v>
          </cell>
          <cell r="AK628">
            <v>0.2</v>
          </cell>
          <cell r="AL628">
            <v>0.2</v>
          </cell>
          <cell r="AM628">
            <v>0.2</v>
          </cell>
          <cell r="AN628">
            <v>0.2</v>
          </cell>
          <cell r="AO628">
            <v>0.2</v>
          </cell>
          <cell r="AP628">
            <v>0.2</v>
          </cell>
          <cell r="AQ628">
            <v>0.2</v>
          </cell>
          <cell r="AR628">
            <v>0.2</v>
          </cell>
          <cell r="AS628">
            <v>0.2</v>
          </cell>
          <cell r="AT628">
            <v>-0.04</v>
          </cell>
          <cell r="AU628">
            <v>0.92</v>
          </cell>
          <cell r="AV628">
            <v>20</v>
          </cell>
          <cell r="AZ628">
            <v>0.2</v>
          </cell>
          <cell r="BA628">
            <v>0.2</v>
          </cell>
        </row>
        <row r="629">
          <cell r="A629" t="str">
            <v>DE DONNO DANIELE resp. Uff. tecnico</v>
          </cell>
          <cell r="D629" t="str">
            <v>S.S.581 KM. 59,450</v>
          </cell>
          <cell r="E629">
            <v>72018</v>
          </cell>
          <cell r="F629" t="str">
            <v>S. MICHELE SALENTINO</v>
          </cell>
          <cell r="G629" t="str">
            <v>BS</v>
          </cell>
          <cell r="H629" t="str">
            <v>ITALIA</v>
          </cell>
          <cell r="J629" t="str">
            <v>01803150745</v>
          </cell>
          <cell r="M629" t="str">
            <v>UFFICIO ACQUISTI</v>
          </cell>
          <cell r="N629" t="str">
            <v>0831 961560</v>
          </cell>
          <cell r="O629" t="str">
            <v>346 7212568</v>
          </cell>
          <cell r="P629" t="str">
            <v>daniele@dedonnocostruzioni.it</v>
          </cell>
          <cell r="R629" t="str">
            <v>BONIFICO BANCARIO, ALLA DATA DELLA NOSTRA CONFERMA D'ORDINE</v>
          </cell>
          <cell r="X629">
            <v>0.25</v>
          </cell>
          <cell r="Y629">
            <v>-0.04</v>
          </cell>
          <cell r="AB629">
            <v>0.25</v>
          </cell>
          <cell r="AC629">
            <v>0.25</v>
          </cell>
          <cell r="AD629">
            <v>0.25</v>
          </cell>
          <cell r="AE629">
            <v>0.25</v>
          </cell>
          <cell r="AF629">
            <v>0.25</v>
          </cell>
          <cell r="AG629">
            <v>0.25</v>
          </cell>
          <cell r="AH629">
            <v>0.25</v>
          </cell>
          <cell r="AI629">
            <v>0.25</v>
          </cell>
          <cell r="AJ629">
            <v>0.25</v>
          </cell>
          <cell r="AK629">
            <v>0.25</v>
          </cell>
          <cell r="AL629">
            <v>0.25</v>
          </cell>
          <cell r="AM629">
            <v>0.25</v>
          </cell>
          <cell r="AN629">
            <v>0.25</v>
          </cell>
          <cell r="AO629">
            <v>0.25</v>
          </cell>
          <cell r="AP629">
            <v>0.25</v>
          </cell>
          <cell r="AQ629">
            <v>0.25</v>
          </cell>
          <cell r="AR629">
            <v>0.25</v>
          </cell>
          <cell r="AS629">
            <v>0.25</v>
          </cell>
          <cell r="AT629">
            <v>-0.04</v>
          </cell>
          <cell r="AU629">
            <v>0.92</v>
          </cell>
          <cell r="AV629">
            <v>20</v>
          </cell>
          <cell r="AY629" t="str">
            <v/>
          </cell>
          <cell r="AZ629">
            <v>0.25</v>
          </cell>
          <cell r="BA629">
            <v>0.25</v>
          </cell>
        </row>
        <row r="630">
          <cell r="A630" t="str">
            <v>DE GREGORIO SERRAMENTI</v>
          </cell>
          <cell r="D630" t="str">
            <v>VIA BORZOLI, 31  G R</v>
          </cell>
          <cell r="E630">
            <v>16153</v>
          </cell>
          <cell r="F630" t="str">
            <v>GENOVA</v>
          </cell>
          <cell r="G630" t="str">
            <v>GE</v>
          </cell>
          <cell r="H630" t="str">
            <v>ITALIA</v>
          </cell>
          <cell r="I630" t="str">
            <v>DGRPTR69E18D969P</v>
          </cell>
          <cell r="J630">
            <v>2407390992</v>
          </cell>
          <cell r="M630" t="str">
            <v>UFFICIO ACQUISTI</v>
          </cell>
          <cell r="N630" t="str">
            <v>010 6011887</v>
          </cell>
          <cell r="O630" t="str">
            <v>349 4258577</v>
          </cell>
          <cell r="P630" t="str">
            <v>degregorioserramenti@gmail.com</v>
          </cell>
          <cell r="R630" t="str">
            <v>BONIFICO BANCARIO, ALLA DATA DELLA NOSTRA CONFERMA D'ORDINE</v>
          </cell>
          <cell r="X630">
            <v>0.25</v>
          </cell>
          <cell r="Y630">
            <v>-0.04</v>
          </cell>
          <cell r="AB630">
            <v>0.25</v>
          </cell>
          <cell r="AC630">
            <v>0.25</v>
          </cell>
          <cell r="AD630">
            <v>0.25</v>
          </cell>
          <cell r="AE630">
            <v>0.25</v>
          </cell>
          <cell r="AF630">
            <v>0.25</v>
          </cell>
          <cell r="AG630">
            <v>0.25</v>
          </cell>
          <cell r="AH630">
            <v>0.25</v>
          </cell>
          <cell r="AI630">
            <v>0.25</v>
          </cell>
          <cell r="AJ630">
            <v>0.25</v>
          </cell>
          <cell r="AK630">
            <v>0.25</v>
          </cell>
          <cell r="AL630">
            <v>0.25</v>
          </cell>
          <cell r="AM630">
            <v>0.25</v>
          </cell>
          <cell r="AN630">
            <v>0.25</v>
          </cell>
          <cell r="AO630">
            <v>0.25</v>
          </cell>
          <cell r="AP630">
            <v>0.25</v>
          </cell>
          <cell r="AQ630">
            <v>0.25</v>
          </cell>
          <cell r="AR630">
            <v>0.25</v>
          </cell>
          <cell r="AS630">
            <v>0.25</v>
          </cell>
          <cell r="AT630">
            <v>-0.04</v>
          </cell>
          <cell r="AU630">
            <v>0.92</v>
          </cell>
          <cell r="AV630">
            <v>20</v>
          </cell>
          <cell r="AY630" t="str">
            <v/>
          </cell>
          <cell r="AZ630">
            <v>0.25</v>
          </cell>
          <cell r="BA630">
            <v>0.25</v>
          </cell>
        </row>
        <row r="631">
          <cell r="A631" t="str">
            <v>DE GUGLIELMO PORTE &amp; SERRAMENTI</v>
          </cell>
          <cell r="D631" t="str">
            <v>VIA DELLE CASERMETTE, 3</v>
          </cell>
          <cell r="E631" t="str">
            <v>71121</v>
          </cell>
          <cell r="F631" t="str">
            <v>FOGGIA</v>
          </cell>
          <cell r="G631" t="str">
            <v>FG</v>
          </cell>
          <cell r="H631" t="str">
            <v>ITALIA</v>
          </cell>
          <cell r="M631" t="str">
            <v>UFFICIO ACQUISTI</v>
          </cell>
          <cell r="N631" t="str">
            <v>0881 775033</v>
          </cell>
          <cell r="P631" t="str">
            <v>deguglielmo.raffaelefg@gtmail.com</v>
          </cell>
          <cell r="R631" t="str">
            <v>BONIFICO BANCARIO, ALLA DATA DELLA NOSTRA CONFERMA D'ORDINE</v>
          </cell>
          <cell r="X631">
            <v>0.2</v>
          </cell>
          <cell r="Y631">
            <v>-0.04</v>
          </cell>
          <cell r="AB631">
            <v>0.2</v>
          </cell>
          <cell r="AC631">
            <v>0.2</v>
          </cell>
          <cell r="AD631">
            <v>0.2</v>
          </cell>
          <cell r="AE631">
            <v>0.2</v>
          </cell>
          <cell r="AF631">
            <v>0.2</v>
          </cell>
          <cell r="AG631">
            <v>0.2</v>
          </cell>
          <cell r="AH631">
            <v>0.2</v>
          </cell>
          <cell r="AI631">
            <v>0.2</v>
          </cell>
          <cell r="AJ631">
            <v>0.2</v>
          </cell>
          <cell r="AK631">
            <v>0.2</v>
          </cell>
          <cell r="AL631">
            <v>0.2</v>
          </cell>
          <cell r="AM631">
            <v>0.2</v>
          </cell>
          <cell r="AN631">
            <v>0.2</v>
          </cell>
          <cell r="AO631">
            <v>0.2</v>
          </cell>
          <cell r="AP631">
            <v>0.2</v>
          </cell>
          <cell r="AQ631">
            <v>0.2</v>
          </cell>
          <cell r="AR631">
            <v>0.2</v>
          </cell>
          <cell r="AS631">
            <v>0.2</v>
          </cell>
          <cell r="AT631">
            <v>-0.04</v>
          </cell>
          <cell r="AU631">
            <v>0.92</v>
          </cell>
          <cell r="AV631">
            <v>20</v>
          </cell>
          <cell r="AZ631">
            <v>0.2</v>
          </cell>
          <cell r="BA631">
            <v>0.2</v>
          </cell>
        </row>
        <row r="632">
          <cell r="A632" t="str">
            <v>DE NONI SERRAMENTI</v>
          </cell>
          <cell r="B632" t="str">
            <v>FRANCESCA ROSSI ADDETTA VENDITE</v>
          </cell>
          <cell r="D632" t="str">
            <v>VIA P.MASCAGNI, 87</v>
          </cell>
          <cell r="E632" t="str">
            <v>04011</v>
          </cell>
          <cell r="F632" t="str">
            <v>APRILIA</v>
          </cell>
          <cell r="G632" t="str">
            <v>LT</v>
          </cell>
          <cell r="H632" t="str">
            <v>ITALIA</v>
          </cell>
          <cell r="M632" t="str">
            <v>UFFICIO ACQUISTI</v>
          </cell>
          <cell r="N632" t="str">
            <v>06 9281539</v>
          </cell>
          <cell r="P632" t="str">
            <v>f.rossi@denoniserramenti.it</v>
          </cell>
          <cell r="R632" t="str">
            <v>BONIFICO BANCARIO, ALLA DATA DELLA NOSTRA CONFERMA D'ORDINE</v>
          </cell>
          <cell r="X632">
            <v>0.2</v>
          </cell>
          <cell r="Y632">
            <v>-0.04</v>
          </cell>
          <cell r="AB632">
            <v>0.2</v>
          </cell>
          <cell r="AC632">
            <v>0.2</v>
          </cell>
          <cell r="AD632">
            <v>0.2</v>
          </cell>
          <cell r="AE632">
            <v>0.2</v>
          </cell>
          <cell r="AF632">
            <v>0.2</v>
          </cell>
          <cell r="AG632">
            <v>0.2</v>
          </cell>
          <cell r="AH632">
            <v>0.2</v>
          </cell>
          <cell r="AI632">
            <v>0.2</v>
          </cell>
          <cell r="AJ632">
            <v>0.2</v>
          </cell>
          <cell r="AK632">
            <v>0.2</v>
          </cell>
          <cell r="AL632">
            <v>0.2</v>
          </cell>
          <cell r="AM632">
            <v>0.2</v>
          </cell>
          <cell r="AN632">
            <v>0.2</v>
          </cell>
          <cell r="AO632">
            <v>0.2</v>
          </cell>
          <cell r="AP632">
            <v>0.2</v>
          </cell>
          <cell r="AQ632">
            <v>0.2</v>
          </cell>
          <cell r="AR632">
            <v>0.2</v>
          </cell>
          <cell r="AS632">
            <v>0.2</v>
          </cell>
          <cell r="AT632">
            <v>-0.04</v>
          </cell>
          <cell r="AU632">
            <v>0.92</v>
          </cell>
          <cell r="AV632">
            <v>20</v>
          </cell>
          <cell r="AZ632">
            <v>0.2</v>
          </cell>
          <cell r="BA632">
            <v>0.2</v>
          </cell>
        </row>
        <row r="633">
          <cell r="A633" t="str">
            <v>DE SIENA PASQUALE</v>
          </cell>
          <cell r="B633" t="str">
            <v>FABBRO INSTALLA SU TUTTA LA PROVINCIA DI RAVENNA FINO A CESENATICO AP 17/10/2022</v>
          </cell>
          <cell r="D633" t="str">
            <v>VIA F.LLI VIVALDI, 171</v>
          </cell>
          <cell r="E633" t="str">
            <v>48125</v>
          </cell>
          <cell r="F633" t="str">
            <v>LIDO DI CLASSE</v>
          </cell>
          <cell r="G633" t="str">
            <v>RA</v>
          </cell>
          <cell r="H633" t="str">
            <v>ITALIA</v>
          </cell>
          <cell r="J633" t="str">
            <v>02657380396</v>
          </cell>
          <cell r="K633" t="str">
            <v>USAL8PV</v>
          </cell>
          <cell r="M633" t="str">
            <v>UFFICIO ACQUISTI</v>
          </cell>
          <cell r="O633" t="str">
            <v>339 6458951</v>
          </cell>
          <cell r="P633" t="str">
            <v>pasqualedesiena1@gmail.com</v>
          </cell>
          <cell r="R633" t="str">
            <v>BONIFICO BANCARIO, ALLA DATA DELLA NOSTRA CONFERMA D'ORDINE</v>
          </cell>
          <cell r="X633">
            <v>0.2</v>
          </cell>
          <cell r="Y633">
            <v>-0.04</v>
          </cell>
          <cell r="AB633">
            <v>0.2</v>
          </cell>
          <cell r="AC633">
            <v>0.2</v>
          </cell>
          <cell r="AD633">
            <v>0.2</v>
          </cell>
          <cell r="AE633">
            <v>0.2</v>
          </cell>
          <cell r="AF633">
            <v>0.2</v>
          </cell>
          <cell r="AG633">
            <v>0.2</v>
          </cell>
          <cell r="AH633">
            <v>0.2</v>
          </cell>
          <cell r="AI633">
            <v>0.2</v>
          </cell>
          <cell r="AJ633">
            <v>0.2</v>
          </cell>
          <cell r="AK633">
            <v>0.2</v>
          </cell>
          <cell r="AL633">
            <v>0.2</v>
          </cell>
          <cell r="AM633">
            <v>0.2</v>
          </cell>
          <cell r="AN633">
            <v>0.2</v>
          </cell>
          <cell r="AO633">
            <v>0.2</v>
          </cell>
          <cell r="AP633">
            <v>0.2</v>
          </cell>
          <cell r="AQ633">
            <v>0.2</v>
          </cell>
          <cell r="AR633">
            <v>0.2</v>
          </cell>
          <cell r="AS633">
            <v>0.2</v>
          </cell>
          <cell r="AT633">
            <v>-0.04</v>
          </cell>
          <cell r="AU633">
            <v>1</v>
          </cell>
          <cell r="AZ633">
            <v>0.2</v>
          </cell>
          <cell r="BA633">
            <v>0.2</v>
          </cell>
        </row>
        <row r="634">
          <cell r="A634" t="str">
            <v xml:space="preserve">DECORTENDA </v>
          </cell>
          <cell r="D634" t="str">
            <v>VIA MILANO, 35 B</v>
          </cell>
          <cell r="E634" t="str">
            <v>37019</v>
          </cell>
          <cell r="F634" t="str">
            <v>PESCHIERA DEL GARDA</v>
          </cell>
          <cell r="G634" t="str">
            <v>VR</v>
          </cell>
          <cell r="H634" t="str">
            <v>ITALIA</v>
          </cell>
          <cell r="M634" t="str">
            <v>UFFICIO ACQUISTI</v>
          </cell>
          <cell r="N634" t="str">
            <v>045 6402200</v>
          </cell>
          <cell r="O634" t="str">
            <v>335 7185627</v>
          </cell>
          <cell r="P634" t="str">
            <v>decortendavr@gmail.com</v>
          </cell>
          <cell r="R634" t="str">
            <v>BONIFICO BANCARIO, ALLA DATA DELLA NOSTRA CONFERMA D'ORDINE</v>
          </cell>
          <cell r="Y634">
            <v>-0.04</v>
          </cell>
          <cell r="AT634">
            <v>-0.04</v>
          </cell>
          <cell r="AV634">
            <v>20</v>
          </cell>
          <cell r="AZ634">
            <v>0</v>
          </cell>
          <cell r="BA634">
            <v>0</v>
          </cell>
        </row>
        <row r="635">
          <cell r="A635" t="str">
            <v xml:space="preserve">DEDALO SERRAMENTI </v>
          </cell>
          <cell r="D635" t="str">
            <v>VIA ZANI 58</v>
          </cell>
          <cell r="E635">
            <v>43036</v>
          </cell>
          <cell r="F635" t="str">
            <v>FIDENZA</v>
          </cell>
          <cell r="G635" t="str">
            <v>PR</v>
          </cell>
          <cell r="H635" t="str">
            <v>ITALIA</v>
          </cell>
          <cell r="J635" t="str">
            <v>01670040334</v>
          </cell>
          <cell r="M635" t="str">
            <v>UFFICIO ACQUISTI</v>
          </cell>
          <cell r="N635" t="str">
            <v>0524 81728</v>
          </cell>
          <cell r="O635" t="str">
            <v>335 7071184</v>
          </cell>
          <cell r="P635" t="str">
            <v>info@dedalosrl.it</v>
          </cell>
          <cell r="R635" t="str">
            <v>BONIFICO BANCARIO, ALLA DATA DELLA NOSTRA CONFERMA D'ORDINE</v>
          </cell>
          <cell r="X635">
            <v>0.25</v>
          </cell>
          <cell r="Y635">
            <v>-0.04</v>
          </cell>
          <cell r="AB635">
            <v>0.25</v>
          </cell>
          <cell r="AC635">
            <v>0.25</v>
          </cell>
          <cell r="AD635">
            <v>0.25</v>
          </cell>
          <cell r="AE635">
            <v>0.25</v>
          </cell>
          <cell r="AF635">
            <v>0.25</v>
          </cell>
          <cell r="AG635">
            <v>0.25</v>
          </cell>
          <cell r="AH635">
            <v>0.25</v>
          </cell>
          <cell r="AI635">
            <v>0.25</v>
          </cell>
          <cell r="AJ635">
            <v>0.25</v>
          </cell>
          <cell r="AK635">
            <v>0.25</v>
          </cell>
          <cell r="AL635">
            <v>0.25</v>
          </cell>
          <cell r="AM635">
            <v>0.25</v>
          </cell>
          <cell r="AN635">
            <v>0.25</v>
          </cell>
          <cell r="AO635">
            <v>0.25</v>
          </cell>
          <cell r="AP635">
            <v>0.25</v>
          </cell>
          <cell r="AQ635">
            <v>0.25</v>
          </cell>
          <cell r="AR635">
            <v>0.25</v>
          </cell>
          <cell r="AS635">
            <v>0.25</v>
          </cell>
          <cell r="AT635">
            <v>-0.04</v>
          </cell>
          <cell r="AU635">
            <v>0.92</v>
          </cell>
          <cell r="AV635">
            <v>20</v>
          </cell>
          <cell r="AY635" t="str">
            <v/>
          </cell>
          <cell r="AZ635">
            <v>0.25</v>
          </cell>
          <cell r="BA635">
            <v>0.25</v>
          </cell>
        </row>
        <row r="636">
          <cell r="A636" t="str">
            <v>DEL SOLE INFISSI SNC</v>
          </cell>
          <cell r="B636" t="str">
            <v>30/03/23 HANO AVUTO RICHIESTE IN PASSATO E REALIZZAVANO BARRIERE IN LEGNO E MULTISTRATO PER AMICI. VUOLE PARLARE CON I SOCI PER CAPIRE SE AD OGGI PRODOTTO INTERESSA</v>
          </cell>
          <cell r="D636" t="str">
            <v>VIA DELLA CHIMICA 22</v>
          </cell>
          <cell r="F636" t="str">
            <v>SCERNE DI PINETO</v>
          </cell>
          <cell r="G636" t="str">
            <v>TE</v>
          </cell>
          <cell r="H636" t="str">
            <v>ITALIA</v>
          </cell>
          <cell r="J636" t="str">
            <v>01918740679</v>
          </cell>
          <cell r="M636" t="str">
            <v>SIG.RA MIRIAM</v>
          </cell>
          <cell r="N636" t="str">
            <v>085 9461345</v>
          </cell>
          <cell r="P636" t="str">
            <v>delsoleinfissisnc@virgilio.it</v>
          </cell>
          <cell r="R636" t="str">
            <v>BONIFICO BANCARIO, ALLA DATA DELLA NOSTRA CONFERMA D'ORDINE</v>
          </cell>
          <cell r="X636">
            <v>0.25</v>
          </cell>
          <cell r="Y636">
            <v>-0.04</v>
          </cell>
          <cell r="AB636">
            <v>0.25</v>
          </cell>
          <cell r="AC636">
            <v>0.25</v>
          </cell>
          <cell r="AD636">
            <v>0.25</v>
          </cell>
          <cell r="AE636">
            <v>0.25</v>
          </cell>
          <cell r="AF636">
            <v>0.25</v>
          </cell>
          <cell r="AG636">
            <v>0.25</v>
          </cell>
          <cell r="AH636">
            <v>0.25</v>
          </cell>
          <cell r="AI636">
            <v>0.25</v>
          </cell>
          <cell r="AJ636">
            <v>0.25</v>
          </cell>
          <cell r="AK636">
            <v>0.25</v>
          </cell>
          <cell r="AL636">
            <v>0.25</v>
          </cell>
          <cell r="AM636">
            <v>0.25</v>
          </cell>
          <cell r="AN636">
            <v>0.25</v>
          </cell>
          <cell r="AO636">
            <v>0.25</v>
          </cell>
          <cell r="AP636">
            <v>0.25</v>
          </cell>
          <cell r="AQ636">
            <v>0.25</v>
          </cell>
          <cell r="AR636">
            <v>0.25</v>
          </cell>
          <cell r="AS636">
            <v>0.25</v>
          </cell>
          <cell r="AT636">
            <v>-0.04</v>
          </cell>
          <cell r="AU636">
            <v>0.92</v>
          </cell>
          <cell r="AV636">
            <v>20</v>
          </cell>
          <cell r="AY636" t="str">
            <v/>
          </cell>
          <cell r="AZ636">
            <v>0.25</v>
          </cell>
          <cell r="BA636">
            <v>0.25</v>
          </cell>
        </row>
        <row r="637">
          <cell r="A637" t="str">
            <v>DELLA CECA INFISSI E INFISSI</v>
          </cell>
          <cell r="D637" t="str">
            <v>VIA A.SACHAROV</v>
          </cell>
          <cell r="E637">
            <v>62029</v>
          </cell>
          <cell r="F637" t="str">
            <v>TOLENTINO</v>
          </cell>
          <cell r="G637" t="str">
            <v>MC</v>
          </cell>
          <cell r="H637" t="str">
            <v>ITALIA</v>
          </cell>
          <cell r="M637" t="str">
            <v>UFFICIO ACQUISTI</v>
          </cell>
          <cell r="N637" t="str">
            <v>0733 960725</v>
          </cell>
          <cell r="O637" t="str">
            <v>Sandro D.C. 335 5257927</v>
          </cell>
          <cell r="P637" t="str">
            <v>sandro@dellaceca.it  - dellaceca@dellaceca.it</v>
          </cell>
          <cell r="R637" t="str">
            <v>BONIFICO BANCARIO, ALLA DATA DELLA NOSTRA CONFERMA D'ORDINE</v>
          </cell>
          <cell r="X637">
            <v>0.25</v>
          </cell>
          <cell r="Y637">
            <v>-0.04</v>
          </cell>
          <cell r="AB637">
            <v>0.25</v>
          </cell>
          <cell r="AC637">
            <v>0.25</v>
          </cell>
          <cell r="AD637">
            <v>0.25</v>
          </cell>
          <cell r="AE637">
            <v>0.25</v>
          </cell>
          <cell r="AF637">
            <v>0.25</v>
          </cell>
          <cell r="AG637">
            <v>0.25</v>
          </cell>
          <cell r="AH637">
            <v>0.25</v>
          </cell>
          <cell r="AI637">
            <v>0.25</v>
          </cell>
          <cell r="AJ637">
            <v>0.25</v>
          </cell>
          <cell r="AK637">
            <v>0.25</v>
          </cell>
          <cell r="AL637">
            <v>0.25</v>
          </cell>
          <cell r="AM637">
            <v>0.25</v>
          </cell>
          <cell r="AN637">
            <v>0.25</v>
          </cell>
          <cell r="AO637">
            <v>0.25</v>
          </cell>
          <cell r="AP637">
            <v>0.25</v>
          </cell>
          <cell r="AQ637">
            <v>0.25</v>
          </cell>
          <cell r="AR637">
            <v>0.25</v>
          </cell>
          <cell r="AS637">
            <v>0.25</v>
          </cell>
          <cell r="AT637">
            <v>-0.04</v>
          </cell>
          <cell r="AU637">
            <v>0.92</v>
          </cell>
          <cell r="AV637">
            <v>20</v>
          </cell>
          <cell r="AY637" t="str">
            <v/>
          </cell>
          <cell r="AZ637">
            <v>0.25</v>
          </cell>
          <cell r="BA637">
            <v>0.25</v>
          </cell>
        </row>
        <row r="638">
          <cell r="A638" t="str">
            <v>DELL'AQUILA SERRAMENTI</v>
          </cell>
          <cell r="B638" t="str">
            <v>SAMUELE MICUCCI, INTERESSATO. FORSE COMPRERA' CAMPIONE.</v>
          </cell>
          <cell r="D638" t="str">
            <v>VIA SAN BERNARDINO 31</v>
          </cell>
          <cell r="E638" t="str">
            <v>71016</v>
          </cell>
          <cell r="F638" t="str">
            <v xml:space="preserve">SAN SEVERO </v>
          </cell>
          <cell r="G638" t="str">
            <v>FG</v>
          </cell>
          <cell r="H638" t="str">
            <v>ITALIA</v>
          </cell>
          <cell r="J638" t="str">
            <v>03609730712</v>
          </cell>
          <cell r="M638" t="str">
            <v>UFFICIO ACQUISTI</v>
          </cell>
          <cell r="N638" t="str">
            <v>0882 221440</v>
          </cell>
          <cell r="P638" t="str">
            <v>dellaquilaserramenti@libero.it</v>
          </cell>
          <cell r="R638" t="str">
            <v>BONIFICO BANCARIO, ALLA DATA DELLA NOSTRA CONFERMA D'ORDINE</v>
          </cell>
          <cell r="X638">
            <v>0.25</v>
          </cell>
          <cell r="Y638">
            <v>-0.04</v>
          </cell>
          <cell r="AB638">
            <v>0.25</v>
          </cell>
          <cell r="AC638">
            <v>0.25</v>
          </cell>
          <cell r="AD638">
            <v>0.25</v>
          </cell>
          <cell r="AE638">
            <v>0.25</v>
          </cell>
          <cell r="AF638">
            <v>0.25</v>
          </cell>
          <cell r="AG638">
            <v>0.25</v>
          </cell>
          <cell r="AH638">
            <v>0.25</v>
          </cell>
          <cell r="AI638">
            <v>0.25</v>
          </cell>
          <cell r="AJ638">
            <v>0.25</v>
          </cell>
          <cell r="AK638">
            <v>0.25</v>
          </cell>
          <cell r="AL638">
            <v>0.25</v>
          </cell>
          <cell r="AM638">
            <v>0.25</v>
          </cell>
          <cell r="AN638">
            <v>0.25</v>
          </cell>
          <cell r="AO638">
            <v>0.25</v>
          </cell>
          <cell r="AP638">
            <v>0.25</v>
          </cell>
          <cell r="AQ638">
            <v>0.25</v>
          </cell>
          <cell r="AR638">
            <v>0.25</v>
          </cell>
          <cell r="AS638">
            <v>0.25</v>
          </cell>
          <cell r="AT638">
            <v>-0.04</v>
          </cell>
          <cell r="AU638">
            <v>0.92</v>
          </cell>
          <cell r="AV638">
            <v>20</v>
          </cell>
          <cell r="AY638" t="str">
            <v/>
          </cell>
          <cell r="AZ638">
            <v>0.25</v>
          </cell>
          <cell r="BA638">
            <v>0.25</v>
          </cell>
        </row>
        <row r="639">
          <cell r="A639" t="str">
            <v>DELMA SRL</v>
          </cell>
          <cell r="D639" t="str">
            <v>VIA STRADA LONGA 809 1</v>
          </cell>
          <cell r="E639" t="str">
            <v>26815</v>
          </cell>
          <cell r="F639" t="str">
            <v>MASSALENGO</v>
          </cell>
          <cell r="G639" t="str">
            <v>LO</v>
          </cell>
          <cell r="H639" t="str">
            <v>ITALIA</v>
          </cell>
          <cell r="J639" t="str">
            <v>06382980966</v>
          </cell>
          <cell r="M639" t="str">
            <v>UFFICIO ACQUISTI</v>
          </cell>
          <cell r="N639" t="str">
            <v>0371 480601</v>
          </cell>
          <cell r="R639" t="str">
            <v>BONIFICO BANCARIO, ALLA DATA DELLA NOSTRA CONFERMA D'ORDINE</v>
          </cell>
          <cell r="X639">
            <v>0.25</v>
          </cell>
          <cell r="Y639">
            <v>-0.04</v>
          </cell>
          <cell r="AB639">
            <v>0.25</v>
          </cell>
          <cell r="AC639">
            <v>0.25</v>
          </cell>
          <cell r="AD639">
            <v>0.25</v>
          </cell>
          <cell r="AE639">
            <v>0.25</v>
          </cell>
          <cell r="AF639">
            <v>0.25</v>
          </cell>
          <cell r="AG639">
            <v>0.25</v>
          </cell>
          <cell r="AH639">
            <v>0.25</v>
          </cell>
          <cell r="AI639">
            <v>0.25</v>
          </cell>
          <cell r="AJ639">
            <v>0.25</v>
          </cell>
          <cell r="AK639">
            <v>0.25</v>
          </cell>
          <cell r="AL639">
            <v>0.25</v>
          </cell>
          <cell r="AM639">
            <v>0.25</v>
          </cell>
          <cell r="AN639">
            <v>0.25</v>
          </cell>
          <cell r="AO639">
            <v>0.25</v>
          </cell>
          <cell r="AP639">
            <v>0.25</v>
          </cell>
          <cell r="AQ639">
            <v>0.25</v>
          </cell>
          <cell r="AR639">
            <v>0.25</v>
          </cell>
          <cell r="AS639">
            <v>0.25</v>
          </cell>
          <cell r="AT639">
            <v>-0.04</v>
          </cell>
          <cell r="AU639">
            <v>0.92</v>
          </cell>
          <cell r="AV639">
            <v>20</v>
          </cell>
          <cell r="AY639" t="str">
            <v/>
          </cell>
          <cell r="AZ639">
            <v>0.25</v>
          </cell>
          <cell r="BA639">
            <v>0.25</v>
          </cell>
        </row>
        <row r="640">
          <cell r="A640" t="str">
            <v>DELPIANO INFISSI SNC</v>
          </cell>
          <cell r="D640" t="str">
            <v>VIA VERCELLI 82</v>
          </cell>
          <cell r="E640" t="str">
            <v>13030</v>
          </cell>
          <cell r="F640" t="str">
            <v>CARESANABLOT</v>
          </cell>
          <cell r="G640" t="str">
            <v>VC</v>
          </cell>
          <cell r="H640" t="str">
            <v>ITALIA</v>
          </cell>
          <cell r="J640" t="str">
            <v>01771460027</v>
          </cell>
          <cell r="M640" t="str">
            <v>UFFICIO ACQUISTI</v>
          </cell>
          <cell r="N640" t="str">
            <v>0161 33388</v>
          </cell>
          <cell r="P640" t="str">
            <v>info@delpianoinfissi.it</v>
          </cell>
          <cell r="R640" t="str">
            <v>BONIFICO BANCARIO, ALLA DATA DELLA NOSTRA CONFERMA D'ORDINE</v>
          </cell>
          <cell r="X640">
            <v>0.25</v>
          </cell>
          <cell r="Y640">
            <v>-0.04</v>
          </cell>
          <cell r="AB640">
            <v>0.25</v>
          </cell>
          <cell r="AC640">
            <v>0.25</v>
          </cell>
          <cell r="AD640">
            <v>0.25</v>
          </cell>
          <cell r="AE640">
            <v>0.25</v>
          </cell>
          <cell r="AF640">
            <v>0.25</v>
          </cell>
          <cell r="AG640">
            <v>0.25</v>
          </cell>
          <cell r="AH640">
            <v>0.25</v>
          </cell>
          <cell r="AI640">
            <v>0.25</v>
          </cell>
          <cell r="AJ640">
            <v>0.25</v>
          </cell>
          <cell r="AK640">
            <v>0.25</v>
          </cell>
          <cell r="AL640">
            <v>0.25</v>
          </cell>
          <cell r="AM640">
            <v>0.25</v>
          </cell>
          <cell r="AN640">
            <v>0.25</v>
          </cell>
          <cell r="AO640">
            <v>0.25</v>
          </cell>
          <cell r="AP640">
            <v>0.25</v>
          </cell>
          <cell r="AQ640">
            <v>0.25</v>
          </cell>
          <cell r="AR640">
            <v>0.25</v>
          </cell>
          <cell r="AS640">
            <v>0.25</v>
          </cell>
          <cell r="AT640">
            <v>-0.04</v>
          </cell>
          <cell r="AU640">
            <v>0.92</v>
          </cell>
          <cell r="AV640">
            <v>20</v>
          </cell>
          <cell r="AY640" t="str">
            <v/>
          </cell>
          <cell r="AZ640">
            <v>0.25</v>
          </cell>
          <cell r="BA640">
            <v>0.25</v>
          </cell>
        </row>
        <row r="641">
          <cell r="A641" t="str">
            <v>DELTA INFISSI DI GAROFALO GIUSEPPE</v>
          </cell>
          <cell r="D641" t="str">
            <v>CORSO GARIBALDI, 2</v>
          </cell>
          <cell r="E641" t="str">
            <v>80059</v>
          </cell>
          <cell r="F641" t="str">
            <v>TORRE DEL GRECO</v>
          </cell>
          <cell r="G641" t="str">
            <v>NA</v>
          </cell>
          <cell r="H641" t="str">
            <v>ITALIA</v>
          </cell>
          <cell r="J641" t="str">
            <v>04588021214</v>
          </cell>
          <cell r="M641" t="str">
            <v>UFFICIO ACQUISTI</v>
          </cell>
          <cell r="R641" t="str">
            <v>BONIFICO BANCARIO, ALLA DATA DELLA NOSTRA CONFERMA D'ORDINE</v>
          </cell>
          <cell r="X641">
            <v>0.25</v>
          </cell>
          <cell r="Y641">
            <v>-0.04</v>
          </cell>
          <cell r="AB641">
            <v>0.25</v>
          </cell>
          <cell r="AC641">
            <v>0.25</v>
          </cell>
          <cell r="AD641">
            <v>0.25</v>
          </cell>
          <cell r="AE641">
            <v>0.25</v>
          </cell>
          <cell r="AF641">
            <v>0.25</v>
          </cell>
          <cell r="AG641">
            <v>0.25</v>
          </cell>
          <cell r="AH641">
            <v>0.25</v>
          </cell>
          <cell r="AI641">
            <v>0.25</v>
          </cell>
          <cell r="AJ641">
            <v>0.25</v>
          </cell>
          <cell r="AK641">
            <v>0.25</v>
          </cell>
          <cell r="AL641">
            <v>0.25</v>
          </cell>
          <cell r="AM641">
            <v>0.25</v>
          </cell>
          <cell r="AN641">
            <v>0.25</v>
          </cell>
          <cell r="AO641">
            <v>0.25</v>
          </cell>
          <cell r="AP641">
            <v>0.25</v>
          </cell>
          <cell r="AQ641">
            <v>0.25</v>
          </cell>
          <cell r="AR641">
            <v>0.25</v>
          </cell>
          <cell r="AS641">
            <v>0.25</v>
          </cell>
          <cell r="AT641">
            <v>-0.04</v>
          </cell>
          <cell r="AU641">
            <v>0.92</v>
          </cell>
          <cell r="AV641">
            <v>20</v>
          </cell>
          <cell r="AZ641">
            <v>0.25</v>
          </cell>
          <cell r="BA641">
            <v>0.25</v>
          </cell>
        </row>
        <row r="642">
          <cell r="A642" t="str">
            <v xml:space="preserve">DELVI SERRAMENTI </v>
          </cell>
          <cell r="B642" t="str">
            <v>VINCENZO DEL GIUDICE</v>
          </cell>
          <cell r="D642" t="str">
            <v xml:space="preserve">VIA DEI RIGATIERI </v>
          </cell>
          <cell r="F642" t="str">
            <v>GIOVINOZZO</v>
          </cell>
          <cell r="G642" t="str">
            <v>BA</v>
          </cell>
          <cell r="H642" t="str">
            <v>ITALIA</v>
          </cell>
          <cell r="M642" t="str">
            <v>UFFICIO ACQUISTI</v>
          </cell>
          <cell r="N642" t="str">
            <v>080 3947474</v>
          </cell>
          <cell r="O642" t="str">
            <v>348 4005852</v>
          </cell>
          <cell r="R642" t="str">
            <v>BONIFICO BANCARIO, ALLA DATA DELLA NOSTRA CONFERMA D'ORDINE</v>
          </cell>
          <cell r="X642">
            <v>0.25</v>
          </cell>
          <cell r="Y642">
            <v>-0.04</v>
          </cell>
          <cell r="AB642">
            <v>0.25</v>
          </cell>
          <cell r="AC642">
            <v>0.25</v>
          </cell>
          <cell r="AD642">
            <v>0.25</v>
          </cell>
          <cell r="AE642">
            <v>0.25</v>
          </cell>
          <cell r="AF642">
            <v>0.25</v>
          </cell>
          <cell r="AG642">
            <v>0.25</v>
          </cell>
          <cell r="AH642">
            <v>0.25</v>
          </cell>
          <cell r="AI642">
            <v>0.25</v>
          </cell>
          <cell r="AJ642">
            <v>0.25</v>
          </cell>
          <cell r="AK642">
            <v>0.25</v>
          </cell>
          <cell r="AL642">
            <v>0.25</v>
          </cell>
          <cell r="AM642">
            <v>0.25</v>
          </cell>
          <cell r="AN642">
            <v>0.25</v>
          </cell>
          <cell r="AO642">
            <v>0.25</v>
          </cell>
          <cell r="AP642">
            <v>0.25</v>
          </cell>
          <cell r="AQ642">
            <v>0.25</v>
          </cell>
          <cell r="AR642">
            <v>0.25</v>
          </cell>
          <cell r="AS642">
            <v>0.25</v>
          </cell>
          <cell r="AT642">
            <v>-0.04</v>
          </cell>
          <cell r="AU642">
            <v>0.92</v>
          </cell>
          <cell r="AV642">
            <v>20</v>
          </cell>
          <cell r="AZ642">
            <v>0.25</v>
          </cell>
          <cell r="BA642">
            <v>0.25</v>
          </cell>
        </row>
        <row r="643">
          <cell r="A643" t="str">
            <v>DEMACO SRL</v>
          </cell>
          <cell r="B643" t="str">
            <v>30/03/23 MAIL</v>
          </cell>
          <cell r="D643" t="str">
            <v>VIA NAZIONALE ADRIATICA</v>
          </cell>
          <cell r="E643" t="str">
            <v>64020</v>
          </cell>
          <cell r="F643" t="str">
            <v>COLOGNA SPIAGGIA</v>
          </cell>
          <cell r="G643" t="str">
            <v>TE</v>
          </cell>
          <cell r="H643" t="str">
            <v>ITALIA</v>
          </cell>
          <cell r="M643" t="str">
            <v>SIGG. WILLIAM E FLAVIANO DE VINCENTIS</v>
          </cell>
          <cell r="N643" t="str">
            <v>085 8937736</v>
          </cell>
          <cell r="P643" t="str">
            <v>info@demacosrl.com</v>
          </cell>
          <cell r="R643" t="str">
            <v>BONIFICO BANCARIO, ALLA DATA DELLA NOSTRA CONFERMA D'ORDINE</v>
          </cell>
          <cell r="X643">
            <v>0.25</v>
          </cell>
          <cell r="Y643">
            <v>-0.04</v>
          </cell>
          <cell r="AB643">
            <v>0.25</v>
          </cell>
          <cell r="AC643">
            <v>0.25</v>
          </cell>
          <cell r="AD643">
            <v>0.25</v>
          </cell>
          <cell r="AE643">
            <v>0.25</v>
          </cell>
          <cell r="AF643">
            <v>0.25</v>
          </cell>
          <cell r="AG643">
            <v>0.25</v>
          </cell>
          <cell r="AH643">
            <v>0.25</v>
          </cell>
          <cell r="AI643">
            <v>0.25</v>
          </cell>
          <cell r="AJ643">
            <v>0.25</v>
          </cell>
          <cell r="AK643">
            <v>0.25</v>
          </cell>
          <cell r="AL643">
            <v>0.25</v>
          </cell>
          <cell r="AM643">
            <v>0.25</v>
          </cell>
          <cell r="AN643">
            <v>0.25</v>
          </cell>
          <cell r="AO643">
            <v>0.25</v>
          </cell>
          <cell r="AP643">
            <v>0.25</v>
          </cell>
          <cell r="AQ643">
            <v>0.25</v>
          </cell>
          <cell r="AR643">
            <v>0.25</v>
          </cell>
          <cell r="AS643">
            <v>0.25</v>
          </cell>
          <cell r="AT643">
            <v>-0.04</v>
          </cell>
          <cell r="AU643">
            <v>0.92</v>
          </cell>
          <cell r="AV643">
            <v>20</v>
          </cell>
          <cell r="AY643" t="str">
            <v/>
          </cell>
          <cell r="AZ643">
            <v>0.25</v>
          </cell>
          <cell r="BA643">
            <v>0.25</v>
          </cell>
        </row>
        <row r="644">
          <cell r="A644" t="str">
            <v>DEMURTAS GIORGIO</v>
          </cell>
          <cell r="D644" t="str">
            <v xml:space="preserve">VIA PADRE BRUNDU, 2 </v>
          </cell>
          <cell r="E644" t="str">
            <v>08021</v>
          </cell>
          <cell r="F644" t="str">
            <v>BITTI</v>
          </cell>
          <cell r="G644" t="str">
            <v>NU</v>
          </cell>
          <cell r="H644" t="str">
            <v>ITALIA</v>
          </cell>
          <cell r="I644" t="str">
            <v>DMRGRG84S01G203W</v>
          </cell>
          <cell r="J644" t="str">
            <v>01555570918</v>
          </cell>
          <cell r="K644" t="str">
            <v>WTYVJK9</v>
          </cell>
          <cell r="M644" t="str">
            <v>UFFICIO ACQUISTI</v>
          </cell>
          <cell r="O644" t="str">
            <v>347 2925302</v>
          </cell>
          <cell r="P644" t="str">
            <v>demurtas.giorgio@tiscali.it</v>
          </cell>
          <cell r="R644" t="str">
            <v>BONIFICO BANCARIO, ALLA DATA DELLA NOSTRA CONFERMA D'ORDINE</v>
          </cell>
          <cell r="X644">
            <v>0.25</v>
          </cell>
          <cell r="Y644">
            <v>-0.04</v>
          </cell>
          <cell r="AB644">
            <v>0.25</v>
          </cell>
          <cell r="AC644">
            <v>0.25</v>
          </cell>
          <cell r="AD644">
            <v>0.25</v>
          </cell>
          <cell r="AE644">
            <v>0.25</v>
          </cell>
          <cell r="AF644">
            <v>0.25</v>
          </cell>
          <cell r="AG644">
            <v>0.25</v>
          </cell>
          <cell r="AH644">
            <v>0.25</v>
          </cell>
          <cell r="AI644">
            <v>0.25</v>
          </cell>
          <cell r="AJ644">
            <v>0.25</v>
          </cell>
          <cell r="AK644">
            <v>0.25</v>
          </cell>
          <cell r="AL644">
            <v>0.25</v>
          </cell>
          <cell r="AM644">
            <v>0.25</v>
          </cell>
          <cell r="AN644">
            <v>0.25</v>
          </cell>
          <cell r="AO644">
            <v>0.25</v>
          </cell>
          <cell r="AP644">
            <v>0.25</v>
          </cell>
          <cell r="AQ644">
            <v>0.25</v>
          </cell>
          <cell r="AR644">
            <v>0.25</v>
          </cell>
          <cell r="AS644">
            <v>0.25</v>
          </cell>
          <cell r="AT644">
            <v>-0.04</v>
          </cell>
          <cell r="AU644">
            <v>0.92</v>
          </cell>
          <cell r="AV644">
            <v>20</v>
          </cell>
          <cell r="AZ644">
            <v>0.25</v>
          </cell>
          <cell r="BA644">
            <v>0.25</v>
          </cell>
        </row>
        <row r="645">
          <cell r="A645" t="str">
            <v>DENTRO &amp; FUORI DI ROBERTO BELLAVIA</v>
          </cell>
          <cell r="D645" t="str">
            <v>VIA DELLA LIBERAZIONE, 91</v>
          </cell>
          <cell r="E645" t="str">
            <v>63074</v>
          </cell>
          <cell r="F645" t="str">
            <v>SAN BENEDETTO DEL TRONTO</v>
          </cell>
          <cell r="G645" t="str">
            <v>AP</v>
          </cell>
          <cell r="H645" t="str">
            <v>ITALIA</v>
          </cell>
          <cell r="J645" t="str">
            <v>01589380441</v>
          </cell>
          <cell r="K645" t="str">
            <v>M5UXCR1</v>
          </cell>
          <cell r="M645" t="str">
            <v>SIG. ROBERTO</v>
          </cell>
          <cell r="N645" t="str">
            <v>0735 81071</v>
          </cell>
          <cell r="O645" t="str">
            <v xml:space="preserve">339 3797810 </v>
          </cell>
          <cell r="P645" t="str">
            <v>dentroefuori2005@libero.it</v>
          </cell>
          <cell r="R645" t="str">
            <v>BONIFICO BANCARIO, ALLA DATA DELLA NOSTRA CONFERMA D'ORDINE</v>
          </cell>
          <cell r="X645">
            <v>0.25</v>
          </cell>
          <cell r="Y645">
            <v>-0.04</v>
          </cell>
          <cell r="AB645">
            <v>0.25</v>
          </cell>
          <cell r="AC645">
            <v>0.25</v>
          </cell>
          <cell r="AD645">
            <v>0.25</v>
          </cell>
          <cell r="AE645">
            <v>0.25</v>
          </cell>
          <cell r="AF645">
            <v>0.25</v>
          </cell>
          <cell r="AG645">
            <v>0.25</v>
          </cell>
          <cell r="AH645">
            <v>0.25</v>
          </cell>
          <cell r="AI645">
            <v>0.25</v>
          </cell>
          <cell r="AJ645">
            <v>0.25</v>
          </cell>
          <cell r="AK645">
            <v>0.25</v>
          </cell>
          <cell r="AL645">
            <v>0.25</v>
          </cell>
          <cell r="AM645">
            <v>0.25</v>
          </cell>
          <cell r="AN645">
            <v>0.25</v>
          </cell>
          <cell r="AO645">
            <v>0.25</v>
          </cell>
          <cell r="AP645">
            <v>0.25</v>
          </cell>
          <cell r="AQ645">
            <v>0.25</v>
          </cell>
          <cell r="AR645">
            <v>0.25</v>
          </cell>
          <cell r="AS645">
            <v>0.25</v>
          </cell>
          <cell r="AT645">
            <v>-0.04</v>
          </cell>
          <cell r="AU645">
            <v>0.92</v>
          </cell>
          <cell r="AV645">
            <v>20</v>
          </cell>
          <cell r="AZ645">
            <v>0.25</v>
          </cell>
          <cell r="BA645">
            <v>0.25</v>
          </cell>
        </row>
        <row r="646">
          <cell r="A646" t="str">
            <v>DESDERI PIETRO SERRAMENTI E VETRI</v>
          </cell>
          <cell r="D646" t="str">
            <v>LOCALITA'TETTO COLOMBERO, 5</v>
          </cell>
          <cell r="E646">
            <v>12010</v>
          </cell>
          <cell r="F646" t="str">
            <v>ROCCA SPARVERA</v>
          </cell>
          <cell r="G646" t="str">
            <v>CN</v>
          </cell>
          <cell r="H646" t="str">
            <v>ITALIA</v>
          </cell>
          <cell r="M646" t="str">
            <v>UFFICIO ACQUISTI</v>
          </cell>
          <cell r="N646" t="str">
            <v>0171 72018</v>
          </cell>
          <cell r="P646" t="str">
            <v>info@desderi-serramenti.com</v>
          </cell>
          <cell r="R646" t="str">
            <v>BONIFICO BANCARIO, ALLA DATA DELLA NOSTRA CONFERMA D'ORDINE</v>
          </cell>
          <cell r="X646">
            <v>0.25</v>
          </cell>
          <cell r="Y646">
            <v>-0.04</v>
          </cell>
          <cell r="AB646">
            <v>0.25</v>
          </cell>
          <cell r="AC646">
            <v>0.25</v>
          </cell>
          <cell r="AD646">
            <v>0.25</v>
          </cell>
          <cell r="AE646">
            <v>0.25</v>
          </cell>
          <cell r="AF646">
            <v>0.25</v>
          </cell>
          <cell r="AG646">
            <v>0.25</v>
          </cell>
          <cell r="AH646">
            <v>0.25</v>
          </cell>
          <cell r="AI646">
            <v>0.25</v>
          </cell>
          <cell r="AJ646">
            <v>0.25</v>
          </cell>
          <cell r="AK646">
            <v>0.25</v>
          </cell>
          <cell r="AL646">
            <v>0.25</v>
          </cell>
          <cell r="AM646">
            <v>0.25</v>
          </cell>
          <cell r="AN646">
            <v>0.25</v>
          </cell>
          <cell r="AO646">
            <v>0.25</v>
          </cell>
          <cell r="AP646">
            <v>0.25</v>
          </cell>
          <cell r="AQ646">
            <v>0.25</v>
          </cell>
          <cell r="AR646">
            <v>0.25</v>
          </cell>
          <cell r="AS646">
            <v>0.25</v>
          </cell>
          <cell r="AT646">
            <v>-0.04</v>
          </cell>
          <cell r="AU646">
            <v>0.92</v>
          </cell>
          <cell r="AV646">
            <v>20</v>
          </cell>
          <cell r="AY646" t="str">
            <v/>
          </cell>
          <cell r="AZ646">
            <v>0.25</v>
          </cell>
          <cell r="BA646">
            <v>0.25</v>
          </cell>
        </row>
        <row r="647">
          <cell r="A647" t="str">
            <v>DESIN</v>
          </cell>
          <cell r="D647" t="str">
            <v>C.SO PIEMONTE, 71 A</v>
          </cell>
          <cell r="E647">
            <v>74121</v>
          </cell>
          <cell r="F647" t="str">
            <v>TARANTO</v>
          </cell>
          <cell r="G647" t="str">
            <v>TA</v>
          </cell>
          <cell r="H647" t="str">
            <v>ITALIA</v>
          </cell>
          <cell r="M647" t="str">
            <v>UFFICIO ACQUISTI</v>
          </cell>
          <cell r="N647" t="str">
            <v>0997 392499</v>
          </cell>
          <cell r="P647" t="str">
            <v>desin.michelangelo@gmail.com</v>
          </cell>
          <cell r="R647" t="str">
            <v>BONIFICO BANCARIO, ALLA DATA DELLA NOSTRA CONFERMA D'ORDINE</v>
          </cell>
          <cell r="X647">
            <v>0.25</v>
          </cell>
          <cell r="Y647">
            <v>-0.04</v>
          </cell>
          <cell r="AB647">
            <v>0.25</v>
          </cell>
          <cell r="AC647">
            <v>0.25</v>
          </cell>
          <cell r="AD647">
            <v>0.25</v>
          </cell>
          <cell r="AE647">
            <v>0.25</v>
          </cell>
          <cell r="AF647">
            <v>0.25</v>
          </cell>
          <cell r="AG647">
            <v>0.25</v>
          </cell>
          <cell r="AH647">
            <v>0.25</v>
          </cell>
          <cell r="AI647">
            <v>0.25</v>
          </cell>
          <cell r="AJ647">
            <v>0.25</v>
          </cell>
          <cell r="AK647">
            <v>0.25</v>
          </cell>
          <cell r="AL647">
            <v>0.25</v>
          </cell>
          <cell r="AM647">
            <v>0.25</v>
          </cell>
          <cell r="AN647">
            <v>0.25</v>
          </cell>
          <cell r="AO647">
            <v>0.25</v>
          </cell>
          <cell r="AP647">
            <v>0.25</v>
          </cell>
          <cell r="AQ647">
            <v>0.25</v>
          </cell>
          <cell r="AR647">
            <v>0.25</v>
          </cell>
          <cell r="AS647">
            <v>0.25</v>
          </cell>
          <cell r="AT647">
            <v>-0.04</v>
          </cell>
          <cell r="AU647">
            <v>0.92</v>
          </cell>
          <cell r="AV647">
            <v>20</v>
          </cell>
          <cell r="AY647" t="str">
            <v/>
          </cell>
          <cell r="AZ647">
            <v>0.25</v>
          </cell>
          <cell r="BA647">
            <v>0.25</v>
          </cell>
        </row>
        <row r="648">
          <cell r="A648" t="str">
            <v>DEXIVE S.P.A.</v>
          </cell>
          <cell r="B648" t="str">
            <v>EDILE</v>
          </cell>
          <cell r="D648" t="str">
            <v>PIAZZALE LEGNAMI, 1</v>
          </cell>
          <cell r="E648" t="str">
            <v>34145</v>
          </cell>
          <cell r="F648" t="str">
            <v>TRIESTE</v>
          </cell>
          <cell r="G648" t="str">
            <v>TS</v>
          </cell>
          <cell r="H648" t="str">
            <v>ITALIA</v>
          </cell>
          <cell r="I648" t="str">
            <v>03887440984</v>
          </cell>
          <cell r="J648" t="str">
            <v>03887440984</v>
          </cell>
          <cell r="M648" t="str">
            <v>UFFICIO ACQUISTI</v>
          </cell>
          <cell r="N648" t="str">
            <v>040 2459910</v>
          </cell>
          <cell r="P648" t="str">
            <v>trieste@dexive.it</v>
          </cell>
          <cell r="R648" t="str">
            <v>BONIFICO BANCARIO, ALLA DATA DELLA NOSTRA CONFERMA D'ORDINE</v>
          </cell>
          <cell r="X648">
            <v>0</v>
          </cell>
          <cell r="Y648">
            <v>-0.04</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-0.04</v>
          </cell>
          <cell r="AU648">
            <v>0.92</v>
          </cell>
          <cell r="AV648">
            <v>20</v>
          </cell>
          <cell r="AZ648">
            <v>0</v>
          </cell>
          <cell r="BA648">
            <v>0</v>
          </cell>
        </row>
        <row r="649">
          <cell r="A649" t="str">
            <v>DGF SERRAMENTI DI DI GIOVANBATTISTA DANIELE</v>
          </cell>
          <cell r="D649" t="str">
            <v>VIA COLLALTO SABINO 98</v>
          </cell>
          <cell r="E649" t="str">
            <v>00199</v>
          </cell>
          <cell r="F649" t="str">
            <v>ROMA</v>
          </cell>
          <cell r="G649" t="str">
            <v>RM</v>
          </cell>
          <cell r="H649" t="str">
            <v>ITALIA</v>
          </cell>
          <cell r="M649" t="str">
            <v>UFFICIO ACQUISTI</v>
          </cell>
          <cell r="N649" t="str">
            <v>06 86329917</v>
          </cell>
          <cell r="O649" t="str">
            <v>348 9000580</v>
          </cell>
          <cell r="P649" t="str">
            <v>info@dgfserramenti.it</v>
          </cell>
          <cell r="R649" t="str">
            <v>BONIFICO BANCARIO, ALLA DATA DELLA NOSTRA CONFERMA D'ORDINE</v>
          </cell>
          <cell r="X649">
            <v>0.25</v>
          </cell>
          <cell r="Y649">
            <v>-0.04</v>
          </cell>
          <cell r="AB649">
            <v>0.25</v>
          </cell>
          <cell r="AC649">
            <v>0.25</v>
          </cell>
          <cell r="AD649">
            <v>0.25</v>
          </cell>
          <cell r="AE649">
            <v>0.25</v>
          </cell>
          <cell r="AF649">
            <v>0.25</v>
          </cell>
          <cell r="AG649">
            <v>0.25</v>
          </cell>
          <cell r="AH649">
            <v>0.25</v>
          </cell>
          <cell r="AI649">
            <v>0.25</v>
          </cell>
          <cell r="AJ649">
            <v>0.25</v>
          </cell>
          <cell r="AK649">
            <v>0.25</v>
          </cell>
          <cell r="AL649">
            <v>0.25</v>
          </cell>
          <cell r="AM649">
            <v>0.25</v>
          </cell>
          <cell r="AN649">
            <v>0.25</v>
          </cell>
          <cell r="AO649">
            <v>0.25</v>
          </cell>
          <cell r="AP649">
            <v>0.25</v>
          </cell>
          <cell r="AQ649">
            <v>0.25</v>
          </cell>
          <cell r="AR649">
            <v>0.25</v>
          </cell>
          <cell r="AS649">
            <v>0.25</v>
          </cell>
          <cell r="AT649">
            <v>-0.04</v>
          </cell>
          <cell r="AU649">
            <v>0.92</v>
          </cell>
          <cell r="AV649">
            <v>20</v>
          </cell>
          <cell r="AZ649">
            <v>0.25</v>
          </cell>
          <cell r="BA649">
            <v>0.25</v>
          </cell>
        </row>
        <row r="650">
          <cell r="A650" t="str">
            <v>DI CIOCCIO</v>
          </cell>
          <cell r="B650" t="str">
            <v>CAMPIONE SCONTO 30%, CARPENTERIA GRATUITA</v>
          </cell>
          <cell r="D650" t="str">
            <v>VIA NAZIONALE ADRIATICA NORD, 45</v>
          </cell>
          <cell r="E650" t="str">
            <v>66023</v>
          </cell>
          <cell r="F650" t="str">
            <v>FRANCAVILLA AL MARE</v>
          </cell>
          <cell r="G650" t="str">
            <v>CH</v>
          </cell>
          <cell r="H650" t="str">
            <v>ITALIA</v>
          </cell>
          <cell r="M650" t="str">
            <v>UFFICIO ACQUISTI</v>
          </cell>
          <cell r="N650" t="str">
            <v>085 4912633</v>
          </cell>
          <cell r="P650" t="str">
            <v>info@dicioccioinfissi.com</v>
          </cell>
          <cell r="R650" t="str">
            <v>BONIFICO BANCARIO, ALLA DATA DELLA NOSTRA CONFERMA D'ORDINE</v>
          </cell>
          <cell r="X650">
            <v>0.25</v>
          </cell>
          <cell r="Y650">
            <v>-0.04</v>
          </cell>
          <cell r="AB650">
            <v>0.25</v>
          </cell>
          <cell r="AC650">
            <v>0.25</v>
          </cell>
          <cell r="AD650">
            <v>0.25</v>
          </cell>
          <cell r="AE650">
            <v>0.25</v>
          </cell>
          <cell r="AF650">
            <v>0.25</v>
          </cell>
          <cell r="AG650">
            <v>0.25</v>
          </cell>
          <cell r="AH650">
            <v>0.25</v>
          </cell>
          <cell r="AI650">
            <v>0.25</v>
          </cell>
          <cell r="AJ650">
            <v>0.25</v>
          </cell>
          <cell r="AK650">
            <v>0.25</v>
          </cell>
          <cell r="AL650">
            <v>0.25</v>
          </cell>
          <cell r="AM650">
            <v>0.25</v>
          </cell>
          <cell r="AN650">
            <v>0.25</v>
          </cell>
          <cell r="AO650">
            <v>0.25</v>
          </cell>
          <cell r="AP650">
            <v>0.25</v>
          </cell>
          <cell r="AQ650">
            <v>0.25</v>
          </cell>
          <cell r="AR650">
            <v>0.25</v>
          </cell>
          <cell r="AS650">
            <v>0.25</v>
          </cell>
          <cell r="AT650">
            <v>-0.04</v>
          </cell>
          <cell r="AU650">
            <v>0.92</v>
          </cell>
          <cell r="AV650">
            <v>20</v>
          </cell>
          <cell r="AY650" t="str">
            <v/>
          </cell>
          <cell r="AZ650">
            <v>0.25</v>
          </cell>
          <cell r="BA650">
            <v>0.25</v>
          </cell>
        </row>
        <row r="651">
          <cell r="A651" t="str">
            <v>DI LEO INFISSI</v>
          </cell>
          <cell r="D651" t="str">
            <v>VIA S. AGATA DEI GOTI, 33 A</v>
          </cell>
          <cell r="E651" t="str">
            <v>92019</v>
          </cell>
          <cell r="F651" t="str">
            <v>SCIACCA</v>
          </cell>
          <cell r="G651" t="str">
            <v>AG</v>
          </cell>
          <cell r="H651" t="str">
            <v>ITALIA</v>
          </cell>
          <cell r="M651" t="str">
            <v>UFFICIO ACQUISTI</v>
          </cell>
          <cell r="O651" t="str">
            <v>328 3086456 CALOGERO - 340 1293506 VINCENZO</v>
          </cell>
          <cell r="P651" t="str">
            <v>dileo.ferrobattuto@alice.it</v>
          </cell>
          <cell r="R651" t="str">
            <v>BONIFICO BANCARIO, ALLA DATA DELLA NOSTRA CONFERMA D'ORDINE</v>
          </cell>
          <cell r="X651">
            <v>0.25</v>
          </cell>
          <cell r="Y651">
            <v>-0.04</v>
          </cell>
          <cell r="AB651">
            <v>0.25</v>
          </cell>
          <cell r="AC651">
            <v>0.25</v>
          </cell>
          <cell r="AD651">
            <v>0.25</v>
          </cell>
          <cell r="AE651">
            <v>0.25</v>
          </cell>
          <cell r="AF651">
            <v>0.25</v>
          </cell>
          <cell r="AG651">
            <v>0.25</v>
          </cell>
          <cell r="AH651">
            <v>0.25</v>
          </cell>
          <cell r="AI651">
            <v>0.25</v>
          </cell>
          <cell r="AJ651">
            <v>0.25</v>
          </cell>
          <cell r="AK651">
            <v>0.25</v>
          </cell>
          <cell r="AL651">
            <v>0.25</v>
          </cell>
          <cell r="AM651">
            <v>0.25</v>
          </cell>
          <cell r="AN651">
            <v>0.25</v>
          </cell>
          <cell r="AO651">
            <v>0.25</v>
          </cell>
          <cell r="AP651">
            <v>0.25</v>
          </cell>
          <cell r="AQ651">
            <v>0.25</v>
          </cell>
          <cell r="AR651">
            <v>0.25</v>
          </cell>
          <cell r="AS651">
            <v>0.25</v>
          </cell>
          <cell r="AT651">
            <v>-0.04</v>
          </cell>
          <cell r="AU651">
            <v>0.92</v>
          </cell>
          <cell r="AV651">
            <v>20</v>
          </cell>
          <cell r="AZ651">
            <v>0.25</v>
          </cell>
          <cell r="BA651">
            <v>0.25</v>
          </cell>
        </row>
        <row r="652">
          <cell r="A652" t="str">
            <v>DI TOMMASO ANGELO</v>
          </cell>
          <cell r="D652" t="str">
            <v>VIA FIONDI, 12</v>
          </cell>
          <cell r="E652" t="str">
            <v>15042</v>
          </cell>
          <cell r="F652" t="str">
            <v>BASSIGNANA</v>
          </cell>
          <cell r="G652" t="str">
            <v>AL</v>
          </cell>
          <cell r="H652" t="str">
            <v>ITALIA</v>
          </cell>
          <cell r="J652" t="str">
            <v>01224320067</v>
          </cell>
          <cell r="M652" t="str">
            <v>UFFICIO ACQUISTI</v>
          </cell>
          <cell r="N652" t="str">
            <v>0131 926242</v>
          </cell>
          <cell r="O652" t="str">
            <v>335 6716835</v>
          </cell>
          <cell r="P652" t="str">
            <v>angeloilfabbro@libero.it</v>
          </cell>
          <cell r="R652" t="str">
            <v>BONIFICO BANCARIO, ALLA DATA DELLA NOSTRA CONFERMA D'ORDINE</v>
          </cell>
          <cell r="X652">
            <v>0.1</v>
          </cell>
          <cell r="Y652">
            <v>-0.04</v>
          </cell>
          <cell r="AB652">
            <v>0.1</v>
          </cell>
          <cell r="AC652">
            <v>0.1</v>
          </cell>
          <cell r="AD652">
            <v>0.1</v>
          </cell>
          <cell r="AE652">
            <v>0.1</v>
          </cell>
          <cell r="AF652">
            <v>0.1</v>
          </cell>
          <cell r="AG652">
            <v>0.1</v>
          </cell>
          <cell r="AH652">
            <v>0.1</v>
          </cell>
          <cell r="AI652">
            <v>0.1</v>
          </cell>
          <cell r="AJ652">
            <v>0.1</v>
          </cell>
          <cell r="AK652">
            <v>0.1</v>
          </cell>
          <cell r="AL652">
            <v>0.1</v>
          </cell>
          <cell r="AM652">
            <v>0.1</v>
          </cell>
          <cell r="AN652">
            <v>0.1</v>
          </cell>
          <cell r="AO652">
            <v>0.1</v>
          </cell>
          <cell r="AP652">
            <v>0.1</v>
          </cell>
          <cell r="AQ652">
            <v>0.1</v>
          </cell>
          <cell r="AR652">
            <v>0.1</v>
          </cell>
          <cell r="AS652">
            <v>0.1</v>
          </cell>
          <cell r="AT652">
            <v>-0.04</v>
          </cell>
          <cell r="AU652">
            <v>0.92</v>
          </cell>
          <cell r="AV652">
            <v>20</v>
          </cell>
          <cell r="AZ652">
            <v>0.1</v>
          </cell>
          <cell r="BA652">
            <v>0.1</v>
          </cell>
        </row>
        <row r="653">
          <cell r="A653" t="str">
            <v>DI.AL. Di DI Luccio g. &amp; Alberti R. SNC</v>
          </cell>
          <cell r="B653" t="str">
            <v>INTERESSATO AL CAMPIONE MA HO PAURA CHE VOGLIA SOLO COPIARLO M.P.    25% FINO AL 30/06/2020</v>
          </cell>
          <cell r="D653" t="str">
            <v>VIA CANTALUPO, 16 A</v>
          </cell>
          <cell r="E653">
            <v>18100</v>
          </cell>
          <cell r="F653" t="str">
            <v>IMPERIA</v>
          </cell>
          <cell r="G653" t="str">
            <v>IM</v>
          </cell>
          <cell r="H653" t="str">
            <v>ITALIA</v>
          </cell>
          <cell r="J653" t="str">
            <v>00882780083</v>
          </cell>
          <cell r="M653" t="str">
            <v>UFFICIO ACQUISTI</v>
          </cell>
          <cell r="N653" t="str">
            <v>0183 650145</v>
          </cell>
          <cell r="P653" t="str">
            <v>imfo@dialserramenti.it</v>
          </cell>
          <cell r="R653" t="str">
            <v>BONIFICO BANCARIO, ALLA DATA DELLA NOSTRA CONFERMA D'ORDINE</v>
          </cell>
          <cell r="X653">
            <v>0.25</v>
          </cell>
          <cell r="Y653">
            <v>-0.04</v>
          </cell>
          <cell r="AB653">
            <v>0.25</v>
          </cell>
          <cell r="AC653">
            <v>0.25</v>
          </cell>
          <cell r="AD653">
            <v>0.25</v>
          </cell>
          <cell r="AE653">
            <v>0.25</v>
          </cell>
          <cell r="AF653">
            <v>0.25</v>
          </cell>
          <cell r="AG653">
            <v>0.25</v>
          </cell>
          <cell r="AH653">
            <v>0.25</v>
          </cell>
          <cell r="AI653">
            <v>0.25</v>
          </cell>
          <cell r="AJ653">
            <v>0.25</v>
          </cell>
          <cell r="AK653">
            <v>0.25</v>
          </cell>
          <cell r="AL653">
            <v>0.25</v>
          </cell>
          <cell r="AM653">
            <v>0.25</v>
          </cell>
          <cell r="AN653">
            <v>0.25</v>
          </cell>
          <cell r="AO653">
            <v>0.25</v>
          </cell>
          <cell r="AP653">
            <v>0.25</v>
          </cell>
          <cell r="AQ653">
            <v>0.25</v>
          </cell>
          <cell r="AR653">
            <v>0.25</v>
          </cell>
          <cell r="AS653">
            <v>0.25</v>
          </cell>
          <cell r="AT653">
            <v>-0.04</v>
          </cell>
          <cell r="AU653">
            <v>0.92</v>
          </cell>
          <cell r="AV653">
            <v>20</v>
          </cell>
          <cell r="AY653" t="str">
            <v/>
          </cell>
          <cell r="AZ653">
            <v>0.25</v>
          </cell>
          <cell r="BA653">
            <v>0.25</v>
          </cell>
        </row>
        <row r="654">
          <cell r="A654" t="str">
            <v>DI.SE.R. SNC DI DIONISI FELICE E PARIDE</v>
          </cell>
          <cell r="B654" t="str">
            <v>BASCULANTI TRITONE - BUONO</v>
          </cell>
          <cell r="D654" t="str">
            <v>VIA FORNARO, 7</v>
          </cell>
          <cell r="E654" t="str">
            <v>02100</v>
          </cell>
          <cell r="F654" t="str">
            <v>VAZIA</v>
          </cell>
          <cell r="G654" t="str">
            <v>RI</v>
          </cell>
          <cell r="H654" t="str">
            <v>ITALIA</v>
          </cell>
          <cell r="J654" t="str">
            <v>00743990574</v>
          </cell>
          <cell r="K654" t="str">
            <v>SUBM70N</v>
          </cell>
          <cell r="M654" t="str">
            <v>UFFICIO ACQUISTI</v>
          </cell>
          <cell r="O654" t="str">
            <v>328 9854146 FELICE - 328 9854147 PARIDE</v>
          </cell>
          <cell r="P654" t="str">
            <v>diser1@libero.it</v>
          </cell>
          <cell r="R654" t="str">
            <v>BONIFICO BANCARIO, ALLA DATA DELLA NOSTRA CONFERMA D'ORDINE</v>
          </cell>
          <cell r="X654">
            <v>0.25</v>
          </cell>
          <cell r="Y654">
            <v>-0.04</v>
          </cell>
          <cell r="AB654">
            <v>0.25</v>
          </cell>
          <cell r="AC654">
            <v>0.25</v>
          </cell>
          <cell r="AD654">
            <v>0.25</v>
          </cell>
          <cell r="AE654">
            <v>0.25</v>
          </cell>
          <cell r="AF654">
            <v>0.25</v>
          </cell>
          <cell r="AG654">
            <v>0.25</v>
          </cell>
          <cell r="AH654">
            <v>0.25</v>
          </cell>
          <cell r="AI654">
            <v>0.25</v>
          </cell>
          <cell r="AJ654">
            <v>0.25</v>
          </cell>
          <cell r="AK654">
            <v>0.25</v>
          </cell>
          <cell r="AL654">
            <v>0.25</v>
          </cell>
          <cell r="AM654">
            <v>0.25</v>
          </cell>
          <cell r="AN654">
            <v>0.25</v>
          </cell>
          <cell r="AO654">
            <v>0.25</v>
          </cell>
          <cell r="AP654">
            <v>0.25</v>
          </cell>
          <cell r="AQ654">
            <v>0.25</v>
          </cell>
          <cell r="AR654">
            <v>0.25</v>
          </cell>
          <cell r="AS654">
            <v>0.25</v>
          </cell>
          <cell r="AT654">
            <v>-0.04</v>
          </cell>
          <cell r="AU654">
            <v>0.8</v>
          </cell>
          <cell r="AV654">
            <v>20</v>
          </cell>
          <cell r="AZ654">
            <v>0.25</v>
          </cell>
          <cell r="BA654">
            <v>0.25</v>
          </cell>
        </row>
        <row r="655">
          <cell r="A655" t="str">
            <v>DIDONATO &amp; PISAPIA</v>
          </cell>
          <cell r="B655" t="str">
            <v>PADRE ALFONSO</v>
          </cell>
          <cell r="D655" t="str">
            <v>TRAV.E. DE FILIPPIS, 5</v>
          </cell>
          <cell r="E655">
            <v>84013</v>
          </cell>
          <cell r="F655" t="str">
            <v>CAVA  DE'TIRRENI</v>
          </cell>
          <cell r="G655" t="str">
            <v>SA</v>
          </cell>
          <cell r="H655" t="str">
            <v>ITALIA</v>
          </cell>
          <cell r="J655" t="str">
            <v>01088300650</v>
          </cell>
          <cell r="M655" t="str">
            <v>UFFICIO ACQUISTI</v>
          </cell>
          <cell r="N655" t="str">
            <v>089 466394</v>
          </cell>
          <cell r="O655" t="str">
            <v>Aniello 320 8352718</v>
          </cell>
          <cell r="P655" t="str">
            <v>info@didonatoepisapia.it</v>
          </cell>
          <cell r="R655" t="str">
            <v>BONIFICO BANCARIO, ALLA DATA DELLA NOSTRA CONFERMA D'ORDINE</v>
          </cell>
          <cell r="X655">
            <v>0.25</v>
          </cell>
          <cell r="Y655">
            <v>-0.04</v>
          </cell>
          <cell r="AB655">
            <v>0.25</v>
          </cell>
          <cell r="AC655">
            <v>0.25</v>
          </cell>
          <cell r="AD655">
            <v>0.25</v>
          </cell>
          <cell r="AE655">
            <v>0.25</v>
          </cell>
          <cell r="AF655">
            <v>0.25</v>
          </cell>
          <cell r="AG655">
            <v>0.25</v>
          </cell>
          <cell r="AH655">
            <v>0.25</v>
          </cell>
          <cell r="AI655">
            <v>0.25</v>
          </cell>
          <cell r="AJ655">
            <v>0.25</v>
          </cell>
          <cell r="AK655">
            <v>0.25</v>
          </cell>
          <cell r="AL655">
            <v>0.25</v>
          </cell>
          <cell r="AM655">
            <v>0.25</v>
          </cell>
          <cell r="AN655">
            <v>0.25</v>
          </cell>
          <cell r="AO655">
            <v>0.25</v>
          </cell>
          <cell r="AP655">
            <v>0.25</v>
          </cell>
          <cell r="AQ655">
            <v>0.25</v>
          </cell>
          <cell r="AR655">
            <v>0.25</v>
          </cell>
          <cell r="AS655">
            <v>0.25</v>
          </cell>
          <cell r="AT655">
            <v>-0.04</v>
          </cell>
          <cell r="AU655">
            <v>0.92</v>
          </cell>
          <cell r="AV655">
            <v>20</v>
          </cell>
          <cell r="AZ655">
            <v>0.25</v>
          </cell>
          <cell r="BA655">
            <v>0.25</v>
          </cell>
        </row>
        <row r="656">
          <cell r="A656" t="str">
            <v>DIE KANTER &amp; SCHLOSSER METALLGESELLSCHAFT MBH</v>
          </cell>
          <cell r="D656" t="str">
            <v>NIEDERKIRCHER STR. 18</v>
          </cell>
          <cell r="E656" t="str">
            <v>54294</v>
          </cell>
          <cell r="F656" t="str">
            <v>TRIER</v>
          </cell>
          <cell r="H656" t="str">
            <v>GERMANIA</v>
          </cell>
          <cell r="J656" t="str">
            <v>DE 172314898</v>
          </cell>
          <cell r="K656" t="str">
            <v>XXXXXXX</v>
          </cell>
          <cell r="M656" t="str">
            <v>UFFICIO ACQUISTI</v>
          </cell>
          <cell r="N656" t="str">
            <v>+49 6518263418</v>
          </cell>
          <cell r="P656" t="str">
            <v>horst@die-kanter.de</v>
          </cell>
          <cell r="R656" t="str">
            <v>BANKÜBERWEISUNG, AM DATUM UNSERER AUFTRAGSBESTÄTIGUNG</v>
          </cell>
          <cell r="X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U656">
            <v>0.86</v>
          </cell>
          <cell r="AV656">
            <v>20</v>
          </cell>
          <cell r="AZ656">
            <v>0</v>
          </cell>
          <cell r="BA656">
            <v>0</v>
          </cell>
        </row>
        <row r="657">
          <cell r="A657" t="str">
            <v>DIEFFE</v>
          </cell>
          <cell r="D657" t="str">
            <v>VIA DEI PRATONIERI, 6</v>
          </cell>
          <cell r="E657">
            <v>42124</v>
          </cell>
          <cell r="F657" t="str">
            <v>REGGIO EMILIA</v>
          </cell>
          <cell r="G657" t="str">
            <v>RE</v>
          </cell>
          <cell r="H657" t="str">
            <v>ITALIA</v>
          </cell>
          <cell r="M657" t="str">
            <v>UFFICIO ACQUISTI</v>
          </cell>
          <cell r="N657" t="str">
            <v>0522 93017</v>
          </cell>
          <cell r="O657" t="str">
            <v>Stefano 348 7403820</v>
          </cell>
          <cell r="P657" t="str">
            <v>info@dieffesrl.com</v>
          </cell>
          <cell r="R657" t="str">
            <v>BONIFICO BANCARIO, ALLA DATA DELLA NOSTRA CONFERMA D'ORDINE</v>
          </cell>
          <cell r="X657">
            <v>0.25</v>
          </cell>
          <cell r="Y657">
            <v>-0.04</v>
          </cell>
          <cell r="AB657">
            <v>0.25</v>
          </cell>
          <cell r="AC657">
            <v>0.25</v>
          </cell>
          <cell r="AD657">
            <v>0.25</v>
          </cell>
          <cell r="AE657">
            <v>0.25</v>
          </cell>
          <cell r="AF657">
            <v>0.25</v>
          </cell>
          <cell r="AG657">
            <v>0.25</v>
          </cell>
          <cell r="AH657">
            <v>0.25</v>
          </cell>
          <cell r="AI657">
            <v>0.25</v>
          </cell>
          <cell r="AJ657">
            <v>0.25</v>
          </cell>
          <cell r="AK657">
            <v>0.25</v>
          </cell>
          <cell r="AL657">
            <v>0.25</v>
          </cell>
          <cell r="AM657">
            <v>0.25</v>
          </cell>
          <cell r="AN657">
            <v>0.25</v>
          </cell>
          <cell r="AO657">
            <v>0.25</v>
          </cell>
          <cell r="AP657">
            <v>0.25</v>
          </cell>
          <cell r="AQ657">
            <v>0.25</v>
          </cell>
          <cell r="AR657">
            <v>0.25</v>
          </cell>
          <cell r="AS657">
            <v>0.25</v>
          </cell>
          <cell r="AT657">
            <v>-0.04</v>
          </cell>
          <cell r="AU657">
            <v>0.92</v>
          </cell>
          <cell r="AV657">
            <v>20</v>
          </cell>
          <cell r="AZ657">
            <v>0.25</v>
          </cell>
          <cell r="BA657">
            <v>0.25</v>
          </cell>
        </row>
        <row r="658">
          <cell r="A658" t="str">
            <v>DIEFFE SERRAMENTI</v>
          </cell>
          <cell r="D658" t="str">
            <v>VIA NETTUNESE KM 37,200</v>
          </cell>
          <cell r="F658" t="str">
            <v xml:space="preserve">ANZIO </v>
          </cell>
          <cell r="G658" t="str">
            <v>RM</v>
          </cell>
          <cell r="H658" t="str">
            <v>ITALIA</v>
          </cell>
          <cell r="M658" t="str">
            <v>UFFICIO ACQUISTI</v>
          </cell>
          <cell r="N658" t="str">
            <v>06 9831402</v>
          </cell>
          <cell r="O658" t="str">
            <v>388 8795497                331 5025868</v>
          </cell>
          <cell r="P658" t="str">
            <v>dieffeserramenti2016@gmail.com</v>
          </cell>
          <cell r="R658" t="str">
            <v>BONIFICO BANCARIO, ALLA DATA DELLA NOSTRA CONFERMA D'ORDINE</v>
          </cell>
          <cell r="X658">
            <v>0.25</v>
          </cell>
          <cell r="Y658">
            <v>-0.04</v>
          </cell>
          <cell r="AB658">
            <v>0.25</v>
          </cell>
          <cell r="AC658">
            <v>0.25</v>
          </cell>
          <cell r="AD658">
            <v>0.25</v>
          </cell>
          <cell r="AE658">
            <v>0.25</v>
          </cell>
          <cell r="AF658">
            <v>0.25</v>
          </cell>
          <cell r="AG658">
            <v>0.25</v>
          </cell>
          <cell r="AH658">
            <v>0.25</v>
          </cell>
          <cell r="AI658">
            <v>0.25</v>
          </cell>
          <cell r="AJ658">
            <v>0.25</v>
          </cell>
          <cell r="AK658">
            <v>0.25</v>
          </cell>
          <cell r="AL658">
            <v>0.25</v>
          </cell>
          <cell r="AM658">
            <v>0.25</v>
          </cell>
          <cell r="AN658">
            <v>0.25</v>
          </cell>
          <cell r="AO658">
            <v>0.25</v>
          </cell>
          <cell r="AP658">
            <v>0.25</v>
          </cell>
          <cell r="AQ658">
            <v>0.25</v>
          </cell>
          <cell r="AR658">
            <v>0.25</v>
          </cell>
          <cell r="AS658">
            <v>0.25</v>
          </cell>
          <cell r="AT658">
            <v>-0.04</v>
          </cell>
          <cell r="AU658">
            <v>0.92</v>
          </cell>
          <cell r="AV658">
            <v>20</v>
          </cell>
          <cell r="AZ658">
            <v>0.25</v>
          </cell>
          <cell r="BA658">
            <v>0.25</v>
          </cell>
        </row>
        <row r="659">
          <cell r="A659" t="str">
            <v>DIEMME SERRAMENTI</v>
          </cell>
          <cell r="D659" t="str">
            <v>VIA MARTIRI DELLA LIBERTA', 293</v>
          </cell>
          <cell r="E659">
            <v>13836</v>
          </cell>
          <cell r="F659" t="str">
            <v>COSSATO</v>
          </cell>
          <cell r="G659" t="str">
            <v>BI</v>
          </cell>
          <cell r="H659" t="str">
            <v>ITALIA</v>
          </cell>
          <cell r="I659" t="str">
            <v>DGSMRC61M23L750U</v>
          </cell>
          <cell r="J659" t="str">
            <v>01427650021</v>
          </cell>
          <cell r="M659" t="str">
            <v>UFFICIO ACQUISTI</v>
          </cell>
          <cell r="N659" t="str">
            <v>015 926628</v>
          </cell>
          <cell r="O659" t="str">
            <v>335 6962233</v>
          </cell>
          <cell r="P659" t="str">
            <v>diemmeserramenti@virgilio.it</v>
          </cell>
          <cell r="R659" t="str">
            <v>BONIFICO BANCARIO, ALLA DATA DELLA NOSTRA CONFERMA D'ORDINE</v>
          </cell>
          <cell r="X659">
            <v>0.25</v>
          </cell>
          <cell r="Y659">
            <v>-0.04</v>
          </cell>
          <cell r="AB659">
            <v>0.25</v>
          </cell>
          <cell r="AC659">
            <v>0.25</v>
          </cell>
          <cell r="AD659">
            <v>0.25</v>
          </cell>
          <cell r="AE659">
            <v>0.25</v>
          </cell>
          <cell r="AF659">
            <v>0.25</v>
          </cell>
          <cell r="AG659">
            <v>0.25</v>
          </cell>
          <cell r="AH659">
            <v>0.25</v>
          </cell>
          <cell r="AI659">
            <v>0.25</v>
          </cell>
          <cell r="AJ659">
            <v>0.25</v>
          </cell>
          <cell r="AK659">
            <v>0.25</v>
          </cell>
          <cell r="AL659">
            <v>0.25</v>
          </cell>
          <cell r="AM659">
            <v>0.25</v>
          </cell>
          <cell r="AN659">
            <v>0.25</v>
          </cell>
          <cell r="AO659">
            <v>0.25</v>
          </cell>
          <cell r="AP659">
            <v>0.25</v>
          </cell>
          <cell r="AQ659">
            <v>0.25</v>
          </cell>
          <cell r="AR659">
            <v>0.25</v>
          </cell>
          <cell r="AS659">
            <v>0.25</v>
          </cell>
          <cell r="AT659">
            <v>-0.04</v>
          </cell>
          <cell r="AU659">
            <v>0.92</v>
          </cell>
          <cell r="AV659">
            <v>20</v>
          </cell>
          <cell r="AY659" t="str">
            <v/>
          </cell>
          <cell r="AZ659">
            <v>0.25</v>
          </cell>
          <cell r="BA659">
            <v>0.25</v>
          </cell>
        </row>
        <row r="660">
          <cell r="A660" t="str">
            <v xml:space="preserve">DIERRE </v>
          </cell>
          <cell r="B660" t="str">
            <v xml:space="preserve"> PERUGO BASCULANTI CORNATE D'ADDA</v>
          </cell>
          <cell r="D660" t="str">
            <v>STRADA STATALE PER CHIERI, 66 15</v>
          </cell>
          <cell r="E660">
            <v>14019</v>
          </cell>
          <cell r="F660" t="str">
            <v>VILLANOVA D'ASTI</v>
          </cell>
          <cell r="G660" t="str">
            <v>AT</v>
          </cell>
          <cell r="H660" t="str">
            <v>ITALIA</v>
          </cell>
          <cell r="M660" t="str">
            <v>UFFICIO ACQUISTI</v>
          </cell>
          <cell r="N660" t="str">
            <v>0141 949411</v>
          </cell>
          <cell r="P660" t="str">
            <v>info@dierre.it</v>
          </cell>
          <cell r="R660" t="str">
            <v>BONIFICO BANCARIO, ALLA DATA DELLA NOSTRA CONFERMA D'ORDINE</v>
          </cell>
          <cell r="X660">
            <v>0.25</v>
          </cell>
          <cell r="Y660">
            <v>-0.04</v>
          </cell>
          <cell r="AB660">
            <v>0.25</v>
          </cell>
          <cell r="AC660">
            <v>0.25</v>
          </cell>
          <cell r="AD660">
            <v>0.25</v>
          </cell>
          <cell r="AE660">
            <v>0.25</v>
          </cell>
          <cell r="AF660">
            <v>0.25</v>
          </cell>
          <cell r="AG660">
            <v>0.25</v>
          </cell>
          <cell r="AH660">
            <v>0.25</v>
          </cell>
          <cell r="AI660">
            <v>0.25</v>
          </cell>
          <cell r="AJ660">
            <v>0.25</v>
          </cell>
          <cell r="AK660">
            <v>0.25</v>
          </cell>
          <cell r="AL660">
            <v>0.25</v>
          </cell>
          <cell r="AM660">
            <v>0.25</v>
          </cell>
          <cell r="AN660">
            <v>0.25</v>
          </cell>
          <cell r="AO660">
            <v>0.25</v>
          </cell>
          <cell r="AP660">
            <v>0.25</v>
          </cell>
          <cell r="AQ660">
            <v>0.25</v>
          </cell>
          <cell r="AR660">
            <v>0.25</v>
          </cell>
          <cell r="AS660">
            <v>0.25</v>
          </cell>
          <cell r="AT660">
            <v>-0.04</v>
          </cell>
          <cell r="AU660">
            <v>0.92</v>
          </cell>
          <cell r="AV660">
            <v>20</v>
          </cell>
          <cell r="AY660" t="str">
            <v/>
          </cell>
          <cell r="AZ660">
            <v>0.25</v>
          </cell>
          <cell r="BA660">
            <v>0.25</v>
          </cell>
        </row>
        <row r="661">
          <cell r="A661" t="str">
            <v>DIGIEMME  SRL</v>
          </cell>
          <cell r="D661" t="str">
            <v>VIA MICHELI, 10</v>
          </cell>
          <cell r="E661">
            <v>43056</v>
          </cell>
          <cell r="F661" t="str">
            <v>SAN POLO DI TORRILE</v>
          </cell>
          <cell r="G661" t="str">
            <v>PR</v>
          </cell>
          <cell r="H661" t="str">
            <v>ITALIA</v>
          </cell>
          <cell r="J661" t="str">
            <v>00517290342</v>
          </cell>
          <cell r="M661" t="str">
            <v>UFFICIO ACQUISTI</v>
          </cell>
          <cell r="N661" t="str">
            <v>0522 552370</v>
          </cell>
          <cell r="P661" t="str">
            <v>info@digiemmesicurezza.it</v>
          </cell>
          <cell r="R661" t="str">
            <v>BONIFICO BANCARIO, ALLA DATA DELLA NOSTRA CONFERMA D'ORDINE</v>
          </cell>
          <cell r="X661">
            <v>0.25</v>
          </cell>
          <cell r="Y661">
            <v>-0.04</v>
          </cell>
          <cell r="AB661">
            <v>0.25</v>
          </cell>
          <cell r="AC661">
            <v>0.25</v>
          </cell>
          <cell r="AD661">
            <v>0.25</v>
          </cell>
          <cell r="AE661">
            <v>0.25</v>
          </cell>
          <cell r="AF661">
            <v>0.25</v>
          </cell>
          <cell r="AG661">
            <v>0.25</v>
          </cell>
          <cell r="AH661">
            <v>0.25</v>
          </cell>
          <cell r="AI661">
            <v>0.25</v>
          </cell>
          <cell r="AJ661">
            <v>0.25</v>
          </cell>
          <cell r="AK661">
            <v>0.25</v>
          </cell>
          <cell r="AL661">
            <v>0.25</v>
          </cell>
          <cell r="AM661">
            <v>0.25</v>
          </cell>
          <cell r="AN661">
            <v>0.25</v>
          </cell>
          <cell r="AO661">
            <v>0.25</v>
          </cell>
          <cell r="AP661">
            <v>0.25</v>
          </cell>
          <cell r="AQ661">
            <v>0.25</v>
          </cell>
          <cell r="AR661">
            <v>0.25</v>
          </cell>
          <cell r="AS661">
            <v>0.25</v>
          </cell>
          <cell r="AT661">
            <v>-0.04</v>
          </cell>
          <cell r="AU661">
            <v>0.92</v>
          </cell>
          <cell r="AV661">
            <v>20</v>
          </cell>
          <cell r="AZ661">
            <v>0.25</v>
          </cell>
          <cell r="BA661">
            <v>0.25</v>
          </cell>
        </row>
        <row r="662">
          <cell r="A662" t="str">
            <v>DIMASO INFISSI</v>
          </cell>
          <cell r="D662" t="str">
            <v>VIA PASSO BUOLE 98</v>
          </cell>
          <cell r="F662" t="str">
            <v xml:space="preserve">FIUMICINO </v>
          </cell>
          <cell r="G662" t="str">
            <v>RM</v>
          </cell>
          <cell r="H662" t="str">
            <v>ITALIA</v>
          </cell>
          <cell r="M662" t="str">
            <v>UFFICIO ACQUISTI</v>
          </cell>
          <cell r="N662" t="str">
            <v>06 6520034</v>
          </cell>
          <cell r="R662" t="str">
            <v>BONIFICO BANCARIO, ALLA DATA DELLA NOSTRA CONFERMA D'ORDINE</v>
          </cell>
          <cell r="X662">
            <v>0.25</v>
          </cell>
          <cell r="Y662">
            <v>-0.04</v>
          </cell>
          <cell r="AB662">
            <v>0.25</v>
          </cell>
          <cell r="AC662">
            <v>0.25</v>
          </cell>
          <cell r="AD662">
            <v>0.25</v>
          </cell>
          <cell r="AE662">
            <v>0.25</v>
          </cell>
          <cell r="AF662">
            <v>0.25</v>
          </cell>
          <cell r="AG662">
            <v>0.25</v>
          </cell>
          <cell r="AH662">
            <v>0.25</v>
          </cell>
          <cell r="AI662">
            <v>0.25</v>
          </cell>
          <cell r="AJ662">
            <v>0.25</v>
          </cell>
          <cell r="AK662">
            <v>0.25</v>
          </cell>
          <cell r="AL662">
            <v>0.25</v>
          </cell>
          <cell r="AM662">
            <v>0.25</v>
          </cell>
          <cell r="AN662">
            <v>0.25</v>
          </cell>
          <cell r="AO662">
            <v>0.25</v>
          </cell>
          <cell r="AP662">
            <v>0.25</v>
          </cell>
          <cell r="AQ662">
            <v>0.25</v>
          </cell>
          <cell r="AR662">
            <v>0.25</v>
          </cell>
          <cell r="AS662">
            <v>0.25</v>
          </cell>
          <cell r="AT662">
            <v>-0.04</v>
          </cell>
          <cell r="AU662">
            <v>0.92</v>
          </cell>
          <cell r="AV662">
            <v>20</v>
          </cell>
          <cell r="AY662" t="str">
            <v/>
          </cell>
          <cell r="AZ662">
            <v>0.25</v>
          </cell>
          <cell r="BA662">
            <v>0.25</v>
          </cell>
        </row>
        <row r="663">
          <cell r="A663" t="str">
            <v>DIMASS SRL</v>
          </cell>
          <cell r="D663" t="str">
            <v>VIA MAESTRI DEL LAVORO, 13</v>
          </cell>
          <cell r="E663" t="str">
            <v>02100</v>
          </cell>
          <cell r="F663" t="str">
            <v>RIETI</v>
          </cell>
          <cell r="G663" t="str">
            <v>RI</v>
          </cell>
          <cell r="H663" t="str">
            <v>ITALIA</v>
          </cell>
          <cell r="M663" t="str">
            <v>UFFICIO ACQUISTI</v>
          </cell>
          <cell r="N663" t="str">
            <v>0746 221337</v>
          </cell>
          <cell r="P663" t="str">
            <v>info@dimassgroup.it</v>
          </cell>
          <cell r="R663" t="str">
            <v>BONIFICO BANCARIO, ALLA DATA DELLA NOSTRA CONFERMA D'ORDINE</v>
          </cell>
          <cell r="Y663">
            <v>-0.04</v>
          </cell>
          <cell r="AT663">
            <v>-0.04</v>
          </cell>
          <cell r="AV663">
            <v>20</v>
          </cell>
          <cell r="AZ663">
            <v>0</v>
          </cell>
          <cell r="BA663">
            <v>0</v>
          </cell>
        </row>
        <row r="664">
          <cell r="A664" t="str">
            <v>DIMENSIONE CASA</v>
          </cell>
          <cell r="D664" t="str">
            <v>VIA ROMA 46</v>
          </cell>
          <cell r="E664" t="str">
            <v>54033</v>
          </cell>
          <cell r="F664" t="str">
            <v>CARRARA</v>
          </cell>
          <cell r="G664" t="str">
            <v>MS</v>
          </cell>
          <cell r="H664" t="str">
            <v>ITALIA</v>
          </cell>
          <cell r="M664" t="str">
            <v>UFFICIO ACQUISTI</v>
          </cell>
          <cell r="N664" t="str">
            <v>0585 775226</v>
          </cell>
          <cell r="P664" t="str">
            <v>info@dimensionecasaonline.com</v>
          </cell>
          <cell r="R664" t="str">
            <v>BONIFICO BANCARIO, ALLA DATA DELLA NOSTRA CONFERMA D'ORDINE</v>
          </cell>
          <cell r="X664">
            <v>0.25</v>
          </cell>
          <cell r="Y664">
            <v>-0.04</v>
          </cell>
          <cell r="AB664">
            <v>0.25</v>
          </cell>
          <cell r="AC664">
            <v>0.25</v>
          </cell>
          <cell r="AD664">
            <v>0.25</v>
          </cell>
          <cell r="AE664">
            <v>0.25</v>
          </cell>
          <cell r="AF664">
            <v>0.25</v>
          </cell>
          <cell r="AG664">
            <v>0.25</v>
          </cell>
          <cell r="AH664">
            <v>0.25</v>
          </cell>
          <cell r="AI664">
            <v>0.25</v>
          </cell>
          <cell r="AJ664">
            <v>0.25</v>
          </cell>
          <cell r="AK664">
            <v>0.25</v>
          </cell>
          <cell r="AL664">
            <v>0.25</v>
          </cell>
          <cell r="AM664">
            <v>0.25</v>
          </cell>
          <cell r="AN664">
            <v>0.25</v>
          </cell>
          <cell r="AO664">
            <v>0.25</v>
          </cell>
          <cell r="AP664">
            <v>0.25</v>
          </cell>
          <cell r="AQ664">
            <v>0.25</v>
          </cell>
          <cell r="AR664">
            <v>0.25</v>
          </cell>
          <cell r="AS664">
            <v>0.25</v>
          </cell>
          <cell r="AT664">
            <v>-0.04</v>
          </cell>
          <cell r="AU664">
            <v>0.92</v>
          </cell>
          <cell r="AV664">
            <v>20</v>
          </cell>
          <cell r="AY664" t="str">
            <v/>
          </cell>
          <cell r="AZ664">
            <v>0.25</v>
          </cell>
          <cell r="BA664">
            <v>0.25</v>
          </cell>
        </row>
        <row r="665">
          <cell r="A665" t="str">
            <v>DIMENSIONI INFISSI SNC DI DEFENDI E ALLIEVI</v>
          </cell>
          <cell r="D665" t="str">
            <v>VIA B RIGNANO, 39</v>
          </cell>
          <cell r="E665" t="str">
            <v>24047</v>
          </cell>
          <cell r="F665" t="str">
            <v>TREVIGLIO</v>
          </cell>
          <cell r="G665" t="str">
            <v>BG</v>
          </cell>
          <cell r="H665" t="str">
            <v>ITALIA</v>
          </cell>
          <cell r="J665" t="str">
            <v>02343010167</v>
          </cell>
          <cell r="M665" t="str">
            <v>UFFICIO ACQUISTI</v>
          </cell>
          <cell r="N665" t="str">
            <v>0363 303956</v>
          </cell>
          <cell r="P665" t="str">
            <v>info@dimensioniinfissi.it</v>
          </cell>
          <cell r="R665" t="str">
            <v>BONIFICO BANCARIO, ALLA DATA DELLA NOSTRA CONFERMA D'ORDINE</v>
          </cell>
          <cell r="X665">
            <v>0.2</v>
          </cell>
          <cell r="Y665">
            <v>-0.04</v>
          </cell>
          <cell r="AB665">
            <v>0.2</v>
          </cell>
          <cell r="AC665">
            <v>0.2</v>
          </cell>
          <cell r="AD665">
            <v>0.2</v>
          </cell>
          <cell r="AE665">
            <v>0.2</v>
          </cell>
          <cell r="AF665">
            <v>0.2</v>
          </cell>
          <cell r="AG665">
            <v>0.2</v>
          </cell>
          <cell r="AH665">
            <v>0.2</v>
          </cell>
          <cell r="AI665">
            <v>0.2</v>
          </cell>
          <cell r="AJ665">
            <v>0.2</v>
          </cell>
          <cell r="AK665">
            <v>0.2</v>
          </cell>
          <cell r="AL665">
            <v>0.2</v>
          </cell>
          <cell r="AM665">
            <v>0.2</v>
          </cell>
          <cell r="AN665">
            <v>0.2</v>
          </cell>
          <cell r="AO665">
            <v>0.2</v>
          </cell>
          <cell r="AP665">
            <v>0.2</v>
          </cell>
          <cell r="AQ665">
            <v>0.2</v>
          </cell>
          <cell r="AR665">
            <v>0.2</v>
          </cell>
          <cell r="AS665">
            <v>0.2</v>
          </cell>
          <cell r="AT665">
            <v>-0.04</v>
          </cell>
          <cell r="AU665">
            <v>0.92</v>
          </cell>
          <cell r="AV665">
            <v>20</v>
          </cell>
          <cell r="AZ665">
            <v>0.2</v>
          </cell>
          <cell r="BA665">
            <v>0.2</v>
          </cell>
        </row>
        <row r="666">
          <cell r="A666" t="str">
            <v>DINO CAIOLA &amp;C.SRL</v>
          </cell>
          <cell r="D666" t="str">
            <v>VIALE RIMEMBRANZE, 26</v>
          </cell>
          <cell r="E666">
            <v>21040</v>
          </cell>
          <cell r="F666" t="str">
            <v>JERAGO CON ORAGO</v>
          </cell>
          <cell r="G666" t="str">
            <v>VA</v>
          </cell>
          <cell r="H666" t="str">
            <v>ITALIA</v>
          </cell>
          <cell r="J666" t="str">
            <v>02136460124</v>
          </cell>
          <cell r="M666" t="str">
            <v>UFFICIO ACQUISTI</v>
          </cell>
          <cell r="N666" t="str">
            <v>0331 217758</v>
          </cell>
          <cell r="P666" t="str">
            <v>info@dinocaiola.it</v>
          </cell>
          <cell r="R666" t="str">
            <v>BONIFICO BANCARIO, ALLA DATA DELLA NOSTRA CONFERMA D'ORDINE</v>
          </cell>
          <cell r="X666">
            <v>0.25</v>
          </cell>
          <cell r="Y666">
            <v>-0.04</v>
          </cell>
          <cell r="AB666">
            <v>0.25</v>
          </cell>
          <cell r="AC666">
            <v>0.25</v>
          </cell>
          <cell r="AD666">
            <v>0.25</v>
          </cell>
          <cell r="AE666">
            <v>0.25</v>
          </cell>
          <cell r="AF666">
            <v>0.25</v>
          </cell>
          <cell r="AG666">
            <v>0.25</v>
          </cell>
          <cell r="AH666">
            <v>0.25</v>
          </cell>
          <cell r="AI666">
            <v>0.25</v>
          </cell>
          <cell r="AJ666">
            <v>0.25</v>
          </cell>
          <cell r="AK666">
            <v>0.25</v>
          </cell>
          <cell r="AL666">
            <v>0.25</v>
          </cell>
          <cell r="AM666">
            <v>0.25</v>
          </cell>
          <cell r="AN666">
            <v>0.25</v>
          </cell>
          <cell r="AO666">
            <v>0.25</v>
          </cell>
          <cell r="AP666">
            <v>0.25</v>
          </cell>
          <cell r="AQ666">
            <v>0.25</v>
          </cell>
          <cell r="AR666">
            <v>0.25</v>
          </cell>
          <cell r="AS666">
            <v>0.25</v>
          </cell>
          <cell r="AT666">
            <v>-0.04</v>
          </cell>
          <cell r="AU666">
            <v>0.92</v>
          </cell>
          <cell r="AV666">
            <v>20</v>
          </cell>
          <cell r="AY666" t="str">
            <v/>
          </cell>
          <cell r="AZ666">
            <v>0.25</v>
          </cell>
          <cell r="BA666">
            <v>0.25</v>
          </cell>
        </row>
        <row r="667">
          <cell r="A667" t="str">
            <v>DINO MELI INFISSI IN ALLUMINIO</v>
          </cell>
          <cell r="D667" t="str">
            <v>VIA MASCAGNI, 2</v>
          </cell>
          <cell r="E667" t="str">
            <v>09072</v>
          </cell>
          <cell r="F667" t="str">
            <v>CABRAS</v>
          </cell>
          <cell r="G667" t="str">
            <v>OR</v>
          </cell>
          <cell r="H667" t="str">
            <v>ITALIA</v>
          </cell>
          <cell r="J667" t="str">
            <v>00139000954</v>
          </cell>
          <cell r="M667" t="str">
            <v>UFFICIO ACQUISTI</v>
          </cell>
          <cell r="O667" t="str">
            <v>349 1021019</v>
          </cell>
          <cell r="R667" t="str">
            <v>BONIFICO BANCARIO, ALLA DATA DELLA NOSTRA CONFERMA D'ORDINE</v>
          </cell>
          <cell r="X667">
            <v>0.2</v>
          </cell>
          <cell r="Y667">
            <v>-0.04</v>
          </cell>
          <cell r="AB667">
            <v>0.2</v>
          </cell>
          <cell r="AC667">
            <v>0.2</v>
          </cell>
          <cell r="AD667">
            <v>0.2</v>
          </cell>
          <cell r="AE667">
            <v>0.2</v>
          </cell>
          <cell r="AF667">
            <v>0.2</v>
          </cell>
          <cell r="AG667">
            <v>0.2</v>
          </cell>
          <cell r="AH667">
            <v>0.2</v>
          </cell>
          <cell r="AI667">
            <v>0.2</v>
          </cell>
          <cell r="AJ667">
            <v>0.2</v>
          </cell>
          <cell r="AK667">
            <v>0.2</v>
          </cell>
          <cell r="AL667">
            <v>0.2</v>
          </cell>
          <cell r="AM667">
            <v>0.2</v>
          </cell>
          <cell r="AN667">
            <v>0.2</v>
          </cell>
          <cell r="AO667">
            <v>0.2</v>
          </cell>
          <cell r="AP667">
            <v>0.2</v>
          </cell>
          <cell r="AQ667">
            <v>0.2</v>
          </cell>
          <cell r="AR667">
            <v>0.2</v>
          </cell>
          <cell r="AS667">
            <v>0.2</v>
          </cell>
          <cell r="AT667">
            <v>-0.04</v>
          </cell>
          <cell r="AU667">
            <v>0.92</v>
          </cell>
          <cell r="AV667">
            <v>20</v>
          </cell>
          <cell r="AZ667">
            <v>0.2</v>
          </cell>
          <cell r="BA667">
            <v>0.2</v>
          </cell>
        </row>
        <row r="668">
          <cell r="A668" t="str">
            <v>DIPI SERRAMENTI DI FRANCESCO DI PILATO</v>
          </cell>
          <cell r="B668" t="str">
            <v>NO SCONTI</v>
          </cell>
          <cell r="D668" t="str">
            <v>VIA RUVO 28</v>
          </cell>
          <cell r="F668" t="str">
            <v xml:space="preserve">BISCEGLIE </v>
          </cell>
          <cell r="G668" t="str">
            <v>BA</v>
          </cell>
          <cell r="H668" t="str">
            <v>ITALIA</v>
          </cell>
          <cell r="J668" t="str">
            <v>04995390723</v>
          </cell>
          <cell r="M668" t="str">
            <v>UFFICIO ACQUISTI</v>
          </cell>
          <cell r="N668" t="str">
            <v>080 3929168</v>
          </cell>
          <cell r="O668" t="str">
            <v>330 435104</v>
          </cell>
          <cell r="P668" t="str">
            <v>info@dipiserramenti.com</v>
          </cell>
          <cell r="R668" t="str">
            <v>BONIFICO BANCARIO, ALLA DATA DELLA NOSTRA CONFERMA D'ORDINE</v>
          </cell>
          <cell r="X668">
            <v>0.25</v>
          </cell>
          <cell r="Y668">
            <v>-0.04</v>
          </cell>
          <cell r="AB668">
            <v>0.25</v>
          </cell>
          <cell r="AC668">
            <v>0.25</v>
          </cell>
          <cell r="AD668">
            <v>0.25</v>
          </cell>
          <cell r="AE668">
            <v>0.25</v>
          </cell>
          <cell r="AF668">
            <v>0.25</v>
          </cell>
          <cell r="AG668">
            <v>0.25</v>
          </cell>
          <cell r="AH668">
            <v>0.25</v>
          </cell>
          <cell r="AI668">
            <v>0.25</v>
          </cell>
          <cell r="AJ668">
            <v>0.25</v>
          </cell>
          <cell r="AK668">
            <v>0.25</v>
          </cell>
          <cell r="AL668">
            <v>0.25</v>
          </cell>
          <cell r="AM668">
            <v>0.25</v>
          </cell>
          <cell r="AN668">
            <v>0.25</v>
          </cell>
          <cell r="AO668">
            <v>0.25</v>
          </cell>
          <cell r="AP668">
            <v>0.25</v>
          </cell>
          <cell r="AQ668">
            <v>0.25</v>
          </cell>
          <cell r="AR668">
            <v>0.25</v>
          </cell>
          <cell r="AS668">
            <v>0.25</v>
          </cell>
          <cell r="AT668">
            <v>-0.04</v>
          </cell>
          <cell r="AU668">
            <v>0.92</v>
          </cell>
          <cell r="AV668">
            <v>20</v>
          </cell>
          <cell r="AY668" t="str">
            <v/>
          </cell>
          <cell r="AZ668">
            <v>0.25</v>
          </cell>
          <cell r="BA668">
            <v>0.25</v>
          </cell>
        </row>
        <row r="669">
          <cell r="A669" t="str">
            <v>DIRECTSORE SRL</v>
          </cell>
          <cell r="B669" t="str">
            <v>NO SCONTO</v>
          </cell>
          <cell r="D669" t="str">
            <v>VIA C. PERCOTO, 5 2</v>
          </cell>
          <cell r="E669" t="str">
            <v>33100</v>
          </cell>
          <cell r="F669" t="str">
            <v>UDINE</v>
          </cell>
          <cell r="G669" t="str">
            <v>UD</v>
          </cell>
          <cell r="H669" t="str">
            <v>ITALIA</v>
          </cell>
          <cell r="J669" t="str">
            <v>02583580309</v>
          </cell>
          <cell r="M669" t="str">
            <v>UFFICIO ACQUISTI</v>
          </cell>
          <cell r="N669" t="str">
            <v>0432 808827</v>
          </cell>
          <cell r="P669" t="str">
            <v>info@directstoresrl.it</v>
          </cell>
          <cell r="R669" t="str">
            <v>BONIFICO BANCARIO, ALLA DATA DELLA NOSTRA CONFERMA D'ORDINE</v>
          </cell>
          <cell r="X669">
            <v>0.25</v>
          </cell>
          <cell r="Y669">
            <v>-0.04</v>
          </cell>
          <cell r="AB669">
            <v>0.25</v>
          </cell>
          <cell r="AC669">
            <v>0.25</v>
          </cell>
          <cell r="AD669">
            <v>0.25</v>
          </cell>
          <cell r="AE669">
            <v>0.25</v>
          </cell>
          <cell r="AF669">
            <v>0.25</v>
          </cell>
          <cell r="AG669">
            <v>0.25</v>
          </cell>
          <cell r="AH669">
            <v>0.25</v>
          </cell>
          <cell r="AI669">
            <v>0.25</v>
          </cell>
          <cell r="AJ669">
            <v>0.25</v>
          </cell>
          <cell r="AK669">
            <v>0.25</v>
          </cell>
          <cell r="AL669">
            <v>0.25</v>
          </cell>
          <cell r="AM669">
            <v>0.25</v>
          </cell>
          <cell r="AN669">
            <v>0.25</v>
          </cell>
          <cell r="AO669">
            <v>0.25</v>
          </cell>
          <cell r="AP669">
            <v>0.25</v>
          </cell>
          <cell r="AQ669">
            <v>0.25</v>
          </cell>
          <cell r="AR669">
            <v>0.25</v>
          </cell>
          <cell r="AS669">
            <v>0.25</v>
          </cell>
          <cell r="AT669">
            <v>-0.04</v>
          </cell>
          <cell r="AU669">
            <v>0.92</v>
          </cell>
          <cell r="AV669">
            <v>20</v>
          </cell>
          <cell r="AY669" t="str">
            <v/>
          </cell>
          <cell r="AZ669">
            <v>0.25</v>
          </cell>
          <cell r="BA669">
            <v>0.25</v>
          </cell>
        </row>
        <row r="670">
          <cell r="A670" t="str">
            <v>DISCONZI RAFFAELLO</v>
          </cell>
          <cell r="D670" t="str">
            <v>VIALE DEL LAVORO, 37</v>
          </cell>
          <cell r="E670">
            <v>37064</v>
          </cell>
          <cell r="F670" t="str">
            <v>POVEGLIANO V.SE</v>
          </cell>
          <cell r="G670" t="str">
            <v>TV</v>
          </cell>
          <cell r="H670" t="str">
            <v>ITALIA</v>
          </cell>
          <cell r="I670" t="str">
            <v>DSCRFL56A01L869S</v>
          </cell>
          <cell r="J670" t="str">
            <v>02305060234</v>
          </cell>
          <cell r="M670" t="str">
            <v>UFFICIO ACQUISTI</v>
          </cell>
          <cell r="N670" t="str">
            <v>045 8941070</v>
          </cell>
          <cell r="O670" t="str">
            <v>340 3819134 Emanuele</v>
          </cell>
          <cell r="P670" t="str">
            <v>raffaellodis@libero.it</v>
          </cell>
          <cell r="R670" t="str">
            <v>BONIFICO BANCARIO, ALLA DATA DELLA NOSTRA CONFERMA D'ORDINE</v>
          </cell>
          <cell r="X670">
            <v>0.25</v>
          </cell>
          <cell r="Y670">
            <v>-0.04</v>
          </cell>
          <cell r="AB670">
            <v>0.25</v>
          </cell>
          <cell r="AC670">
            <v>0.25</v>
          </cell>
          <cell r="AD670">
            <v>0.25</v>
          </cell>
          <cell r="AE670">
            <v>0.25</v>
          </cell>
          <cell r="AF670">
            <v>0.25</v>
          </cell>
          <cell r="AG670">
            <v>0.25</v>
          </cell>
          <cell r="AH670">
            <v>0.25</v>
          </cell>
          <cell r="AI670">
            <v>0.25</v>
          </cell>
          <cell r="AJ670">
            <v>0.25</v>
          </cell>
          <cell r="AK670">
            <v>0.25</v>
          </cell>
          <cell r="AL670">
            <v>0.25</v>
          </cell>
          <cell r="AM670">
            <v>0.25</v>
          </cell>
          <cell r="AN670">
            <v>0.25</v>
          </cell>
          <cell r="AO670">
            <v>0.25</v>
          </cell>
          <cell r="AP670">
            <v>0.25</v>
          </cell>
          <cell r="AQ670">
            <v>0.25</v>
          </cell>
          <cell r="AR670">
            <v>0.25</v>
          </cell>
          <cell r="AS670">
            <v>0.25</v>
          </cell>
          <cell r="AT670">
            <v>-0.04</v>
          </cell>
          <cell r="AU670">
            <v>0.92</v>
          </cell>
          <cell r="AV670">
            <v>20</v>
          </cell>
          <cell r="AY670" t="str">
            <v/>
          </cell>
          <cell r="AZ670">
            <v>0.25</v>
          </cell>
          <cell r="BA670">
            <v>0.25</v>
          </cell>
        </row>
        <row r="671">
          <cell r="A671" t="str">
            <v>DITTA ALLEGRI</v>
          </cell>
          <cell r="D671" t="str">
            <v>VIA ADAMELLO, 14</v>
          </cell>
          <cell r="E671" t="str">
            <v>11100</v>
          </cell>
          <cell r="F671" t="str">
            <v>AOSTA</v>
          </cell>
          <cell r="G671" t="str">
            <v>AO</v>
          </cell>
          <cell r="H671" t="str">
            <v>ITALIA</v>
          </cell>
          <cell r="J671" t="str">
            <v>01161790074</v>
          </cell>
          <cell r="M671" t="str">
            <v>UFFICIO ACQUISTI</v>
          </cell>
          <cell r="N671" t="str">
            <v>0165 231929</v>
          </cell>
          <cell r="O671" t="str">
            <v>349 0815330</v>
          </cell>
          <cell r="P671" t="str">
            <v>info@dittaallegri.it</v>
          </cell>
          <cell r="R671" t="str">
            <v>BONIFICO BANCARIO, ALLA DATA DELLA NOSTRA CONFERMA D'ORDINE</v>
          </cell>
          <cell r="X671">
            <v>0.25</v>
          </cell>
          <cell r="Y671">
            <v>-0.04</v>
          </cell>
          <cell r="AB671">
            <v>0.25</v>
          </cell>
          <cell r="AC671">
            <v>0.25</v>
          </cell>
          <cell r="AD671">
            <v>0.25</v>
          </cell>
          <cell r="AE671">
            <v>0.25</v>
          </cell>
          <cell r="AF671">
            <v>0.25</v>
          </cell>
          <cell r="AG671">
            <v>0.25</v>
          </cell>
          <cell r="AH671">
            <v>0.25</v>
          </cell>
          <cell r="AI671">
            <v>0.25</v>
          </cell>
          <cell r="AJ671">
            <v>0.25</v>
          </cell>
          <cell r="AK671">
            <v>0.25</v>
          </cell>
          <cell r="AL671">
            <v>0.25</v>
          </cell>
          <cell r="AM671">
            <v>0.25</v>
          </cell>
          <cell r="AN671">
            <v>0.25</v>
          </cell>
          <cell r="AO671">
            <v>0.25</v>
          </cell>
          <cell r="AP671">
            <v>0.25</v>
          </cell>
          <cell r="AQ671">
            <v>0.25</v>
          </cell>
          <cell r="AR671">
            <v>0.25</v>
          </cell>
          <cell r="AS671">
            <v>0.25</v>
          </cell>
          <cell r="AT671">
            <v>-0.04</v>
          </cell>
          <cell r="AU671">
            <v>0.92</v>
          </cell>
          <cell r="AV671">
            <v>20</v>
          </cell>
          <cell r="AZ671">
            <v>0.25</v>
          </cell>
          <cell r="BA671">
            <v>0.25</v>
          </cell>
        </row>
        <row r="672">
          <cell r="A672" t="str">
            <v>DITTA ANGELO DANESI</v>
          </cell>
          <cell r="D672" t="str">
            <v>VIA SAN PIETRO, 2</v>
          </cell>
          <cell r="E672" t="str">
            <v>25018</v>
          </cell>
          <cell r="F672" t="str">
            <v>MONTICHIARI</v>
          </cell>
          <cell r="G672" t="str">
            <v>BS</v>
          </cell>
          <cell r="H672" t="str">
            <v>ITALIA</v>
          </cell>
          <cell r="J672" t="str">
            <v>02314560984</v>
          </cell>
          <cell r="M672" t="str">
            <v>UFFICIO ACQUISTI</v>
          </cell>
          <cell r="N672" t="str">
            <v>030 961202</v>
          </cell>
          <cell r="P672" t="str">
            <v>fer.danesi@teletu.it</v>
          </cell>
          <cell r="R672" t="str">
            <v>BONIFICO BANCARIO, ALLA DATA DELLA NOSTRA CONFERMA D'ORDINE</v>
          </cell>
          <cell r="Y672">
            <v>-0.04</v>
          </cell>
          <cell r="AT672">
            <v>-0.04</v>
          </cell>
          <cell r="AV672">
            <v>20</v>
          </cell>
          <cell r="AZ672">
            <v>0</v>
          </cell>
          <cell r="BA672">
            <v>0</v>
          </cell>
        </row>
        <row r="673">
          <cell r="A673" t="str">
            <v>DITTA ATTURA MAURIZIO</v>
          </cell>
          <cell r="D673" t="str">
            <v>VIA DELLE ROBINIE, 166  168</v>
          </cell>
          <cell r="E673" t="str">
            <v>00172</v>
          </cell>
          <cell r="F673" t="str">
            <v>ROMA</v>
          </cell>
          <cell r="G673" t="str">
            <v>RM</v>
          </cell>
          <cell r="H673" t="str">
            <v>ITALIA</v>
          </cell>
          <cell r="M673" t="str">
            <v>UFFICIO ACQUISTI</v>
          </cell>
          <cell r="R673" t="str">
            <v>BONIFICO BANCARIO, ALLA DATA DELLA NOSTRA CONFERMA D'ORDINE</v>
          </cell>
          <cell r="X673">
            <v>0.25</v>
          </cell>
          <cell r="Y673">
            <v>-0.04</v>
          </cell>
          <cell r="AB673">
            <v>0.25</v>
          </cell>
          <cell r="AC673">
            <v>0.25</v>
          </cell>
          <cell r="AD673">
            <v>0.25</v>
          </cell>
          <cell r="AE673">
            <v>0.25</v>
          </cell>
          <cell r="AF673">
            <v>0.25</v>
          </cell>
          <cell r="AG673">
            <v>0.25</v>
          </cell>
          <cell r="AH673">
            <v>0.25</v>
          </cell>
          <cell r="AI673">
            <v>0.25</v>
          </cell>
          <cell r="AJ673">
            <v>0.25</v>
          </cell>
          <cell r="AK673">
            <v>0.25</v>
          </cell>
          <cell r="AL673">
            <v>0.25</v>
          </cell>
          <cell r="AM673">
            <v>0.25</v>
          </cell>
          <cell r="AN673">
            <v>0.25</v>
          </cell>
          <cell r="AO673">
            <v>0.25</v>
          </cell>
          <cell r="AP673">
            <v>0.25</v>
          </cell>
          <cell r="AQ673">
            <v>0.25</v>
          </cell>
          <cell r="AR673">
            <v>0.25</v>
          </cell>
          <cell r="AS673">
            <v>0.25</v>
          </cell>
          <cell r="AT673">
            <v>-0.04</v>
          </cell>
          <cell r="AU673">
            <v>0.92</v>
          </cell>
          <cell r="AV673">
            <v>20</v>
          </cell>
          <cell r="AZ673">
            <v>0.25</v>
          </cell>
          <cell r="BA673">
            <v>0.25</v>
          </cell>
        </row>
        <row r="674">
          <cell r="A674" t="str">
            <v>DITTA BELLOTTI CESARE SRL</v>
          </cell>
          <cell r="D674" t="str">
            <v>VIA ALZATE 35</v>
          </cell>
          <cell r="E674" t="str">
            <v>28047</v>
          </cell>
          <cell r="F674" t="str">
            <v>OLEGGIO</v>
          </cell>
          <cell r="G674" t="str">
            <v>NO</v>
          </cell>
          <cell r="H674" t="str">
            <v>ITALIA</v>
          </cell>
          <cell r="J674" t="str">
            <v>02404610038</v>
          </cell>
          <cell r="M674" t="str">
            <v>UFFICIO ACQUISTI</v>
          </cell>
          <cell r="N674" t="str">
            <v>0321 998820</v>
          </cell>
          <cell r="P674" t="str">
            <v>cesare.bellotti@tin.it</v>
          </cell>
          <cell r="R674" t="str">
            <v>BONIFICO BANCARIO, ALLA DATA DELLA NOSTRA CONFERMA D'ORDINE</v>
          </cell>
          <cell r="X674">
            <v>0.25</v>
          </cell>
          <cell r="Y674">
            <v>-0.04</v>
          </cell>
          <cell r="AB674">
            <v>0.25</v>
          </cell>
          <cell r="AC674">
            <v>0.25</v>
          </cell>
          <cell r="AD674">
            <v>0.25</v>
          </cell>
          <cell r="AE674">
            <v>0.25</v>
          </cell>
          <cell r="AF674">
            <v>0.25</v>
          </cell>
          <cell r="AG674">
            <v>0.25</v>
          </cell>
          <cell r="AH674">
            <v>0.25</v>
          </cell>
          <cell r="AI674">
            <v>0.25</v>
          </cell>
          <cell r="AJ674">
            <v>0.25</v>
          </cell>
          <cell r="AK674">
            <v>0.25</v>
          </cell>
          <cell r="AL674">
            <v>0.25</v>
          </cell>
          <cell r="AM674">
            <v>0.25</v>
          </cell>
          <cell r="AN674">
            <v>0.25</v>
          </cell>
          <cell r="AO674">
            <v>0.25</v>
          </cell>
          <cell r="AP674">
            <v>0.25</v>
          </cell>
          <cell r="AQ674">
            <v>0.25</v>
          </cell>
          <cell r="AR674">
            <v>0.25</v>
          </cell>
          <cell r="AS674">
            <v>0.25</v>
          </cell>
          <cell r="AT674">
            <v>-0.04</v>
          </cell>
          <cell r="AU674">
            <v>0.92</v>
          </cell>
          <cell r="AV674">
            <v>20</v>
          </cell>
          <cell r="AY674" t="str">
            <v/>
          </cell>
          <cell r="AZ674">
            <v>0.25</v>
          </cell>
          <cell r="BA674">
            <v>0.25</v>
          </cell>
        </row>
        <row r="675">
          <cell r="A675" t="str">
            <v>DITTA CASCONE LORENZO FU PIETRO</v>
          </cell>
          <cell r="D675" t="str">
            <v>VIA DEI MUGNAI, 18</v>
          </cell>
          <cell r="E675">
            <v>80053</v>
          </cell>
          <cell r="F675" t="str">
            <v>CASTELL. DI STABIA</v>
          </cell>
          <cell r="G675" t="str">
            <v>NA</v>
          </cell>
          <cell r="H675" t="str">
            <v>ITALIA</v>
          </cell>
          <cell r="M675" t="str">
            <v>UFFICIO ACQUISTI</v>
          </cell>
          <cell r="N675" t="str">
            <v>081 8711283</v>
          </cell>
          <cell r="R675" t="str">
            <v>BONIFICO BANCARIO, ALLA DATA DELLA NOSTRA CONFERMA D'ORDINE</v>
          </cell>
          <cell r="X675">
            <v>0.25</v>
          </cell>
          <cell r="Y675">
            <v>-0.04</v>
          </cell>
          <cell r="AB675">
            <v>0.25</v>
          </cell>
          <cell r="AC675">
            <v>0.25</v>
          </cell>
          <cell r="AD675">
            <v>0.25</v>
          </cell>
          <cell r="AE675">
            <v>0.25</v>
          </cell>
          <cell r="AF675">
            <v>0.25</v>
          </cell>
          <cell r="AG675">
            <v>0.25</v>
          </cell>
          <cell r="AH675">
            <v>0.25</v>
          </cell>
          <cell r="AI675">
            <v>0.25</v>
          </cell>
          <cell r="AJ675">
            <v>0.25</v>
          </cell>
          <cell r="AK675">
            <v>0.25</v>
          </cell>
          <cell r="AL675">
            <v>0.25</v>
          </cell>
          <cell r="AM675">
            <v>0.25</v>
          </cell>
          <cell r="AN675">
            <v>0.25</v>
          </cell>
          <cell r="AO675">
            <v>0.25</v>
          </cell>
          <cell r="AP675">
            <v>0.25</v>
          </cell>
          <cell r="AQ675">
            <v>0.25</v>
          </cell>
          <cell r="AR675">
            <v>0.25</v>
          </cell>
          <cell r="AS675">
            <v>0.25</v>
          </cell>
          <cell r="AT675">
            <v>-0.04</v>
          </cell>
          <cell r="AU675">
            <v>0.92</v>
          </cell>
          <cell r="AV675">
            <v>20</v>
          </cell>
          <cell r="AY675" t="str">
            <v/>
          </cell>
          <cell r="AZ675">
            <v>0.25</v>
          </cell>
          <cell r="BA675">
            <v>0.25</v>
          </cell>
        </row>
        <row r="676">
          <cell r="A676" t="str">
            <v>DITTA F.LLI DAL CERO</v>
          </cell>
          <cell r="D676" t="str">
            <v>VIA F.LLI BANDIERA, 6</v>
          </cell>
          <cell r="E676" t="str">
            <v>46034</v>
          </cell>
          <cell r="F676" t="str">
            <v>CERESE DI VIRGILIO</v>
          </cell>
          <cell r="G676" t="str">
            <v>MN</v>
          </cell>
          <cell r="H676" t="str">
            <v>ITALIA</v>
          </cell>
          <cell r="I676" t="str">
            <v>0013789020</v>
          </cell>
          <cell r="J676" t="str">
            <v>0013789020</v>
          </cell>
          <cell r="M676" t="str">
            <v>UFFICIO ACQUISTI</v>
          </cell>
          <cell r="N676" t="str">
            <v>0376 44818</v>
          </cell>
          <cell r="R676" t="str">
            <v>BONIFICO BANCARIO, ALLA DATA DELLA NOSTRA CONFERMA D'ORDINE</v>
          </cell>
          <cell r="X676">
            <v>0.25</v>
          </cell>
          <cell r="Y676">
            <v>-0.04</v>
          </cell>
          <cell r="AB676">
            <v>0.25</v>
          </cell>
          <cell r="AC676">
            <v>0.25</v>
          </cell>
          <cell r="AD676">
            <v>0.25</v>
          </cell>
          <cell r="AE676">
            <v>0.25</v>
          </cell>
          <cell r="AF676">
            <v>0.25</v>
          </cell>
          <cell r="AG676">
            <v>0.25</v>
          </cell>
          <cell r="AH676">
            <v>0.25</v>
          </cell>
          <cell r="AI676">
            <v>0.25</v>
          </cell>
          <cell r="AJ676">
            <v>0.25</v>
          </cell>
          <cell r="AK676">
            <v>0.25</v>
          </cell>
          <cell r="AL676">
            <v>0.25</v>
          </cell>
          <cell r="AM676">
            <v>0.25</v>
          </cell>
          <cell r="AN676">
            <v>0.25</v>
          </cell>
          <cell r="AO676">
            <v>0.25</v>
          </cell>
          <cell r="AP676">
            <v>0.25</v>
          </cell>
          <cell r="AQ676">
            <v>0.25</v>
          </cell>
          <cell r="AR676">
            <v>0.25</v>
          </cell>
          <cell r="AS676">
            <v>0.25</v>
          </cell>
          <cell r="AT676">
            <v>-0.04</v>
          </cell>
          <cell r="AU676">
            <v>0.92</v>
          </cell>
          <cell r="AV676">
            <v>20</v>
          </cell>
          <cell r="AZ676">
            <v>0.25</v>
          </cell>
          <cell r="BA676">
            <v>0.25</v>
          </cell>
        </row>
        <row r="677">
          <cell r="A677" t="str">
            <v>DITTA FANTONI LUCA</v>
          </cell>
          <cell r="D677" t="str">
            <v>VIA AURELIA 71</v>
          </cell>
          <cell r="E677" t="str">
            <v>19033</v>
          </cell>
          <cell r="F677" t="str">
            <v>CASTELNUOVO MAGRA</v>
          </cell>
          <cell r="G677" t="str">
            <v>SP</v>
          </cell>
          <cell r="H677" t="str">
            <v>ITALIA</v>
          </cell>
          <cell r="J677" t="str">
            <v>00720290451</v>
          </cell>
          <cell r="M677" t="str">
            <v>UFFICIO ACQUISTI</v>
          </cell>
          <cell r="N677" t="str">
            <v>347 0732646</v>
          </cell>
          <cell r="O677" t="str">
            <v>328 8431608</v>
          </cell>
          <cell r="R677" t="str">
            <v>BONIFICO BANCARIO, ALLA DATA DELLA NOSTRA CONFERMA D'ORDINE</v>
          </cell>
          <cell r="X677">
            <v>0.25</v>
          </cell>
          <cell r="Y677">
            <v>-0.04</v>
          </cell>
          <cell r="AB677">
            <v>0.25</v>
          </cell>
          <cell r="AC677">
            <v>0.25</v>
          </cell>
          <cell r="AD677">
            <v>0.25</v>
          </cell>
          <cell r="AE677">
            <v>0.25</v>
          </cell>
          <cell r="AF677">
            <v>0.25</v>
          </cell>
          <cell r="AG677">
            <v>0.25</v>
          </cell>
          <cell r="AH677">
            <v>0.25</v>
          </cell>
          <cell r="AI677">
            <v>0.25</v>
          </cell>
          <cell r="AJ677">
            <v>0.25</v>
          </cell>
          <cell r="AK677">
            <v>0.25</v>
          </cell>
          <cell r="AL677">
            <v>0.25</v>
          </cell>
          <cell r="AM677">
            <v>0.25</v>
          </cell>
          <cell r="AN677">
            <v>0.25</v>
          </cell>
          <cell r="AO677">
            <v>0.25</v>
          </cell>
          <cell r="AP677">
            <v>0.25</v>
          </cell>
          <cell r="AQ677">
            <v>0.25</v>
          </cell>
          <cell r="AR677">
            <v>0.25</v>
          </cell>
          <cell r="AS677">
            <v>0.25</v>
          </cell>
          <cell r="AT677">
            <v>-0.04</v>
          </cell>
          <cell r="AU677">
            <v>0.92</v>
          </cell>
          <cell r="AV677">
            <v>20</v>
          </cell>
          <cell r="AY677" t="str">
            <v/>
          </cell>
          <cell r="AZ677">
            <v>0.25</v>
          </cell>
          <cell r="BA677">
            <v>0.25</v>
          </cell>
        </row>
        <row r="678">
          <cell r="A678" t="str">
            <v>DITTA MARTELLI DI MARTELLI STEFANO</v>
          </cell>
          <cell r="D678" t="str">
            <v>VIA DI BELLARIVA 41/A-B</v>
          </cell>
          <cell r="E678" t="str">
            <v>50136</v>
          </cell>
          <cell r="F678" t="str">
            <v>FIRENZE</v>
          </cell>
          <cell r="G678" t="str">
            <v>FI</v>
          </cell>
          <cell r="H678" t="str">
            <v>ITALIA</v>
          </cell>
          <cell r="J678" t="str">
            <v>05189960486</v>
          </cell>
          <cell r="M678" t="str">
            <v>UFFICIO ACQUISTI</v>
          </cell>
          <cell r="N678" t="str">
            <v>055 6810662</v>
          </cell>
          <cell r="P678" t="str">
            <v>info@martelliserrande.com</v>
          </cell>
          <cell r="R678" t="str">
            <v>BONIFICO BANCARIO, ALLA DATA DELLA NOSTRA CONFERMA D'ORDINE</v>
          </cell>
          <cell r="X678">
            <v>0.25</v>
          </cell>
          <cell r="Y678">
            <v>-0.04</v>
          </cell>
          <cell r="AB678">
            <v>0.25</v>
          </cell>
          <cell r="AC678">
            <v>0.25</v>
          </cell>
          <cell r="AD678">
            <v>0.25</v>
          </cell>
          <cell r="AE678">
            <v>0.25</v>
          </cell>
          <cell r="AF678">
            <v>0.25</v>
          </cell>
          <cell r="AG678">
            <v>0.25</v>
          </cell>
          <cell r="AH678">
            <v>0.25</v>
          </cell>
          <cell r="AI678">
            <v>0.25</v>
          </cell>
          <cell r="AJ678">
            <v>0.25</v>
          </cell>
          <cell r="AK678">
            <v>0.25</v>
          </cell>
          <cell r="AL678">
            <v>0.25</v>
          </cell>
          <cell r="AM678">
            <v>0.25</v>
          </cell>
          <cell r="AN678">
            <v>0.25</v>
          </cell>
          <cell r="AO678">
            <v>0.25</v>
          </cell>
          <cell r="AP678">
            <v>0.25</v>
          </cell>
          <cell r="AQ678">
            <v>0.25</v>
          </cell>
          <cell r="AR678">
            <v>0.25</v>
          </cell>
          <cell r="AS678">
            <v>0.25</v>
          </cell>
          <cell r="AT678">
            <v>-0.04</v>
          </cell>
          <cell r="AU678">
            <v>0.92</v>
          </cell>
          <cell r="AV678">
            <v>20</v>
          </cell>
          <cell r="AY678" t="str">
            <v/>
          </cell>
          <cell r="AZ678">
            <v>0.25</v>
          </cell>
          <cell r="BA678">
            <v>0.25</v>
          </cell>
        </row>
        <row r="679">
          <cell r="A679" t="str">
            <v>DITTA OSTI L.</v>
          </cell>
          <cell r="D679" t="str">
            <v>VIA IVREA, 65</v>
          </cell>
          <cell r="E679">
            <v>10034</v>
          </cell>
          <cell r="F679" t="str">
            <v>CHIVASSO</v>
          </cell>
          <cell r="G679" t="str">
            <v>TO</v>
          </cell>
          <cell r="H679" t="str">
            <v>ITALIA</v>
          </cell>
          <cell r="M679" t="str">
            <v>UFFICIO ACQUISTI</v>
          </cell>
          <cell r="O679" t="str">
            <v>340 9361862</v>
          </cell>
          <cell r="P679" t="str">
            <v>dittaostil@virgilio.it</v>
          </cell>
          <cell r="R679" t="str">
            <v>BONIFICO BANCARIO, ALLA DATA DELLA NOSTRA CONFERMA D'ORDINE</v>
          </cell>
          <cell r="X679">
            <v>0.25</v>
          </cell>
          <cell r="Y679">
            <v>-0.04</v>
          </cell>
          <cell r="AB679">
            <v>0.25</v>
          </cell>
          <cell r="AC679">
            <v>0.25</v>
          </cell>
          <cell r="AD679">
            <v>0.25</v>
          </cell>
          <cell r="AE679">
            <v>0.25</v>
          </cell>
          <cell r="AF679">
            <v>0.25</v>
          </cell>
          <cell r="AG679">
            <v>0.25</v>
          </cell>
          <cell r="AH679">
            <v>0.25</v>
          </cell>
          <cell r="AI679">
            <v>0.25</v>
          </cell>
          <cell r="AJ679">
            <v>0.25</v>
          </cell>
          <cell r="AK679">
            <v>0.25</v>
          </cell>
          <cell r="AL679">
            <v>0.25</v>
          </cell>
          <cell r="AM679">
            <v>0.25</v>
          </cell>
          <cell r="AN679">
            <v>0.25</v>
          </cell>
          <cell r="AO679">
            <v>0.25</v>
          </cell>
          <cell r="AP679">
            <v>0.25</v>
          </cell>
          <cell r="AQ679">
            <v>0.25</v>
          </cell>
          <cell r="AR679">
            <v>0.25</v>
          </cell>
          <cell r="AS679">
            <v>0.25</v>
          </cell>
          <cell r="AT679">
            <v>-0.04</v>
          </cell>
          <cell r="AU679">
            <v>0.92</v>
          </cell>
          <cell r="AV679">
            <v>20</v>
          </cell>
          <cell r="AY679" t="str">
            <v/>
          </cell>
          <cell r="AZ679">
            <v>0.25</v>
          </cell>
          <cell r="BA679">
            <v>0.25</v>
          </cell>
        </row>
        <row r="680">
          <cell r="A680" t="str">
            <v>DITTA PASQUATO MICHELE</v>
          </cell>
          <cell r="D680" t="str">
            <v>VIA PROVENZA, 4</v>
          </cell>
          <cell r="E680">
            <v>35127</v>
          </cell>
          <cell r="F680" t="str">
            <v>CAMIN</v>
          </cell>
          <cell r="G680" t="str">
            <v>PD</v>
          </cell>
          <cell r="H680" t="str">
            <v>ITALIA</v>
          </cell>
          <cell r="M680" t="str">
            <v>UFFICIO ACQUISTI</v>
          </cell>
          <cell r="N680" t="str">
            <v>049 8702940</v>
          </cell>
          <cell r="O680" t="str">
            <v>335 1280427</v>
          </cell>
          <cell r="P680" t="str">
            <v>info@pasquatoserramenti.it</v>
          </cell>
          <cell r="R680" t="str">
            <v>BONIFICO BANCARIO, ALLA DATA DELLA NOSTRA CONFERMA D'ORDINE</v>
          </cell>
          <cell r="X680">
            <v>0.25</v>
          </cell>
          <cell r="Y680">
            <v>-0.04</v>
          </cell>
          <cell r="AB680">
            <v>0.25</v>
          </cell>
          <cell r="AC680">
            <v>0.25</v>
          </cell>
          <cell r="AD680">
            <v>0.25</v>
          </cell>
          <cell r="AE680">
            <v>0.25</v>
          </cell>
          <cell r="AF680">
            <v>0.25</v>
          </cell>
          <cell r="AG680">
            <v>0.25</v>
          </cell>
          <cell r="AH680">
            <v>0.25</v>
          </cell>
          <cell r="AI680">
            <v>0.25</v>
          </cell>
          <cell r="AJ680">
            <v>0.25</v>
          </cell>
          <cell r="AK680">
            <v>0.25</v>
          </cell>
          <cell r="AL680">
            <v>0.25</v>
          </cell>
          <cell r="AM680">
            <v>0.25</v>
          </cell>
          <cell r="AN680">
            <v>0.25</v>
          </cell>
          <cell r="AO680">
            <v>0.25</v>
          </cell>
          <cell r="AP680">
            <v>0.25</v>
          </cell>
          <cell r="AQ680">
            <v>0.25</v>
          </cell>
          <cell r="AR680">
            <v>0.25</v>
          </cell>
          <cell r="AS680">
            <v>0.25</v>
          </cell>
          <cell r="AT680">
            <v>-0.04</v>
          </cell>
          <cell r="AU680">
            <v>0.92</v>
          </cell>
          <cell r="AV680">
            <v>20</v>
          </cell>
          <cell r="AZ680">
            <v>0.25</v>
          </cell>
          <cell r="BA680">
            <v>0.25</v>
          </cell>
        </row>
        <row r="681">
          <cell r="A681" t="str">
            <v>DITTA SERAFINI ANTONIO</v>
          </cell>
          <cell r="D681" t="str">
            <v>VIA F. CRISPI 18</v>
          </cell>
          <cell r="E681" t="str">
            <v>66054</v>
          </cell>
          <cell r="F681" t="str">
            <v>VASTO</v>
          </cell>
          <cell r="G681" t="str">
            <v>CH</v>
          </cell>
          <cell r="H681" t="str">
            <v>ITALIA</v>
          </cell>
          <cell r="J681" t="str">
            <v>01350650691</v>
          </cell>
          <cell r="M681" t="str">
            <v>UFFICIO ACQUISTI</v>
          </cell>
          <cell r="O681" t="str">
            <v>347 6569907</v>
          </cell>
          <cell r="R681" t="str">
            <v>BONIFICO BANCARIO, ALLA DATA DELLA NOSTRA CONFERMA D'ORDINE</v>
          </cell>
          <cell r="X681">
            <v>0.25</v>
          </cell>
          <cell r="Y681">
            <v>-0.04</v>
          </cell>
          <cell r="AB681">
            <v>0.25</v>
          </cell>
          <cell r="AC681">
            <v>0.25</v>
          </cell>
          <cell r="AD681">
            <v>0.25</v>
          </cell>
          <cell r="AE681">
            <v>0.25</v>
          </cell>
          <cell r="AF681">
            <v>0.25</v>
          </cell>
          <cell r="AG681">
            <v>0.25</v>
          </cell>
          <cell r="AH681">
            <v>0.25</v>
          </cell>
          <cell r="AI681">
            <v>0.25</v>
          </cell>
          <cell r="AJ681">
            <v>0.25</v>
          </cell>
          <cell r="AK681">
            <v>0.25</v>
          </cell>
          <cell r="AL681">
            <v>0.25</v>
          </cell>
          <cell r="AM681">
            <v>0.25</v>
          </cell>
          <cell r="AN681">
            <v>0.25</v>
          </cell>
          <cell r="AO681">
            <v>0.25</v>
          </cell>
          <cell r="AP681">
            <v>0.25</v>
          </cell>
          <cell r="AQ681">
            <v>0.25</v>
          </cell>
          <cell r="AR681">
            <v>0.25</v>
          </cell>
          <cell r="AS681">
            <v>0.25</v>
          </cell>
          <cell r="AT681">
            <v>-0.04</v>
          </cell>
          <cell r="AU681">
            <v>0.92</v>
          </cell>
          <cell r="AV681">
            <v>20</v>
          </cell>
          <cell r="AY681" t="str">
            <v/>
          </cell>
          <cell r="AZ681">
            <v>0.25</v>
          </cell>
          <cell r="BA681">
            <v>0.25</v>
          </cell>
        </row>
        <row r="682">
          <cell r="A682" t="str">
            <v>DITTA STRAFELLA FERNANDO</v>
          </cell>
          <cell r="D682" t="str">
            <v>VIA CORSICA, 413</v>
          </cell>
          <cell r="E682">
            <v>73043</v>
          </cell>
          <cell r="F682" t="str">
            <v>COPERTINO</v>
          </cell>
          <cell r="G682" t="str">
            <v>LE</v>
          </cell>
          <cell r="H682" t="str">
            <v>ITALIA</v>
          </cell>
          <cell r="I682" t="str">
            <v>STRFNN61H05C978Q</v>
          </cell>
          <cell r="J682" t="str">
            <v>02320390756</v>
          </cell>
          <cell r="M682" t="str">
            <v>UFFICIO ACQUISTI</v>
          </cell>
          <cell r="N682" t="str">
            <v>08 32935440</v>
          </cell>
          <cell r="R682" t="str">
            <v>BONIFICO BANCARIO, ALLA DATA DELLA NOSTRA CONFERMA D'ORDINE</v>
          </cell>
          <cell r="X682">
            <v>0.25</v>
          </cell>
          <cell r="Y682">
            <v>-0.04</v>
          </cell>
          <cell r="AB682">
            <v>0.25</v>
          </cell>
          <cell r="AC682">
            <v>0.25</v>
          </cell>
          <cell r="AD682">
            <v>0.25</v>
          </cell>
          <cell r="AE682">
            <v>0.25</v>
          </cell>
          <cell r="AF682">
            <v>0.25</v>
          </cell>
          <cell r="AG682">
            <v>0.25</v>
          </cell>
          <cell r="AH682">
            <v>0.25</v>
          </cell>
          <cell r="AI682">
            <v>0.25</v>
          </cell>
          <cell r="AJ682">
            <v>0.25</v>
          </cell>
          <cell r="AK682">
            <v>0.25</v>
          </cell>
          <cell r="AL682">
            <v>0.25</v>
          </cell>
          <cell r="AM682">
            <v>0.25</v>
          </cell>
          <cell r="AN682">
            <v>0.25</v>
          </cell>
          <cell r="AO682">
            <v>0.25</v>
          </cell>
          <cell r="AP682">
            <v>0.25</v>
          </cell>
          <cell r="AQ682">
            <v>0.25</v>
          </cell>
          <cell r="AR682">
            <v>0.25</v>
          </cell>
          <cell r="AS682">
            <v>0.25</v>
          </cell>
          <cell r="AT682">
            <v>-0.04</v>
          </cell>
          <cell r="AU682">
            <v>0.92</v>
          </cell>
          <cell r="AV682">
            <v>20</v>
          </cell>
          <cell r="AY682" t="str">
            <v/>
          </cell>
          <cell r="AZ682">
            <v>0.25</v>
          </cell>
          <cell r="BA682">
            <v>0.25</v>
          </cell>
        </row>
        <row r="683">
          <cell r="A683" t="str">
            <v>DIVIA SRL</v>
          </cell>
          <cell r="D683" t="str">
            <v>VIA VIRGILIO, 145</v>
          </cell>
          <cell r="E683" t="str">
            <v>91100</v>
          </cell>
          <cell r="F683" t="str">
            <v xml:space="preserve">TRAPANI </v>
          </cell>
          <cell r="G683" t="str">
            <v>TP</v>
          </cell>
          <cell r="H683" t="str">
            <v>ITALIA</v>
          </cell>
          <cell r="J683" t="str">
            <v>02540530819</v>
          </cell>
          <cell r="M683" t="str">
            <v>UFFICIO ACQUISTI</v>
          </cell>
          <cell r="N683" t="str">
            <v>0923 24402</v>
          </cell>
          <cell r="O683" t="str">
            <v>393 1222627</v>
          </cell>
          <cell r="P683" t="str">
            <v>diviaserramenti@gmail.com</v>
          </cell>
          <cell r="R683" t="str">
            <v>BONIFICO BANCARIO, ALLA DATA DELLA NOSTRA CONFERMA D'ORDINE</v>
          </cell>
          <cell r="X683">
            <v>0.25</v>
          </cell>
          <cell r="Y683">
            <v>-0.04</v>
          </cell>
          <cell r="AB683">
            <v>0.25</v>
          </cell>
          <cell r="AC683">
            <v>0.25</v>
          </cell>
          <cell r="AD683">
            <v>0.25</v>
          </cell>
          <cell r="AE683">
            <v>0.25</v>
          </cell>
          <cell r="AF683">
            <v>0.25</v>
          </cell>
          <cell r="AG683">
            <v>0.25</v>
          </cell>
          <cell r="AH683">
            <v>0.25</v>
          </cell>
          <cell r="AI683">
            <v>0.25</v>
          </cell>
          <cell r="AJ683">
            <v>0.25</v>
          </cell>
          <cell r="AK683">
            <v>0.25</v>
          </cell>
          <cell r="AL683">
            <v>0.25</v>
          </cell>
          <cell r="AM683">
            <v>0.25</v>
          </cell>
          <cell r="AN683">
            <v>0.25</v>
          </cell>
          <cell r="AO683">
            <v>0.25</v>
          </cell>
          <cell r="AP683">
            <v>0.25</v>
          </cell>
          <cell r="AQ683">
            <v>0.25</v>
          </cell>
          <cell r="AR683">
            <v>0.25</v>
          </cell>
          <cell r="AS683">
            <v>0.25</v>
          </cell>
          <cell r="AT683">
            <v>-0.04</v>
          </cell>
          <cell r="AU683">
            <v>0.92</v>
          </cell>
          <cell r="AV683">
            <v>20</v>
          </cell>
          <cell r="AY683" t="str">
            <v/>
          </cell>
          <cell r="AZ683">
            <v>0.25</v>
          </cell>
          <cell r="BA683">
            <v>0.25</v>
          </cell>
        </row>
        <row r="684">
          <cell r="A684" t="str">
            <v>DLM DI MAURIZIO DE LORENZI</v>
          </cell>
          <cell r="D684" t="str">
            <v>VIA VALSTORTA 26 B</v>
          </cell>
          <cell r="E684" t="str">
            <v>33080</v>
          </cell>
          <cell r="F684" t="str">
            <v>PORCIA</v>
          </cell>
          <cell r="G684" t="str">
            <v>PN</v>
          </cell>
          <cell r="H684" t="str">
            <v>ITALIA</v>
          </cell>
          <cell r="J684" t="str">
            <v>01340430931</v>
          </cell>
          <cell r="M684" t="str">
            <v>UFFICIO ACQUISTI</v>
          </cell>
          <cell r="N684" t="str">
            <v>0434 365188</v>
          </cell>
          <cell r="O684" t="str">
            <v>335 7014985</v>
          </cell>
          <cell r="P684" t="str">
            <v>dlm.serramenti@gmail.com</v>
          </cell>
          <cell r="R684" t="str">
            <v>BONIFICO BANCARIO, ALLA DATA DELLA NOSTRA CONFERMA D'ORDINE</v>
          </cell>
          <cell r="X684">
            <v>0.25</v>
          </cell>
          <cell r="Y684">
            <v>-0.04</v>
          </cell>
          <cell r="AB684">
            <v>0.25</v>
          </cell>
          <cell r="AC684">
            <v>0.25</v>
          </cell>
          <cell r="AD684">
            <v>0.25</v>
          </cell>
          <cell r="AE684">
            <v>0.25</v>
          </cell>
          <cell r="AF684">
            <v>0.25</v>
          </cell>
          <cell r="AG684">
            <v>0.25</v>
          </cell>
          <cell r="AH684">
            <v>0.25</v>
          </cell>
          <cell r="AI684">
            <v>0.25</v>
          </cell>
          <cell r="AJ684">
            <v>0.25</v>
          </cell>
          <cell r="AK684">
            <v>0.25</v>
          </cell>
          <cell r="AL684">
            <v>0.25</v>
          </cell>
          <cell r="AM684">
            <v>0.25</v>
          </cell>
          <cell r="AN684">
            <v>0.25</v>
          </cell>
          <cell r="AO684">
            <v>0.25</v>
          </cell>
          <cell r="AP684">
            <v>0.25</v>
          </cell>
          <cell r="AQ684">
            <v>0.25</v>
          </cell>
          <cell r="AR684">
            <v>0.25</v>
          </cell>
          <cell r="AS684">
            <v>0.25</v>
          </cell>
          <cell r="AT684">
            <v>-0.04</v>
          </cell>
          <cell r="AU684">
            <v>0.92</v>
          </cell>
          <cell r="AV684">
            <v>20</v>
          </cell>
          <cell r="AZ684">
            <v>0.25</v>
          </cell>
          <cell r="BA684">
            <v>0.25</v>
          </cell>
        </row>
        <row r="685">
          <cell r="A685" t="str">
            <v>DLS</v>
          </cell>
          <cell r="B685" t="str">
            <v>SANDRO DE LUCA</v>
          </cell>
          <cell r="D685" t="str">
            <v>VIALE ABRUZZO, 467</v>
          </cell>
          <cell r="E685" t="str">
            <v>66100</v>
          </cell>
          <cell r="F685" t="str">
            <v>CHIETI SCALO</v>
          </cell>
          <cell r="G685" t="str">
            <v>CH</v>
          </cell>
          <cell r="H685" t="str">
            <v>ITALIA</v>
          </cell>
          <cell r="J685" t="str">
            <v>01744000694</v>
          </cell>
          <cell r="M685" t="str">
            <v>UFFICIO ACQUISTI</v>
          </cell>
          <cell r="N685" t="str">
            <v>0871 562097</v>
          </cell>
          <cell r="O685" t="str">
            <v>347 7770777</v>
          </cell>
          <cell r="P685" t="str">
            <v>info@dlsinfissi.it</v>
          </cell>
          <cell r="R685" t="str">
            <v>BONIFICO BANCARIO, ALLA DATA DELLA NOSTRA CONFERMA D'ORDINE</v>
          </cell>
          <cell r="X685">
            <v>0.2</v>
          </cell>
          <cell r="Y685">
            <v>-0.04</v>
          </cell>
          <cell r="AB685">
            <v>0.2</v>
          </cell>
          <cell r="AC685">
            <v>0.2</v>
          </cell>
          <cell r="AD685">
            <v>0.2</v>
          </cell>
          <cell r="AE685">
            <v>0.2</v>
          </cell>
          <cell r="AF685">
            <v>0.2</v>
          </cell>
          <cell r="AG685">
            <v>0.2</v>
          </cell>
          <cell r="AH685">
            <v>0.2</v>
          </cell>
          <cell r="AI685">
            <v>0.2</v>
          </cell>
          <cell r="AJ685">
            <v>0.2</v>
          </cell>
          <cell r="AK685">
            <v>0.2</v>
          </cell>
          <cell r="AL685">
            <v>0.2</v>
          </cell>
          <cell r="AM685">
            <v>0.2</v>
          </cell>
          <cell r="AN685">
            <v>0.2</v>
          </cell>
          <cell r="AO685">
            <v>0.2</v>
          </cell>
          <cell r="AP685">
            <v>0.2</v>
          </cell>
          <cell r="AQ685">
            <v>0.2</v>
          </cell>
          <cell r="AR685">
            <v>0.2</v>
          </cell>
          <cell r="AS685">
            <v>0.2</v>
          </cell>
          <cell r="AT685">
            <v>-0.04</v>
          </cell>
          <cell r="AU685">
            <v>0.92</v>
          </cell>
          <cell r="AV685">
            <v>20</v>
          </cell>
          <cell r="AZ685">
            <v>0.2</v>
          </cell>
          <cell r="BA685">
            <v>0.2</v>
          </cell>
        </row>
        <row r="686">
          <cell r="A686" t="str">
            <v>DMD GROUP SRL TECHNOLOGY INNOVATION</v>
          </cell>
          <cell r="B686" t="str">
            <v>DANIELE DI MUZIO (QUESTO COMPRA)</v>
          </cell>
          <cell r="D686" t="str">
            <v>VIA C. DE LOLLIS, 23</v>
          </cell>
          <cell r="E686" t="str">
            <v>66100</v>
          </cell>
          <cell r="F686" t="str">
            <v>CHIETI</v>
          </cell>
          <cell r="G686" t="str">
            <v>CH</v>
          </cell>
          <cell r="H686" t="str">
            <v>ITALIA</v>
          </cell>
          <cell r="J686" t="str">
            <v>02590900698</v>
          </cell>
          <cell r="M686" t="str">
            <v>UFFICIO ACQUISTI</v>
          </cell>
          <cell r="N686" t="str">
            <v>0871 400000 - 0871 400111</v>
          </cell>
          <cell r="P686" t="str">
            <v>dmdgroup@dmdgroup.it</v>
          </cell>
          <cell r="R686" t="str">
            <v>BONIFICO BANCARIO, ALLA DATA DELLA NOSTRA CONFERMA D'ORDINE</v>
          </cell>
          <cell r="X686">
            <v>0.25</v>
          </cell>
          <cell r="Y686">
            <v>-0.04</v>
          </cell>
          <cell r="AB686">
            <v>0.25</v>
          </cell>
          <cell r="AC686">
            <v>0.25</v>
          </cell>
          <cell r="AD686">
            <v>0.25</v>
          </cell>
          <cell r="AE686">
            <v>0.25</v>
          </cell>
          <cell r="AF686">
            <v>0.25</v>
          </cell>
          <cell r="AG686">
            <v>0.25</v>
          </cell>
          <cell r="AH686">
            <v>0.25</v>
          </cell>
          <cell r="AI686">
            <v>0.25</v>
          </cell>
          <cell r="AJ686">
            <v>0.25</v>
          </cell>
          <cell r="AK686">
            <v>0.25</v>
          </cell>
          <cell r="AL686">
            <v>0.25</v>
          </cell>
          <cell r="AM686">
            <v>0.25</v>
          </cell>
          <cell r="AN686">
            <v>0.25</v>
          </cell>
          <cell r="AO686">
            <v>0.25</v>
          </cell>
          <cell r="AP686">
            <v>0.25</v>
          </cell>
          <cell r="AQ686">
            <v>0.25</v>
          </cell>
          <cell r="AR686">
            <v>0.25</v>
          </cell>
          <cell r="AS686">
            <v>0.25</v>
          </cell>
          <cell r="AT686">
            <v>-0.04</v>
          </cell>
          <cell r="AU686">
            <v>0.92</v>
          </cell>
          <cell r="AV686">
            <v>20</v>
          </cell>
          <cell r="AY686" t="str">
            <v/>
          </cell>
          <cell r="AZ686">
            <v>0.25</v>
          </cell>
          <cell r="BA686">
            <v>0.25</v>
          </cell>
        </row>
        <row r="687">
          <cell r="A687" t="str">
            <v>DNA INFISSI</v>
          </cell>
          <cell r="B687" t="str">
            <v>ALESSIO DI NARDO</v>
          </cell>
          <cell r="D687" t="str">
            <v>VIA PER POPOLI, 225 (BIVIO BRECCIAROLA)</v>
          </cell>
          <cell r="F687" t="str">
            <v>CHIETI</v>
          </cell>
          <cell r="G687" t="str">
            <v>CH</v>
          </cell>
          <cell r="H687" t="str">
            <v>ITALIA</v>
          </cell>
          <cell r="J687" t="str">
            <v>01922220692</v>
          </cell>
          <cell r="M687" t="str">
            <v>UFFICIO ACQUISTI</v>
          </cell>
          <cell r="N687" t="str">
            <v>0871 685044</v>
          </cell>
          <cell r="O687" t="str">
            <v>335 6916803</v>
          </cell>
          <cell r="P687" t="str">
            <v>dnainfissi@alice.it</v>
          </cell>
          <cell r="R687" t="str">
            <v>BONIFICO BANCARIO, ALLA DATA DELLA NOSTRA CONFERMA D'ORDINE</v>
          </cell>
          <cell r="X687">
            <v>0.25</v>
          </cell>
          <cell r="Y687">
            <v>-0.04</v>
          </cell>
          <cell r="AB687">
            <v>0.25</v>
          </cell>
          <cell r="AC687">
            <v>0.25</v>
          </cell>
          <cell r="AD687">
            <v>0.25</v>
          </cell>
          <cell r="AE687">
            <v>0.25</v>
          </cell>
          <cell r="AF687">
            <v>0.25</v>
          </cell>
          <cell r="AG687">
            <v>0.25</v>
          </cell>
          <cell r="AH687">
            <v>0.25</v>
          </cell>
          <cell r="AI687">
            <v>0.25</v>
          </cell>
          <cell r="AJ687">
            <v>0.25</v>
          </cell>
          <cell r="AK687">
            <v>0.25</v>
          </cell>
          <cell r="AL687">
            <v>0.25</v>
          </cell>
          <cell r="AM687">
            <v>0.25</v>
          </cell>
          <cell r="AN687">
            <v>0.25</v>
          </cell>
          <cell r="AO687">
            <v>0.25</v>
          </cell>
          <cell r="AP687">
            <v>0.25</v>
          </cell>
          <cell r="AQ687">
            <v>0.25</v>
          </cell>
          <cell r="AR687">
            <v>0.25</v>
          </cell>
          <cell r="AS687">
            <v>0.25</v>
          </cell>
          <cell r="AT687">
            <v>-0.04</v>
          </cell>
          <cell r="AU687">
            <v>0.92</v>
          </cell>
          <cell r="AV687">
            <v>20</v>
          </cell>
          <cell r="AY687" t="str">
            <v/>
          </cell>
          <cell r="AZ687">
            <v>0.25</v>
          </cell>
          <cell r="BA687">
            <v>0.25</v>
          </cell>
        </row>
        <row r="688">
          <cell r="A688" t="str">
            <v>DNA SERRAMENTI</v>
          </cell>
          <cell r="B688" t="str">
            <v>ANDARE A FORNOVO</v>
          </cell>
          <cell r="D688" t="str">
            <v>VIA G. FAELLI, 13</v>
          </cell>
          <cell r="E688">
            <v>43126</v>
          </cell>
          <cell r="F688" t="str">
            <v>PARMA</v>
          </cell>
          <cell r="G688" t="str">
            <v>PR</v>
          </cell>
          <cell r="H688" t="str">
            <v>ITALIA</v>
          </cell>
          <cell r="J688" t="str">
            <v>02796610349</v>
          </cell>
          <cell r="M688" t="str">
            <v>UFFICIO ACQUISTI</v>
          </cell>
          <cell r="O688" t="str">
            <v>335 8252662</v>
          </cell>
          <cell r="P688" t="str">
            <v>info@multiprojectparma.it</v>
          </cell>
          <cell r="R688" t="str">
            <v>BONIFICO BANCARIO, ALLA DATA DELLA NOSTRA CONFERMA D'ORDINE</v>
          </cell>
          <cell r="X688">
            <v>0.25</v>
          </cell>
          <cell r="Y688">
            <v>-0.04</v>
          </cell>
          <cell r="AB688">
            <v>0.25</v>
          </cell>
          <cell r="AC688">
            <v>0.25</v>
          </cell>
          <cell r="AD688">
            <v>0.25</v>
          </cell>
          <cell r="AE688">
            <v>0.25</v>
          </cell>
          <cell r="AF688">
            <v>0.25</v>
          </cell>
          <cell r="AG688">
            <v>0.25</v>
          </cell>
          <cell r="AH688">
            <v>0.25</v>
          </cell>
          <cell r="AI688">
            <v>0.25</v>
          </cell>
          <cell r="AJ688">
            <v>0.25</v>
          </cell>
          <cell r="AK688">
            <v>0.25</v>
          </cell>
          <cell r="AL688">
            <v>0.25</v>
          </cell>
          <cell r="AM688">
            <v>0.25</v>
          </cell>
          <cell r="AN688">
            <v>0.25</v>
          </cell>
          <cell r="AO688">
            <v>0.25</v>
          </cell>
          <cell r="AP688">
            <v>0.25</v>
          </cell>
          <cell r="AQ688">
            <v>0.25</v>
          </cell>
          <cell r="AR688">
            <v>0.25</v>
          </cell>
          <cell r="AS688">
            <v>0.25</v>
          </cell>
          <cell r="AT688">
            <v>-0.04</v>
          </cell>
          <cell r="AU688">
            <v>0.92</v>
          </cell>
          <cell r="AV688">
            <v>20</v>
          </cell>
          <cell r="AZ688">
            <v>0.25</v>
          </cell>
          <cell r="BA688">
            <v>0.25</v>
          </cell>
        </row>
        <row r="689">
          <cell r="A689" t="str">
            <v>DOLCI BERNARDO SRL</v>
          </cell>
          <cell r="D689" t="str">
            <v>VIA A. MOLLARI, 11</v>
          </cell>
          <cell r="E689" t="str">
            <v>06034</v>
          </cell>
          <cell r="F689" t="str">
            <v>FOLIGNO</v>
          </cell>
          <cell r="G689" t="str">
            <v>PG</v>
          </cell>
          <cell r="H689" t="str">
            <v>ITALIA</v>
          </cell>
          <cell r="J689" t="str">
            <v>00754000545</v>
          </cell>
          <cell r="K689" t="str">
            <v>G4AI1U8</v>
          </cell>
          <cell r="M689" t="str">
            <v>UFFICIO ACQUISTI</v>
          </cell>
          <cell r="N689" t="str">
            <v>0742 326511/23</v>
          </cell>
          <cell r="O689" t="str">
            <v>351 6624262</v>
          </cell>
          <cell r="P689" t="str">
            <v>dolci@ferdolci.it</v>
          </cell>
          <cell r="R689" t="str">
            <v>BONIFICO BANCARIO, ALLA DATA DELLA NOSTRA CONFERMA D'ORDINE</v>
          </cell>
          <cell r="Y689">
            <v>-0.04</v>
          </cell>
          <cell r="AT689">
            <v>-0.04</v>
          </cell>
          <cell r="AV689">
            <v>20</v>
          </cell>
          <cell r="AZ689">
            <v>0</v>
          </cell>
          <cell r="BA689">
            <v>0</v>
          </cell>
        </row>
        <row r="690">
          <cell r="A690" t="str">
            <v>DOLCINI FINESTRE E PORTE</v>
          </cell>
          <cell r="B690" t="str">
            <v>BUONO SIG. SUDATI</v>
          </cell>
          <cell r="D690" t="str">
            <v>VIA VARALLI, 61</v>
          </cell>
          <cell r="E690">
            <v>26845</v>
          </cell>
          <cell r="F690" t="str">
            <v>CODOGNO</v>
          </cell>
          <cell r="G690" t="str">
            <v>LO</v>
          </cell>
          <cell r="H690" t="str">
            <v>ITALIA</v>
          </cell>
          <cell r="I690" t="str">
            <v>08611550966</v>
          </cell>
          <cell r="J690" t="str">
            <v>08611550966</v>
          </cell>
          <cell r="M690" t="str">
            <v>UFFICIO ACQUISTI</v>
          </cell>
          <cell r="P690" t="str">
            <v>tecnico@dolcininfissi.it</v>
          </cell>
          <cell r="R690" t="str">
            <v>BONIFICO BANCARIO, ALLA DATA DELLA NOSTRA CONFERMA D'ORDINE</v>
          </cell>
          <cell r="X690">
            <v>0.25</v>
          </cell>
          <cell r="Y690">
            <v>-0.04</v>
          </cell>
          <cell r="AB690">
            <v>0.25</v>
          </cell>
          <cell r="AC690">
            <v>0.25</v>
          </cell>
          <cell r="AD690">
            <v>0.25</v>
          </cell>
          <cell r="AE690">
            <v>0.25</v>
          </cell>
          <cell r="AF690">
            <v>0.25</v>
          </cell>
          <cell r="AG690">
            <v>0.25</v>
          </cell>
          <cell r="AH690">
            <v>0.25</v>
          </cell>
          <cell r="AI690">
            <v>0.25</v>
          </cell>
          <cell r="AJ690">
            <v>0.25</v>
          </cell>
          <cell r="AK690">
            <v>0.25</v>
          </cell>
          <cell r="AL690">
            <v>0.25</v>
          </cell>
          <cell r="AM690">
            <v>0.25</v>
          </cell>
          <cell r="AN690">
            <v>0.25</v>
          </cell>
          <cell r="AO690">
            <v>0.25</v>
          </cell>
          <cell r="AP690">
            <v>0.25</v>
          </cell>
          <cell r="AQ690">
            <v>0.25</v>
          </cell>
          <cell r="AR690">
            <v>0.25</v>
          </cell>
          <cell r="AS690">
            <v>0.25</v>
          </cell>
          <cell r="AT690">
            <v>-0.04</v>
          </cell>
          <cell r="AU690">
            <v>0.92</v>
          </cell>
          <cell r="AV690">
            <v>20</v>
          </cell>
          <cell r="AZ690">
            <v>0.25</v>
          </cell>
          <cell r="BA690">
            <v>0.25</v>
          </cell>
        </row>
        <row r="691">
          <cell r="A691" t="str">
            <v>DOMA-SER</v>
          </cell>
          <cell r="D691" t="str">
            <v>VIA TONIO DA BELLEDO 16</v>
          </cell>
          <cell r="E691" t="str">
            <v>23900</v>
          </cell>
          <cell r="F691" t="str">
            <v>LECCO</v>
          </cell>
          <cell r="G691" t="str">
            <v>LC</v>
          </cell>
          <cell r="H691" t="str">
            <v>ITALIA</v>
          </cell>
          <cell r="M691" t="str">
            <v>UFFICIO ACQUISTI</v>
          </cell>
          <cell r="N691" t="str">
            <v>0341 286476</v>
          </cell>
          <cell r="R691" t="str">
            <v>BONIFICO BANCARIO, ALLA DATA DELLA NOSTRA CONFERMA D'ORDINE</v>
          </cell>
          <cell r="X691">
            <v>0.25</v>
          </cell>
          <cell r="Y691">
            <v>-0.04</v>
          </cell>
          <cell r="AB691">
            <v>0.25</v>
          </cell>
          <cell r="AC691">
            <v>0.25</v>
          </cell>
          <cell r="AD691">
            <v>0.25</v>
          </cell>
          <cell r="AE691">
            <v>0.25</v>
          </cell>
          <cell r="AF691">
            <v>0.25</v>
          </cell>
          <cell r="AG691">
            <v>0.25</v>
          </cell>
          <cell r="AH691">
            <v>0.25</v>
          </cell>
          <cell r="AI691">
            <v>0.25</v>
          </cell>
          <cell r="AJ691">
            <v>0.25</v>
          </cell>
          <cell r="AK691">
            <v>0.25</v>
          </cell>
          <cell r="AL691">
            <v>0.25</v>
          </cell>
          <cell r="AM691">
            <v>0.25</v>
          </cell>
          <cell r="AN691">
            <v>0.25</v>
          </cell>
          <cell r="AO691">
            <v>0.25</v>
          </cell>
          <cell r="AP691">
            <v>0.25</v>
          </cell>
          <cell r="AQ691">
            <v>0.25</v>
          </cell>
          <cell r="AR691">
            <v>0.25</v>
          </cell>
          <cell r="AS691">
            <v>0.25</v>
          </cell>
          <cell r="AT691">
            <v>-0.04</v>
          </cell>
          <cell r="AU691">
            <v>0.92</v>
          </cell>
          <cell r="AV691">
            <v>20</v>
          </cell>
          <cell r="AY691" t="str">
            <v/>
          </cell>
          <cell r="AZ691">
            <v>0.25</v>
          </cell>
          <cell r="BA691">
            <v>0.25</v>
          </cell>
        </row>
        <row r="692">
          <cell r="A692" t="str">
            <v>DOME SERRAMENTI S.R.L.</v>
          </cell>
          <cell r="B692" t="str">
            <v>IL MARITO NON C'ERA - RIVENDITORE ACQUASTOP 05/12 SIG.RA BARBARA. DICE CHE HANNO ABBANDONATO IL PRODOTTO IN QUANTO TROPPO CARO E POCO RICARICO PER RIVENDITORE. HO CERCATO DI FARLE TORNAR INTERESSE. MI HA CHIESTO MAIL INFORMATIVA</v>
          </cell>
          <cell r="D692" t="str">
            <v>VIA BENEDETTO CROCE, 28  30</v>
          </cell>
          <cell r="E692" t="str">
            <v>52100</v>
          </cell>
          <cell r="F692" t="str">
            <v>AREZZO</v>
          </cell>
          <cell r="G692" t="str">
            <v>AR</v>
          </cell>
          <cell r="H692" t="str">
            <v>ITALIA</v>
          </cell>
          <cell r="I692" t="str">
            <v>02309540512</v>
          </cell>
          <cell r="J692" t="str">
            <v>02309540512</v>
          </cell>
          <cell r="M692" t="str">
            <v>UFFICIO ACQUISTI</v>
          </cell>
          <cell r="N692" t="str">
            <v>0575 295458</v>
          </cell>
          <cell r="O692" t="str">
            <v>345 6054182</v>
          </cell>
          <cell r="P692" t="str">
            <v>info@domeserramenti.it</v>
          </cell>
          <cell r="R692" t="str">
            <v>BONIFICO BANCARIO, ALLA DATA DELLA NOSTRA CONFERMA D'ORDINE</v>
          </cell>
          <cell r="X692">
            <v>0.25</v>
          </cell>
          <cell r="Y692">
            <v>-0.04</v>
          </cell>
          <cell r="AB692">
            <v>0.25</v>
          </cell>
          <cell r="AC692">
            <v>0.25</v>
          </cell>
          <cell r="AD692">
            <v>0.25</v>
          </cell>
          <cell r="AE692">
            <v>0.25</v>
          </cell>
          <cell r="AF692">
            <v>0.25</v>
          </cell>
          <cell r="AG692">
            <v>0.25</v>
          </cell>
          <cell r="AH692">
            <v>0.25</v>
          </cell>
          <cell r="AI692">
            <v>0.25</v>
          </cell>
          <cell r="AJ692">
            <v>0.25</v>
          </cell>
          <cell r="AK692">
            <v>0.25</v>
          </cell>
          <cell r="AL692">
            <v>0.25</v>
          </cell>
          <cell r="AM692">
            <v>0.25</v>
          </cell>
          <cell r="AN692">
            <v>0.25</v>
          </cell>
          <cell r="AO692">
            <v>0.25</v>
          </cell>
          <cell r="AP692">
            <v>0.25</v>
          </cell>
          <cell r="AQ692">
            <v>0.25</v>
          </cell>
          <cell r="AR692">
            <v>0.25</v>
          </cell>
          <cell r="AS692">
            <v>0.25</v>
          </cell>
          <cell r="AT692">
            <v>-0.04</v>
          </cell>
          <cell r="AU692">
            <v>0.92</v>
          </cell>
          <cell r="AV692">
            <v>20</v>
          </cell>
          <cell r="AY692" t="str">
            <v/>
          </cell>
          <cell r="AZ692">
            <v>0.25</v>
          </cell>
          <cell r="BA692">
            <v>0.25</v>
          </cell>
        </row>
        <row r="693">
          <cell r="A693" t="str">
            <v>DOMENICO E FERDINANDO MARTELLA SNC</v>
          </cell>
          <cell r="M693" t="str">
            <v>UFFICIO ACQUISTI</v>
          </cell>
          <cell r="O693" t="str">
            <v>338 5677420</v>
          </cell>
          <cell r="R693" t="str">
            <v>BONIFICO BANCARIO, ALLA DATA DELLA NOSTRA CONFERMA D'ORDINE</v>
          </cell>
          <cell r="X693">
            <v>0.25</v>
          </cell>
          <cell r="Y693">
            <v>-0.04</v>
          </cell>
          <cell r="AB693">
            <v>0.25</v>
          </cell>
          <cell r="AC693">
            <v>0.25</v>
          </cell>
          <cell r="AD693">
            <v>0.25</v>
          </cell>
          <cell r="AE693">
            <v>0.25</v>
          </cell>
          <cell r="AF693">
            <v>0.25</v>
          </cell>
          <cell r="AG693">
            <v>0.25</v>
          </cell>
          <cell r="AH693">
            <v>0.25</v>
          </cell>
          <cell r="AI693">
            <v>0.25</v>
          </cell>
          <cell r="AJ693">
            <v>0.25</v>
          </cell>
          <cell r="AK693">
            <v>0.25</v>
          </cell>
          <cell r="AL693">
            <v>0.25</v>
          </cell>
          <cell r="AM693">
            <v>0.25</v>
          </cell>
          <cell r="AN693">
            <v>0.25</v>
          </cell>
          <cell r="AO693">
            <v>0.25</v>
          </cell>
          <cell r="AP693">
            <v>0.25</v>
          </cell>
          <cell r="AQ693">
            <v>0.25</v>
          </cell>
          <cell r="AR693">
            <v>0.25</v>
          </cell>
          <cell r="AS693">
            <v>0.25</v>
          </cell>
          <cell r="AT693">
            <v>-0.04</v>
          </cell>
          <cell r="AU693">
            <v>0.92</v>
          </cell>
          <cell r="AV693">
            <v>20</v>
          </cell>
          <cell r="AY693" t="str">
            <v/>
          </cell>
          <cell r="AZ693">
            <v>0.25</v>
          </cell>
          <cell r="BA693">
            <v>0.25</v>
          </cell>
        </row>
        <row r="694">
          <cell r="A694" t="str">
            <v>DOMENICO TROTTA</v>
          </cell>
          <cell r="D694" t="str">
            <v>VIA MIGLIARA 45</v>
          </cell>
          <cell r="E694" t="str">
            <v>04100</v>
          </cell>
          <cell r="F694" t="str">
            <v>BORGO GRAPPA</v>
          </cell>
          <cell r="G694" t="str">
            <v>LT</v>
          </cell>
          <cell r="H694" t="str">
            <v>ITALIA</v>
          </cell>
          <cell r="J694" t="str">
            <v>02886860598</v>
          </cell>
          <cell r="M694" t="str">
            <v>UFFICIO ACQUISTI</v>
          </cell>
          <cell r="N694" t="str">
            <v>389 9924865</v>
          </cell>
          <cell r="P694" t="str">
            <v>trottasrl2016@outlook</v>
          </cell>
          <cell r="R694" t="str">
            <v>BONIFICO BANCARIO, ALLA DATA DELLA NOSTRA CONFERMA D'ORDINE</v>
          </cell>
          <cell r="X694">
            <v>0.25</v>
          </cell>
          <cell r="Y694">
            <v>-0.04</v>
          </cell>
          <cell r="AB694">
            <v>0.25</v>
          </cell>
          <cell r="AC694">
            <v>0.25</v>
          </cell>
          <cell r="AD694">
            <v>0.25</v>
          </cell>
          <cell r="AE694">
            <v>0.25</v>
          </cell>
          <cell r="AF694">
            <v>0.25</v>
          </cell>
          <cell r="AG694">
            <v>0.25</v>
          </cell>
          <cell r="AH694">
            <v>0.25</v>
          </cell>
          <cell r="AI694">
            <v>0.25</v>
          </cell>
          <cell r="AJ694">
            <v>0.25</v>
          </cell>
          <cell r="AK694">
            <v>0.25</v>
          </cell>
          <cell r="AL694">
            <v>0.25</v>
          </cell>
          <cell r="AM694">
            <v>0.25</v>
          </cell>
          <cell r="AN694">
            <v>0.25</v>
          </cell>
          <cell r="AO694">
            <v>0.25</v>
          </cell>
          <cell r="AP694">
            <v>0.25</v>
          </cell>
          <cell r="AQ694">
            <v>0.25</v>
          </cell>
          <cell r="AR694">
            <v>0.25</v>
          </cell>
          <cell r="AS694">
            <v>0.25</v>
          </cell>
          <cell r="AT694">
            <v>-0.04</v>
          </cell>
          <cell r="AU694">
            <v>0.92</v>
          </cell>
          <cell r="AV694">
            <v>20</v>
          </cell>
          <cell r="AY694" t="str">
            <v/>
          </cell>
          <cell r="AZ694">
            <v>0.25</v>
          </cell>
          <cell r="BA694">
            <v>0.25</v>
          </cell>
        </row>
        <row r="695">
          <cell r="A695" t="str">
            <v>DOMENICO ZANOLETTI</v>
          </cell>
          <cell r="D695" t="str">
            <v>VIA XX SETTEMBRE, 38</v>
          </cell>
          <cell r="E695" t="str">
            <v>25063</v>
          </cell>
          <cell r="F695" t="str">
            <v>GARDONE V.T.</v>
          </cell>
          <cell r="G695" t="str">
            <v>BS</v>
          </cell>
          <cell r="H695" t="str">
            <v>ITALIA</v>
          </cell>
          <cell r="I695" t="str">
            <v>ZNLDNC44P15B157O</v>
          </cell>
          <cell r="J695" t="str">
            <v>00532790987</v>
          </cell>
          <cell r="M695" t="str">
            <v>UFFICIO ACQUISTI</v>
          </cell>
          <cell r="N695" t="str">
            <v>030 8912125</v>
          </cell>
          <cell r="P695" t="str">
            <v>ferramenta.zanoletti@alice.it</v>
          </cell>
          <cell r="R695" t="str">
            <v>BONIFICO BANCARIO, ALLA DATA DELLA NOSTRA CONFERMA D'ORDINE</v>
          </cell>
          <cell r="X695">
            <v>0.2</v>
          </cell>
          <cell r="Y695">
            <v>-0.04</v>
          </cell>
          <cell r="AB695">
            <v>0.2</v>
          </cell>
          <cell r="AC695">
            <v>0.2</v>
          </cell>
          <cell r="AD695">
            <v>0.2</v>
          </cell>
          <cell r="AE695">
            <v>0.2</v>
          </cell>
          <cell r="AF695">
            <v>0.2</v>
          </cell>
          <cell r="AG695">
            <v>0.2</v>
          </cell>
          <cell r="AH695">
            <v>0.2</v>
          </cell>
          <cell r="AI695">
            <v>0.2</v>
          </cell>
          <cell r="AJ695">
            <v>0.2</v>
          </cell>
          <cell r="AK695">
            <v>0.2</v>
          </cell>
          <cell r="AL695">
            <v>0.2</v>
          </cell>
          <cell r="AM695">
            <v>0.2</v>
          </cell>
          <cell r="AN695">
            <v>0.2</v>
          </cell>
          <cell r="AO695">
            <v>0.2</v>
          </cell>
          <cell r="AP695">
            <v>0.2</v>
          </cell>
          <cell r="AQ695">
            <v>0.2</v>
          </cell>
          <cell r="AR695">
            <v>0.2</v>
          </cell>
          <cell r="AS695">
            <v>0.2</v>
          </cell>
          <cell r="AT695">
            <v>-0.04</v>
          </cell>
          <cell r="AU695">
            <v>0.92</v>
          </cell>
          <cell r="AV695">
            <v>20</v>
          </cell>
          <cell r="AZ695">
            <v>0.2</v>
          </cell>
          <cell r="BA695">
            <v>0.2</v>
          </cell>
        </row>
        <row r="696">
          <cell r="A696" t="str">
            <v>DOMIS SERRAMENTI S.R.L.S.</v>
          </cell>
          <cell r="D696" t="str">
            <v>VIA PISCANE, 28</v>
          </cell>
          <cell r="E696">
            <v>20016</v>
          </cell>
          <cell r="F696" t="str">
            <v>PERO</v>
          </cell>
          <cell r="G696" t="str">
            <v>MI</v>
          </cell>
          <cell r="H696" t="str">
            <v>ITALIA</v>
          </cell>
          <cell r="I696" t="str">
            <v>03591830132</v>
          </cell>
          <cell r="J696" t="str">
            <v>03591830132</v>
          </cell>
          <cell r="M696" t="str">
            <v>UFFICIO ACQUISTI</v>
          </cell>
          <cell r="N696" t="str">
            <v>02 37074398</v>
          </cell>
          <cell r="O696" t="str">
            <v>Angelo 327 5618869</v>
          </cell>
          <cell r="P696" t="str">
            <v>info@serramentidomis.it</v>
          </cell>
          <cell r="R696" t="str">
            <v>BONIFICO BANCARIO, ALLA DATA DELLA NOSTRA CONFERMA D'ORDINE</v>
          </cell>
          <cell r="X696">
            <v>0.25</v>
          </cell>
          <cell r="Y696">
            <v>-0.04</v>
          </cell>
          <cell r="AB696">
            <v>0.25</v>
          </cell>
          <cell r="AC696">
            <v>0.25</v>
          </cell>
          <cell r="AD696">
            <v>0.25</v>
          </cell>
          <cell r="AE696">
            <v>0.25</v>
          </cell>
          <cell r="AF696">
            <v>0.25</v>
          </cell>
          <cell r="AG696">
            <v>0.25</v>
          </cell>
          <cell r="AH696">
            <v>0.25</v>
          </cell>
          <cell r="AI696">
            <v>0.25</v>
          </cell>
          <cell r="AJ696">
            <v>0.25</v>
          </cell>
          <cell r="AK696">
            <v>0.25</v>
          </cell>
          <cell r="AL696">
            <v>0.25</v>
          </cell>
          <cell r="AM696">
            <v>0.25</v>
          </cell>
          <cell r="AN696">
            <v>0.25</v>
          </cell>
          <cell r="AO696">
            <v>0.25</v>
          </cell>
          <cell r="AP696">
            <v>0.25</v>
          </cell>
          <cell r="AQ696">
            <v>0.25</v>
          </cell>
          <cell r="AR696">
            <v>0.25</v>
          </cell>
          <cell r="AS696">
            <v>0.25</v>
          </cell>
          <cell r="AT696">
            <v>-0.04</v>
          </cell>
          <cell r="AU696">
            <v>0.92</v>
          </cell>
          <cell r="AV696">
            <v>20</v>
          </cell>
          <cell r="AY696" t="str">
            <v/>
          </cell>
          <cell r="AZ696">
            <v>0.25</v>
          </cell>
          <cell r="BA696">
            <v>0.25</v>
          </cell>
        </row>
        <row r="697">
          <cell r="A697" t="str">
            <v>DOMOSYSTEM SRL</v>
          </cell>
          <cell r="D697" t="str">
            <v>SS ADRIATICA 131</v>
          </cell>
          <cell r="E697" t="str">
            <v>61121</v>
          </cell>
          <cell r="F697" t="str">
            <v>PESARO</v>
          </cell>
          <cell r="G697" t="str">
            <v>PU</v>
          </cell>
          <cell r="H697" t="str">
            <v>ITALIA</v>
          </cell>
          <cell r="M697" t="str">
            <v>UFFICIO ACQUISTI</v>
          </cell>
          <cell r="N697" t="str">
            <v>0721 402227</v>
          </cell>
          <cell r="O697" t="str">
            <v>335 7374781 PAOLO STEFANELLI</v>
          </cell>
          <cell r="R697" t="str">
            <v>BONIFICO BANCARIO, ALLA DATA DELLA NOSTRA CONFERMA D'ORDINE</v>
          </cell>
          <cell r="X697">
            <v>0.25</v>
          </cell>
          <cell r="Y697">
            <v>-0.04</v>
          </cell>
          <cell r="AB697">
            <v>0.25</v>
          </cell>
          <cell r="AC697">
            <v>0.25</v>
          </cell>
          <cell r="AD697">
            <v>0.25</v>
          </cell>
          <cell r="AE697">
            <v>0.25</v>
          </cell>
          <cell r="AF697">
            <v>0.25</v>
          </cell>
          <cell r="AG697">
            <v>0.25</v>
          </cell>
          <cell r="AH697">
            <v>0.25</v>
          </cell>
          <cell r="AI697">
            <v>0.25</v>
          </cell>
          <cell r="AJ697">
            <v>0.25</v>
          </cell>
          <cell r="AK697">
            <v>0.25</v>
          </cell>
          <cell r="AL697">
            <v>0.25</v>
          </cell>
          <cell r="AM697">
            <v>0.25</v>
          </cell>
          <cell r="AN697">
            <v>0.25</v>
          </cell>
          <cell r="AO697">
            <v>0.25</v>
          </cell>
          <cell r="AP697">
            <v>0.25</v>
          </cell>
          <cell r="AQ697">
            <v>0.25</v>
          </cell>
          <cell r="AR697">
            <v>0.25</v>
          </cell>
          <cell r="AS697">
            <v>0.25</v>
          </cell>
          <cell r="AT697">
            <v>-0.04</v>
          </cell>
          <cell r="AU697">
            <v>0.92</v>
          </cell>
          <cell r="AV697">
            <v>20</v>
          </cell>
          <cell r="AY697" t="str">
            <v/>
          </cell>
          <cell r="AZ697">
            <v>0.25</v>
          </cell>
          <cell r="BA697">
            <v>0.25</v>
          </cell>
        </row>
        <row r="698">
          <cell r="A698" t="str">
            <v>DOMUS AREA SRLS</v>
          </cell>
          <cell r="D698" t="str">
            <v>VIA UMBERTO GIORDANO, 106/108</v>
          </cell>
          <cell r="E698" t="str">
            <v>90144</v>
          </cell>
          <cell r="F698" t="str">
            <v>PALERMO</v>
          </cell>
          <cell r="G698" t="str">
            <v>PA</v>
          </cell>
          <cell r="H698" t="str">
            <v>ITALIA</v>
          </cell>
          <cell r="J698" t="str">
            <v>06878290821</v>
          </cell>
          <cell r="M698" t="str">
            <v>UFFICIO ACQUISTI</v>
          </cell>
          <cell r="N698" t="str">
            <v>0917462337</v>
          </cell>
          <cell r="O698" t="str">
            <v>389 6886270 sig. FRANCESCO SCHIFANI</v>
          </cell>
          <cell r="P698" t="str">
            <v>INFO@DOMUSAREA.STORE</v>
          </cell>
          <cell r="R698" t="str">
            <v>BONIFICO BANCARIO, ALLA DATA DELLA NOSTRA CONFERMA D'ORDINE</v>
          </cell>
          <cell r="X698">
            <v>0.2</v>
          </cell>
          <cell r="AB698">
            <v>0.2</v>
          </cell>
          <cell r="AC698">
            <v>0.2</v>
          </cell>
          <cell r="AD698">
            <v>0.2</v>
          </cell>
          <cell r="AE698">
            <v>0.2</v>
          </cell>
          <cell r="AF698">
            <v>0.2</v>
          </cell>
          <cell r="AG698">
            <v>0.2</v>
          </cell>
          <cell r="AH698">
            <v>0.2</v>
          </cell>
          <cell r="AI698">
            <v>0.2</v>
          </cell>
          <cell r="AJ698">
            <v>0.2</v>
          </cell>
          <cell r="AK698">
            <v>0.2</v>
          </cell>
          <cell r="AL698">
            <v>0.2</v>
          </cell>
          <cell r="AM698">
            <v>0.2</v>
          </cell>
          <cell r="AN698">
            <v>0.2</v>
          </cell>
          <cell r="AO698">
            <v>0.2</v>
          </cell>
          <cell r="AP698">
            <v>0.2</v>
          </cell>
          <cell r="AQ698">
            <v>0.2</v>
          </cell>
          <cell r="AR698">
            <v>0.2</v>
          </cell>
          <cell r="AS698">
            <v>0.2</v>
          </cell>
          <cell r="AU698">
            <v>0.88</v>
          </cell>
          <cell r="AV698">
            <v>20</v>
          </cell>
          <cell r="AZ698">
            <v>0.2</v>
          </cell>
          <cell r="BA698">
            <v>0.2</v>
          </cell>
        </row>
        <row r="699">
          <cell r="A699" t="str">
            <v xml:space="preserve">DOMUS PORTAE </v>
          </cell>
          <cell r="B699" t="str">
            <v>GEOM. ANDREA SCALIA</v>
          </cell>
          <cell r="D699" t="str">
            <v>CORSO ANTONIO GRAMSCI, 100</v>
          </cell>
          <cell r="E699" t="str">
            <v>91025</v>
          </cell>
          <cell r="F699" t="str">
            <v>MARSALA</v>
          </cell>
          <cell r="G699" t="str">
            <v>TP</v>
          </cell>
          <cell r="H699" t="str">
            <v>ITALIA</v>
          </cell>
          <cell r="J699" t="str">
            <v>02136830813</v>
          </cell>
          <cell r="M699" t="str">
            <v>UFFICIO ACQUISTI</v>
          </cell>
          <cell r="N699" t="str">
            <v>0923 718146</v>
          </cell>
          <cell r="O699" t="str">
            <v>348 7102075</v>
          </cell>
          <cell r="P699" t="str">
            <v>domusportae@libero.it</v>
          </cell>
          <cell r="R699" t="str">
            <v>BONIFICO BANCARIO, ALLA DATA DELLA NOSTRA CONFERMA D'ORDINE</v>
          </cell>
          <cell r="X699">
            <v>0.25</v>
          </cell>
          <cell r="Y699">
            <v>-0.04</v>
          </cell>
          <cell r="AB699">
            <v>0.25</v>
          </cell>
          <cell r="AC699">
            <v>0.25</v>
          </cell>
          <cell r="AD699">
            <v>0.25</v>
          </cell>
          <cell r="AE699">
            <v>0.25</v>
          </cell>
          <cell r="AF699">
            <v>0.25</v>
          </cell>
          <cell r="AG699">
            <v>0.25</v>
          </cell>
          <cell r="AH699">
            <v>0.25</v>
          </cell>
          <cell r="AI699">
            <v>0.25</v>
          </cell>
          <cell r="AJ699">
            <v>0.25</v>
          </cell>
          <cell r="AK699">
            <v>0.25</v>
          </cell>
          <cell r="AL699">
            <v>0.25</v>
          </cell>
          <cell r="AM699">
            <v>0.25</v>
          </cell>
          <cell r="AN699">
            <v>0.25</v>
          </cell>
          <cell r="AO699">
            <v>0.25</v>
          </cell>
          <cell r="AP699">
            <v>0.25</v>
          </cell>
          <cell r="AQ699">
            <v>0.25</v>
          </cell>
          <cell r="AR699">
            <v>0.25</v>
          </cell>
          <cell r="AS699">
            <v>0.25</v>
          </cell>
          <cell r="AT699">
            <v>-0.04</v>
          </cell>
          <cell r="AU699">
            <v>0.92</v>
          </cell>
          <cell r="AV699">
            <v>20</v>
          </cell>
          <cell r="AY699" t="str">
            <v/>
          </cell>
          <cell r="AZ699">
            <v>0.25</v>
          </cell>
          <cell r="BA699">
            <v>0.25</v>
          </cell>
        </row>
        <row r="700">
          <cell r="A700" t="str">
            <v>DOMUS PORTE E FINESTRE</v>
          </cell>
          <cell r="D700" t="str">
            <v>VIA LEONINO VINCIPROVA, 14</v>
          </cell>
          <cell r="E700">
            <v>84127</v>
          </cell>
          <cell r="F700" t="str">
            <v>SALERNO</v>
          </cell>
          <cell r="G700" t="str">
            <v>SA</v>
          </cell>
          <cell r="H700" t="str">
            <v>ITALIA</v>
          </cell>
          <cell r="J700" t="str">
            <v>05557850657</v>
          </cell>
          <cell r="M700" t="str">
            <v>UFFICIO ACQUISTI</v>
          </cell>
          <cell r="N700" t="str">
            <v>089 796523</v>
          </cell>
          <cell r="O700" t="str">
            <v>Maurizio Silvestri 338 5745893</v>
          </cell>
          <cell r="P700" t="str">
            <v>tecnico@domus-ita.it</v>
          </cell>
          <cell r="R700" t="str">
            <v>BONIFICO BANCARIO, ALLA DATA DELLA NOSTRA CONFERMA D'ORDINE</v>
          </cell>
          <cell r="X700">
            <v>0.25</v>
          </cell>
          <cell r="Y700">
            <v>-0.04</v>
          </cell>
          <cell r="AB700">
            <v>0.25</v>
          </cell>
          <cell r="AC700">
            <v>0.25</v>
          </cell>
          <cell r="AD700">
            <v>0.25</v>
          </cell>
          <cell r="AE700">
            <v>0.25</v>
          </cell>
          <cell r="AF700">
            <v>0.25</v>
          </cell>
          <cell r="AG700">
            <v>0.25</v>
          </cell>
          <cell r="AH700">
            <v>0.25</v>
          </cell>
          <cell r="AI700">
            <v>0.25</v>
          </cell>
          <cell r="AJ700">
            <v>0.25</v>
          </cell>
          <cell r="AK700">
            <v>0.25</v>
          </cell>
          <cell r="AL700">
            <v>0.25</v>
          </cell>
          <cell r="AM700">
            <v>0.25</v>
          </cell>
          <cell r="AN700">
            <v>0.25</v>
          </cell>
          <cell r="AO700">
            <v>0.25</v>
          </cell>
          <cell r="AP700">
            <v>0.25</v>
          </cell>
          <cell r="AQ700">
            <v>0.25</v>
          </cell>
          <cell r="AR700">
            <v>0.25</v>
          </cell>
          <cell r="AS700">
            <v>0.25</v>
          </cell>
          <cell r="AT700">
            <v>-0.04</v>
          </cell>
          <cell r="AU700">
            <v>0.92</v>
          </cell>
          <cell r="AV700">
            <v>20</v>
          </cell>
          <cell r="AZ700">
            <v>0.25</v>
          </cell>
          <cell r="BA700">
            <v>0.25</v>
          </cell>
        </row>
        <row r="701">
          <cell r="A701" t="str">
            <v>DONA' METAL INFISSI</v>
          </cell>
          <cell r="D701" t="str">
            <v>VIA GILLES VILLENEUVE, 6</v>
          </cell>
          <cell r="E701" t="str">
            <v>04016</v>
          </cell>
          <cell r="F701" t="str">
            <v>SABAUDIA</v>
          </cell>
          <cell r="G701" t="str">
            <v>LT</v>
          </cell>
          <cell r="H701" t="str">
            <v>ITALIA</v>
          </cell>
          <cell r="M701" t="str">
            <v>UFFICIO ACQUISTI</v>
          </cell>
          <cell r="O701" t="str">
            <v>380 4784419 ALESSIO    333 3803303 BRUNO</v>
          </cell>
          <cell r="P701" t="str">
            <v>donametalinfissi5@gmail.com</v>
          </cell>
          <cell r="R701" t="str">
            <v>BONIFICO BANCARIO, ALLA DATA DELLA NOSTRA CONFERMA D'ORDINE</v>
          </cell>
          <cell r="X701">
            <v>0.2</v>
          </cell>
          <cell r="Y701">
            <v>-0.04</v>
          </cell>
          <cell r="AB701">
            <v>0.2</v>
          </cell>
          <cell r="AC701">
            <v>0.2</v>
          </cell>
          <cell r="AD701">
            <v>0.2</v>
          </cell>
          <cell r="AE701">
            <v>0.2</v>
          </cell>
          <cell r="AF701">
            <v>0.2</v>
          </cell>
          <cell r="AG701">
            <v>0.2</v>
          </cell>
          <cell r="AH701">
            <v>0.2</v>
          </cell>
          <cell r="AI701">
            <v>0.2</v>
          </cell>
          <cell r="AJ701">
            <v>0.2</v>
          </cell>
          <cell r="AK701">
            <v>0.2</v>
          </cell>
          <cell r="AL701">
            <v>0.2</v>
          </cell>
          <cell r="AM701">
            <v>0.2</v>
          </cell>
          <cell r="AN701">
            <v>0.2</v>
          </cell>
          <cell r="AO701">
            <v>0.2</v>
          </cell>
          <cell r="AP701">
            <v>0.2</v>
          </cell>
          <cell r="AQ701">
            <v>0.2</v>
          </cell>
          <cell r="AR701">
            <v>0.2</v>
          </cell>
          <cell r="AS701">
            <v>0.2</v>
          </cell>
          <cell r="AT701">
            <v>-0.04</v>
          </cell>
          <cell r="AU701">
            <v>0.92</v>
          </cell>
          <cell r="AV701">
            <v>20</v>
          </cell>
          <cell r="AZ701">
            <v>0.2</v>
          </cell>
          <cell r="BA701">
            <v>0.2</v>
          </cell>
        </row>
        <row r="702">
          <cell r="A702" t="str">
            <v>DONATI SERRAMENTI SRL</v>
          </cell>
          <cell r="D702" t="str">
            <v>VIA DELLA FONTE 7/A</v>
          </cell>
          <cell r="E702" t="str">
            <v>33039</v>
          </cell>
          <cell r="F702" t="str">
            <v>SEDEGLIANO</v>
          </cell>
          <cell r="G702" t="str">
            <v>UD</v>
          </cell>
          <cell r="H702" t="str">
            <v>ITALIA</v>
          </cell>
          <cell r="J702" t="str">
            <v>02200270300</v>
          </cell>
          <cell r="M702" t="str">
            <v>UFFICIO ACQUISTI</v>
          </cell>
          <cell r="N702" t="str">
            <v>0432 916106</v>
          </cell>
          <cell r="P702" t="str">
            <v>donatiserramenti@libero.it</v>
          </cell>
          <cell r="R702" t="str">
            <v>BONIFICO BANCARIO, ALLA DATA DELLA NOSTRA CONFERMA D'ORDINE</v>
          </cell>
          <cell r="X702">
            <v>0.25</v>
          </cell>
          <cell r="Y702">
            <v>-0.04</v>
          </cell>
          <cell r="AB702">
            <v>0.25</v>
          </cell>
          <cell r="AC702">
            <v>0.25</v>
          </cell>
          <cell r="AD702">
            <v>0.25</v>
          </cell>
          <cell r="AE702">
            <v>0.25</v>
          </cell>
          <cell r="AF702">
            <v>0.25</v>
          </cell>
          <cell r="AG702">
            <v>0.25</v>
          </cell>
          <cell r="AH702">
            <v>0.25</v>
          </cell>
          <cell r="AI702">
            <v>0.25</v>
          </cell>
          <cell r="AJ702">
            <v>0.25</v>
          </cell>
          <cell r="AK702">
            <v>0.25</v>
          </cell>
          <cell r="AL702">
            <v>0.25</v>
          </cell>
          <cell r="AM702">
            <v>0.25</v>
          </cell>
          <cell r="AN702">
            <v>0.25</v>
          </cell>
          <cell r="AO702">
            <v>0.25</v>
          </cell>
          <cell r="AP702">
            <v>0.25</v>
          </cell>
          <cell r="AQ702">
            <v>0.25</v>
          </cell>
          <cell r="AR702">
            <v>0.25</v>
          </cell>
          <cell r="AS702">
            <v>0.25</v>
          </cell>
          <cell r="AT702">
            <v>-0.04</v>
          </cell>
          <cell r="AU702">
            <v>0.92</v>
          </cell>
          <cell r="AV702">
            <v>20</v>
          </cell>
          <cell r="AY702" t="str">
            <v/>
          </cell>
          <cell r="AZ702">
            <v>0.25</v>
          </cell>
          <cell r="BA702">
            <v>0.25</v>
          </cell>
        </row>
        <row r="703">
          <cell r="A703" t="str">
            <v>DONELLI AVVOLGIBILI SRL</v>
          </cell>
          <cell r="D703" t="str">
            <v>VIA BOCCACCINO, 3</v>
          </cell>
          <cell r="E703">
            <v>42024</v>
          </cell>
          <cell r="F703" t="str">
            <v>CASTELNUOVO DI SOTTO</v>
          </cell>
          <cell r="G703" t="str">
            <v>RE</v>
          </cell>
          <cell r="H703" t="str">
            <v>ITALIA</v>
          </cell>
          <cell r="I703" t="str">
            <v>02001430350</v>
          </cell>
          <cell r="J703" t="str">
            <v>02001430350</v>
          </cell>
          <cell r="M703" t="str">
            <v>UFFICIO ACQUISTI</v>
          </cell>
          <cell r="N703" t="str">
            <v>0522 683326</v>
          </cell>
          <cell r="P703" t="str">
            <v>info@donelliavvolgibili.it</v>
          </cell>
          <cell r="R703" t="str">
            <v>BONIFICO BANCARIO, ALLA DATA DELLA NOSTRA CONFERMA D'ORDINE</v>
          </cell>
          <cell r="X703">
            <v>0.25</v>
          </cell>
          <cell r="Y703">
            <v>-0.04</v>
          </cell>
          <cell r="AB703">
            <v>0.25</v>
          </cell>
          <cell r="AC703">
            <v>0.25</v>
          </cell>
          <cell r="AD703">
            <v>0.25</v>
          </cell>
          <cell r="AE703">
            <v>0.25</v>
          </cell>
          <cell r="AF703">
            <v>0.25</v>
          </cell>
          <cell r="AG703">
            <v>0.25</v>
          </cell>
          <cell r="AH703">
            <v>0.25</v>
          </cell>
          <cell r="AI703">
            <v>0.25</v>
          </cell>
          <cell r="AJ703">
            <v>0.25</v>
          </cell>
          <cell r="AK703">
            <v>0.25</v>
          </cell>
          <cell r="AL703">
            <v>0.25</v>
          </cell>
          <cell r="AM703">
            <v>0.25</v>
          </cell>
          <cell r="AN703">
            <v>0.25</v>
          </cell>
          <cell r="AO703">
            <v>0.25</v>
          </cell>
          <cell r="AP703">
            <v>0.25</v>
          </cell>
          <cell r="AQ703">
            <v>0.25</v>
          </cell>
          <cell r="AR703">
            <v>0.25</v>
          </cell>
          <cell r="AS703">
            <v>0.25</v>
          </cell>
          <cell r="AT703">
            <v>-0.04</v>
          </cell>
          <cell r="AU703">
            <v>0.92</v>
          </cell>
          <cell r="AV703">
            <v>20</v>
          </cell>
          <cell r="AZ703">
            <v>0.25</v>
          </cell>
          <cell r="BA703">
            <v>0.25</v>
          </cell>
        </row>
        <row r="704">
          <cell r="A704" t="str">
            <v>DONINI &amp; NICOLINI</v>
          </cell>
          <cell r="D704" t="str">
            <v>VIA LUSSEMBURGO, 15</v>
          </cell>
          <cell r="E704">
            <v>41122</v>
          </cell>
          <cell r="F704" t="str">
            <v>MODENA</v>
          </cell>
          <cell r="G704" t="str">
            <v>MO</v>
          </cell>
          <cell r="H704" t="str">
            <v>ITALIA</v>
          </cell>
          <cell r="M704" t="str">
            <v>UFFICIO ACQUISTI</v>
          </cell>
          <cell r="N704" t="str">
            <v>059 310570</v>
          </cell>
          <cell r="P704" t="str">
            <v>info@dnporte.it</v>
          </cell>
          <cell r="R704" t="str">
            <v>BONIFICO BANCARIO, ALLA DATA DELLA NOSTRA CONFERMA D'ORDINE</v>
          </cell>
          <cell r="W704" t="str">
            <v>ACQUA SALATA</v>
          </cell>
          <cell r="X704">
            <v>0</v>
          </cell>
          <cell r="Y704">
            <v>-0.04</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-0.04</v>
          </cell>
          <cell r="AU704">
            <v>0.92</v>
          </cell>
          <cell r="AV704">
            <v>20</v>
          </cell>
          <cell r="AZ704">
            <v>0</v>
          </cell>
          <cell r="BA704">
            <v>0</v>
          </cell>
        </row>
        <row r="705">
          <cell r="A705" t="str">
            <v xml:space="preserve">DOOR CASA </v>
          </cell>
          <cell r="D705" t="str">
            <v>VIA OLMO, 38</v>
          </cell>
          <cell r="E705">
            <v>36051</v>
          </cell>
          <cell r="F705" t="str">
            <v>CREAZZO</v>
          </cell>
          <cell r="G705" t="str">
            <v>VI</v>
          </cell>
          <cell r="H705" t="str">
            <v>ITALIA</v>
          </cell>
          <cell r="J705" t="str">
            <v>04179650280</v>
          </cell>
          <cell r="M705" t="str">
            <v>UFFICIO ACQUISTI</v>
          </cell>
          <cell r="N705" t="str">
            <v>0444 523276</v>
          </cell>
          <cell r="O705" t="str">
            <v>Sergio Scibilia 3336590510</v>
          </cell>
          <cell r="P705" t="str">
            <v>doorcasasas@gmail.com</v>
          </cell>
          <cell r="R705" t="str">
            <v>BONIFICO BANCARIO, ALLA DATA DELLA NOSTRA CONFERMA D'ORDINE</v>
          </cell>
          <cell r="X705">
            <v>0.25</v>
          </cell>
          <cell r="Y705">
            <v>-0.04</v>
          </cell>
          <cell r="AB705">
            <v>0.25</v>
          </cell>
          <cell r="AC705">
            <v>0.25</v>
          </cell>
          <cell r="AD705">
            <v>0.25</v>
          </cell>
          <cell r="AE705">
            <v>0.25</v>
          </cell>
          <cell r="AF705">
            <v>0.25</v>
          </cell>
          <cell r="AG705">
            <v>0.25</v>
          </cell>
          <cell r="AH705">
            <v>0.25</v>
          </cell>
          <cell r="AI705">
            <v>0.25</v>
          </cell>
          <cell r="AJ705">
            <v>0.25</v>
          </cell>
          <cell r="AK705">
            <v>0.25</v>
          </cell>
          <cell r="AL705">
            <v>0.25</v>
          </cell>
          <cell r="AM705">
            <v>0.25</v>
          </cell>
          <cell r="AN705">
            <v>0.25</v>
          </cell>
          <cell r="AO705">
            <v>0.25</v>
          </cell>
          <cell r="AP705">
            <v>0.25</v>
          </cell>
          <cell r="AQ705">
            <v>0.25</v>
          </cell>
          <cell r="AR705">
            <v>0.25</v>
          </cell>
          <cell r="AS705">
            <v>0.25</v>
          </cell>
          <cell r="AT705">
            <v>-0.04</v>
          </cell>
          <cell r="AU705">
            <v>0.92</v>
          </cell>
          <cell r="AV705">
            <v>20</v>
          </cell>
          <cell r="AY705" t="str">
            <v/>
          </cell>
          <cell r="AZ705">
            <v>0.25</v>
          </cell>
          <cell r="BA705">
            <v>0.25</v>
          </cell>
        </row>
        <row r="706">
          <cell r="A706" t="str">
            <v>DOOR DESIGN SNC</v>
          </cell>
          <cell r="D706" t="str">
            <v>CORSO NOVARA, 15</v>
          </cell>
          <cell r="E706">
            <v>27029</v>
          </cell>
          <cell r="F706" t="str">
            <v>VIGEVANO</v>
          </cell>
          <cell r="G706" t="str">
            <v>PV</v>
          </cell>
          <cell r="H706" t="str">
            <v>ITALIA</v>
          </cell>
          <cell r="J706" t="str">
            <v>02220450189</v>
          </cell>
          <cell r="K706" t="str">
            <v>SZLUBAI</v>
          </cell>
          <cell r="M706" t="str">
            <v>UFFICIO ACQUISTI</v>
          </cell>
          <cell r="N706" t="str">
            <v>0381 76109</v>
          </cell>
          <cell r="P706" t="str">
            <v>info@doordesign.it</v>
          </cell>
          <cell r="R706" t="str">
            <v>BONIFICO BANCARIO, ALLA DATA DELLA NOSTRA CONFERMA D'ORDINE</v>
          </cell>
          <cell r="X706">
            <v>0.25</v>
          </cell>
          <cell r="Y706">
            <v>-0.04</v>
          </cell>
          <cell r="AB706">
            <v>0.25</v>
          </cell>
          <cell r="AC706">
            <v>0.25</v>
          </cell>
          <cell r="AD706">
            <v>0.25</v>
          </cell>
          <cell r="AE706">
            <v>0.25</v>
          </cell>
          <cell r="AF706">
            <v>0.25</v>
          </cell>
          <cell r="AG706">
            <v>0.25</v>
          </cell>
          <cell r="AH706">
            <v>0.25</v>
          </cell>
          <cell r="AI706">
            <v>0.25</v>
          </cell>
          <cell r="AJ706">
            <v>0.25</v>
          </cell>
          <cell r="AK706">
            <v>0.25</v>
          </cell>
          <cell r="AL706">
            <v>0.25</v>
          </cell>
          <cell r="AM706">
            <v>0.25</v>
          </cell>
          <cell r="AN706">
            <v>0.25</v>
          </cell>
          <cell r="AO706">
            <v>0.25</v>
          </cell>
          <cell r="AP706">
            <v>0.25</v>
          </cell>
          <cell r="AQ706">
            <v>0.25</v>
          </cell>
          <cell r="AR706">
            <v>0.25</v>
          </cell>
          <cell r="AS706">
            <v>0.25</v>
          </cell>
          <cell r="AT706">
            <v>-0.04</v>
          </cell>
          <cell r="AU706">
            <v>0.92</v>
          </cell>
          <cell r="AV706">
            <v>20</v>
          </cell>
          <cell r="AZ706">
            <v>0.25</v>
          </cell>
          <cell r="BA706">
            <v>0.25</v>
          </cell>
          <cell r="BF706" t="str">
            <v>CLICK RAPID con carpenteria 12/06/2020</v>
          </cell>
        </row>
        <row r="707">
          <cell r="A707" t="str">
            <v>DOOR SYSTEM SA</v>
          </cell>
          <cell r="B707" t="str">
            <v>CLAUDIO ROSSI CAPO</v>
          </cell>
          <cell r="D707" t="str">
            <v>CENTRO ALA</v>
          </cell>
          <cell r="E707">
            <v>6528</v>
          </cell>
          <cell r="F707" t="str">
            <v>CAMORINO</v>
          </cell>
          <cell r="H707" t="str">
            <v>SVIZZERA</v>
          </cell>
          <cell r="M707" t="str">
            <v>UFFICIO ACQUISTI</v>
          </cell>
          <cell r="N707" t="str">
            <v>091 9309575</v>
          </cell>
          <cell r="P707" t="str">
            <v>claudio@doorsystem.ch</v>
          </cell>
          <cell r="R707" t="str">
            <v>BONIFICO BANCARIO, ALLA DATA DELLA NOSTRA CONFERMA D'ORDINE</v>
          </cell>
          <cell r="X707">
            <v>0.25</v>
          </cell>
          <cell r="Y707">
            <v>-0.04</v>
          </cell>
          <cell r="AB707">
            <v>0.25</v>
          </cell>
          <cell r="AC707">
            <v>0.25</v>
          </cell>
          <cell r="AD707">
            <v>0.25</v>
          </cell>
          <cell r="AE707">
            <v>0.25</v>
          </cell>
          <cell r="AF707">
            <v>0.25</v>
          </cell>
          <cell r="AG707">
            <v>0.25</v>
          </cell>
          <cell r="AH707">
            <v>0.25</v>
          </cell>
          <cell r="AI707">
            <v>0.25</v>
          </cell>
          <cell r="AJ707">
            <v>0.25</v>
          </cell>
          <cell r="AK707">
            <v>0.25</v>
          </cell>
          <cell r="AL707">
            <v>0.25</v>
          </cell>
          <cell r="AM707">
            <v>0.25</v>
          </cell>
          <cell r="AN707">
            <v>0.25</v>
          </cell>
          <cell r="AO707">
            <v>0.25</v>
          </cell>
          <cell r="AP707">
            <v>0.25</v>
          </cell>
          <cell r="AQ707">
            <v>0.25</v>
          </cell>
          <cell r="AR707">
            <v>0.25</v>
          </cell>
          <cell r="AS707">
            <v>0.25</v>
          </cell>
          <cell r="AT707">
            <v>-0.04</v>
          </cell>
          <cell r="AU707">
            <v>0.92</v>
          </cell>
          <cell r="AV707">
            <v>20</v>
          </cell>
          <cell r="AY707" t="str">
            <v/>
          </cell>
          <cell r="AZ707">
            <v>0.25</v>
          </cell>
          <cell r="BA707">
            <v>0.25</v>
          </cell>
        </row>
        <row r="708">
          <cell r="A708" t="str">
            <v>DOORS SYSTEMS DI MAFFIOLI ROBERTO</v>
          </cell>
          <cell r="D708" t="str">
            <v>VIALE LIBERTA' 4</v>
          </cell>
          <cell r="E708" t="str">
            <v>27040</v>
          </cell>
          <cell r="F708" t="str">
            <v>PAVIA</v>
          </cell>
          <cell r="G708" t="str">
            <v>PV</v>
          </cell>
          <cell r="H708" t="str">
            <v>ITALIA</v>
          </cell>
          <cell r="M708" t="str">
            <v>UFFICIO ACQUISTI</v>
          </cell>
          <cell r="N708" t="str">
            <v>0385 656110</v>
          </cell>
          <cell r="R708" t="str">
            <v>BONIFICO BANCARIO, ALLA DATA DELLA NOSTRA CONFERMA D'ORDINE</v>
          </cell>
          <cell r="X708">
            <v>0.25</v>
          </cell>
          <cell r="Y708">
            <v>-0.04</v>
          </cell>
          <cell r="AB708">
            <v>0.25</v>
          </cell>
          <cell r="AC708">
            <v>0.25</v>
          </cell>
          <cell r="AD708">
            <v>0.25</v>
          </cell>
          <cell r="AE708">
            <v>0.25</v>
          </cell>
          <cell r="AF708">
            <v>0.25</v>
          </cell>
          <cell r="AG708">
            <v>0.25</v>
          </cell>
          <cell r="AH708">
            <v>0.25</v>
          </cell>
          <cell r="AI708">
            <v>0.25</v>
          </cell>
          <cell r="AJ708">
            <v>0.25</v>
          </cell>
          <cell r="AK708">
            <v>0.25</v>
          </cell>
          <cell r="AL708">
            <v>0.25</v>
          </cell>
          <cell r="AM708">
            <v>0.25</v>
          </cell>
          <cell r="AN708">
            <v>0.25</v>
          </cell>
          <cell r="AO708">
            <v>0.25</v>
          </cell>
          <cell r="AP708">
            <v>0.25</v>
          </cell>
          <cell r="AQ708">
            <v>0.25</v>
          </cell>
          <cell r="AR708">
            <v>0.25</v>
          </cell>
          <cell r="AS708">
            <v>0.25</v>
          </cell>
          <cell r="AT708">
            <v>-0.04</v>
          </cell>
          <cell r="AU708">
            <v>0.92</v>
          </cell>
          <cell r="AV708">
            <v>20</v>
          </cell>
          <cell r="AY708" t="str">
            <v/>
          </cell>
          <cell r="AZ708">
            <v>0.25</v>
          </cell>
          <cell r="BA708">
            <v>0.25</v>
          </cell>
        </row>
        <row r="709">
          <cell r="A709" t="str">
            <v>DORKEN GMBH &amp; CO. KG</v>
          </cell>
          <cell r="N709" t="str">
            <v>02330 63 - 465</v>
          </cell>
          <cell r="O709" t="str">
            <v>0163 6363465</v>
          </cell>
          <cell r="P709" t="str">
            <v>fbudak@doerken.de</v>
          </cell>
          <cell r="R709" t="str">
            <v>BONIFICO BANCARIO, ALLA DATA DELLA NOSTRA CONFERMA D'ORDINE</v>
          </cell>
          <cell r="X709">
            <v>0.25</v>
          </cell>
          <cell r="Y709">
            <v>-0.04</v>
          </cell>
          <cell r="AB709">
            <v>0.25</v>
          </cell>
          <cell r="AC709">
            <v>0.25</v>
          </cell>
          <cell r="AD709">
            <v>0.25</v>
          </cell>
          <cell r="AE709">
            <v>0.25</v>
          </cell>
          <cell r="AF709">
            <v>0.25</v>
          </cell>
          <cell r="AG709">
            <v>0.25</v>
          </cell>
          <cell r="AH709">
            <v>0.25</v>
          </cell>
          <cell r="AI709">
            <v>0.25</v>
          </cell>
          <cell r="AJ709">
            <v>0.25</v>
          </cell>
          <cell r="AK709">
            <v>0.25</v>
          </cell>
          <cell r="AL709">
            <v>0.25</v>
          </cell>
          <cell r="AM709">
            <v>0.25</v>
          </cell>
          <cell r="AN709">
            <v>0.25</v>
          </cell>
          <cell r="AO709">
            <v>0.25</v>
          </cell>
          <cell r="AP709">
            <v>0.25</v>
          </cell>
          <cell r="AQ709">
            <v>0.25</v>
          </cell>
          <cell r="AR709">
            <v>0.25</v>
          </cell>
          <cell r="AS709">
            <v>0.25</v>
          </cell>
          <cell r="AT709">
            <v>-0.04</v>
          </cell>
          <cell r="AU709">
            <v>0.92</v>
          </cell>
          <cell r="AV709">
            <v>20</v>
          </cell>
          <cell r="AZ709">
            <v>0.25</v>
          </cell>
          <cell r="BA709">
            <v>0.25</v>
          </cell>
        </row>
        <row r="710">
          <cell r="A710" t="str">
            <v>DOTT. ARCH. ORIETTA DOTTI</v>
          </cell>
          <cell r="D710" t="str">
            <v>VIA TOCE 9</v>
          </cell>
          <cell r="E710">
            <v>20159</v>
          </cell>
          <cell r="F710" t="str">
            <v>MILANO</v>
          </cell>
          <cell r="G710" t="str">
            <v>MI</v>
          </cell>
          <cell r="H710" t="str">
            <v>ITALIA</v>
          </cell>
          <cell r="M710" t="str">
            <v>UFFICIO ACQUISTI</v>
          </cell>
          <cell r="N710" t="str">
            <v>02 69009293</v>
          </cell>
          <cell r="O710" t="str">
            <v>335 5956052</v>
          </cell>
          <cell r="P710" t="str">
            <v>oridot@tiscali.it</v>
          </cell>
          <cell r="R710" t="str">
            <v>BONIFICO BANCARIO, ALLA DATA DELLA NOSTRA CONFERMA D'ORDINE</v>
          </cell>
          <cell r="X710">
            <v>0.25</v>
          </cell>
          <cell r="Y710">
            <v>-0.04</v>
          </cell>
          <cell r="AB710">
            <v>0.25</v>
          </cell>
          <cell r="AC710">
            <v>0.25</v>
          </cell>
          <cell r="AD710">
            <v>0.25</v>
          </cell>
          <cell r="AE710">
            <v>0.25</v>
          </cell>
          <cell r="AF710">
            <v>0.25</v>
          </cell>
          <cell r="AG710">
            <v>0.25</v>
          </cell>
          <cell r="AH710">
            <v>0.25</v>
          </cell>
          <cell r="AI710">
            <v>0.25</v>
          </cell>
          <cell r="AJ710">
            <v>0.25</v>
          </cell>
          <cell r="AK710">
            <v>0.25</v>
          </cell>
          <cell r="AL710">
            <v>0.25</v>
          </cell>
          <cell r="AM710">
            <v>0.25</v>
          </cell>
          <cell r="AN710">
            <v>0.25</v>
          </cell>
          <cell r="AO710">
            <v>0.25</v>
          </cell>
          <cell r="AP710">
            <v>0.25</v>
          </cell>
          <cell r="AQ710">
            <v>0.25</v>
          </cell>
          <cell r="AR710">
            <v>0.25</v>
          </cell>
          <cell r="AS710">
            <v>0.25</v>
          </cell>
          <cell r="AT710">
            <v>-0.04</v>
          </cell>
          <cell r="AU710">
            <v>0.92</v>
          </cell>
          <cell r="AV710">
            <v>20</v>
          </cell>
          <cell r="AY710" t="str">
            <v/>
          </cell>
          <cell r="AZ710">
            <v>0.25</v>
          </cell>
          <cell r="BA710">
            <v>0.25</v>
          </cell>
        </row>
        <row r="711">
          <cell r="A711" t="str">
            <v>DOTT. ING. CARLO CONDOTTI</v>
          </cell>
          <cell r="D711" t="str">
            <v xml:space="preserve">VIA BASTONE 137 </v>
          </cell>
          <cell r="E711">
            <v>20044</v>
          </cell>
          <cell r="F711" t="str">
            <v>DALMINE</v>
          </cell>
          <cell r="G711" t="str">
            <v>BG</v>
          </cell>
          <cell r="H711" t="str">
            <v>ITALIA</v>
          </cell>
          <cell r="J711" t="str">
            <v>03299340160</v>
          </cell>
          <cell r="M711" t="str">
            <v>UFFICIO ACQUISTI</v>
          </cell>
          <cell r="O711" t="str">
            <v>347 9404548</v>
          </cell>
          <cell r="R711" t="str">
            <v>BONIFICO BANCARIO, ALLA DATA DELLA NOSTRA CONFERMA D'ORDINE</v>
          </cell>
          <cell r="X711">
            <v>0.25</v>
          </cell>
          <cell r="Y711">
            <v>-0.04</v>
          </cell>
          <cell r="AB711">
            <v>0.25</v>
          </cell>
          <cell r="AC711">
            <v>0.25</v>
          </cell>
          <cell r="AD711">
            <v>0.25</v>
          </cell>
          <cell r="AE711">
            <v>0.25</v>
          </cell>
          <cell r="AF711">
            <v>0.25</v>
          </cell>
          <cell r="AG711">
            <v>0.25</v>
          </cell>
          <cell r="AH711">
            <v>0.25</v>
          </cell>
          <cell r="AI711">
            <v>0.25</v>
          </cell>
          <cell r="AJ711">
            <v>0.25</v>
          </cell>
          <cell r="AK711">
            <v>0.25</v>
          </cell>
          <cell r="AL711">
            <v>0.25</v>
          </cell>
          <cell r="AM711">
            <v>0.25</v>
          </cell>
          <cell r="AN711">
            <v>0.25</v>
          </cell>
          <cell r="AO711">
            <v>0.25</v>
          </cell>
          <cell r="AP711">
            <v>0.25</v>
          </cell>
          <cell r="AQ711">
            <v>0.25</v>
          </cell>
          <cell r="AR711">
            <v>0.25</v>
          </cell>
          <cell r="AS711">
            <v>0.25</v>
          </cell>
          <cell r="AT711">
            <v>-0.04</v>
          </cell>
          <cell r="AU711">
            <v>0.92</v>
          </cell>
          <cell r="AV711">
            <v>20</v>
          </cell>
          <cell r="AY711" t="str">
            <v/>
          </cell>
          <cell r="AZ711">
            <v>0.25</v>
          </cell>
          <cell r="BA711">
            <v>0.25</v>
          </cell>
        </row>
        <row r="712">
          <cell r="A712" t="str">
            <v>DQG  SERRAMENTI IN PVC</v>
          </cell>
          <cell r="D712" t="str">
            <v>VIA PRANZELORES, 93</v>
          </cell>
          <cell r="E712">
            <v>38121</v>
          </cell>
          <cell r="F712" t="str">
            <v>TRENTO</v>
          </cell>
          <cell r="G712" t="str">
            <v>TN</v>
          </cell>
          <cell r="H712" t="str">
            <v>ITALIA</v>
          </cell>
          <cell r="M712" t="str">
            <v>UFFICIO ACQUISTI</v>
          </cell>
          <cell r="N712" t="str">
            <v>0461 826701</v>
          </cell>
          <cell r="O712" t="str">
            <v>Matteo Avi 340 3727136                  Renato Valcanover 348 8556464</v>
          </cell>
          <cell r="P712" t="str">
            <v>matteo.avi@diquigiovanni.com - reanato.valcanover@duigiovanni.com</v>
          </cell>
          <cell r="R712" t="str">
            <v>BONIFICO BANCARIO, ALLA DATA DELLA NOSTRA CONFERMA D'ORDINE</v>
          </cell>
          <cell r="X712">
            <v>0.25</v>
          </cell>
          <cell r="Y712">
            <v>-0.04</v>
          </cell>
          <cell r="AB712">
            <v>0.25</v>
          </cell>
          <cell r="AC712">
            <v>0.25</v>
          </cell>
          <cell r="AD712">
            <v>0.25</v>
          </cell>
          <cell r="AE712">
            <v>0.25</v>
          </cell>
          <cell r="AF712">
            <v>0.25</v>
          </cell>
          <cell r="AG712">
            <v>0.25</v>
          </cell>
          <cell r="AH712">
            <v>0.25</v>
          </cell>
          <cell r="AI712">
            <v>0.25</v>
          </cell>
          <cell r="AJ712">
            <v>0.25</v>
          </cell>
          <cell r="AK712">
            <v>0.25</v>
          </cell>
          <cell r="AL712">
            <v>0.25</v>
          </cell>
          <cell r="AM712">
            <v>0.25</v>
          </cell>
          <cell r="AN712">
            <v>0.25</v>
          </cell>
          <cell r="AO712">
            <v>0.25</v>
          </cell>
          <cell r="AP712">
            <v>0.25</v>
          </cell>
          <cell r="AQ712">
            <v>0.25</v>
          </cell>
          <cell r="AR712">
            <v>0.25</v>
          </cell>
          <cell r="AS712">
            <v>0.25</v>
          </cell>
          <cell r="AT712">
            <v>-0.04</v>
          </cell>
          <cell r="AU712">
            <v>0.92</v>
          </cell>
          <cell r="AV712">
            <v>20</v>
          </cell>
          <cell r="AY712" t="str">
            <v/>
          </cell>
          <cell r="AZ712">
            <v>0.25</v>
          </cell>
          <cell r="BA712">
            <v>0.25</v>
          </cell>
        </row>
        <row r="713">
          <cell r="A713" t="str">
            <v>DR PORTE E FINESTRE</v>
          </cell>
          <cell r="B713" t="str">
            <v>ROBERTO</v>
          </cell>
          <cell r="D713" t="str">
            <v>VIA GIANNI AGNELLI,</v>
          </cell>
          <cell r="E713" t="str">
            <v>73054</v>
          </cell>
          <cell r="F713" t="str">
            <v>PRESICCE</v>
          </cell>
          <cell r="G713" t="str">
            <v>LE</v>
          </cell>
          <cell r="H713" t="str">
            <v>ITALIA</v>
          </cell>
          <cell r="I713" t="str">
            <v>MCARRT73T23Z112J</v>
          </cell>
          <cell r="J713" t="str">
            <v>03778000756</v>
          </cell>
          <cell r="M713" t="str">
            <v>UFFICIO ACQUISTI</v>
          </cell>
          <cell r="O713" t="str">
            <v>333 2650264 339 7408824</v>
          </cell>
          <cell r="P713" t="str">
            <v>info@drporteefinestre.it</v>
          </cell>
          <cell r="R713" t="str">
            <v>BONIFICO BANCARIO, ALLA DATA DELLA NOSTRA CONFERMA D'ORDINE</v>
          </cell>
          <cell r="X713">
            <v>0.25</v>
          </cell>
          <cell r="Y713">
            <v>-0.04</v>
          </cell>
          <cell r="AB713">
            <v>0.25</v>
          </cell>
          <cell r="AC713">
            <v>0.25</v>
          </cell>
          <cell r="AD713">
            <v>0.25</v>
          </cell>
          <cell r="AE713">
            <v>0.25</v>
          </cell>
          <cell r="AF713">
            <v>0.25</v>
          </cell>
          <cell r="AG713">
            <v>0.25</v>
          </cell>
          <cell r="AH713">
            <v>0.25</v>
          </cell>
          <cell r="AI713">
            <v>0.25</v>
          </cell>
          <cell r="AJ713">
            <v>0.25</v>
          </cell>
          <cell r="AK713">
            <v>0.25</v>
          </cell>
          <cell r="AL713">
            <v>0.25</v>
          </cell>
          <cell r="AM713">
            <v>0.25</v>
          </cell>
          <cell r="AN713">
            <v>0.25</v>
          </cell>
          <cell r="AO713">
            <v>0.25</v>
          </cell>
          <cell r="AP713">
            <v>0.25</v>
          </cell>
          <cell r="AQ713">
            <v>0.25</v>
          </cell>
          <cell r="AR713">
            <v>0.25</v>
          </cell>
          <cell r="AS713">
            <v>0.25</v>
          </cell>
          <cell r="AT713">
            <v>-0.04</v>
          </cell>
          <cell r="AU713">
            <v>0.92</v>
          </cell>
          <cell r="AV713">
            <v>20</v>
          </cell>
          <cell r="AZ713">
            <v>0.25</v>
          </cell>
          <cell r="BA713">
            <v>0.25</v>
          </cell>
        </row>
        <row r="714">
          <cell r="A714" t="str">
            <v>DSSERRAMENTI SRL</v>
          </cell>
          <cell r="D714" t="str">
            <v>VIA TRENTO, 9</v>
          </cell>
          <cell r="E714">
            <v>33082</v>
          </cell>
          <cell r="F714" t="str">
            <v>AZZANO DECIMO</v>
          </cell>
          <cell r="G714" t="str">
            <v>PN</v>
          </cell>
          <cell r="H714" t="str">
            <v>ITALIA</v>
          </cell>
          <cell r="J714" t="str">
            <v>01854900931</v>
          </cell>
          <cell r="K714" t="str">
            <v>W7YVJK9</v>
          </cell>
          <cell r="L714" t="str">
            <v>VIA POSTESELLE, 52 - JESOLO (VE) 30016</v>
          </cell>
          <cell r="M714" t="str">
            <v>UFFICIO ACQUISTI</v>
          </cell>
          <cell r="N714" t="str">
            <v>338 9256281</v>
          </cell>
          <cell r="P714" t="str">
            <v>info@dsserramenti.com</v>
          </cell>
          <cell r="Q714" t="str">
            <v>CONTATTARE UN PAIO DI ORE PRIMA IL 338/9256281</v>
          </cell>
          <cell r="R714" t="str">
            <v>BONIFICO BANCARIO, ALLA DATA DELLA NOSTRA CONFERMA D'ORDINE</v>
          </cell>
          <cell r="X714">
            <v>0.25</v>
          </cell>
          <cell r="Y714">
            <v>-0.04</v>
          </cell>
          <cell r="AB714">
            <v>0.25</v>
          </cell>
          <cell r="AC714">
            <v>0.25</v>
          </cell>
          <cell r="AD714">
            <v>0.25</v>
          </cell>
          <cell r="AE714">
            <v>0.25</v>
          </cell>
          <cell r="AF714">
            <v>0.25</v>
          </cell>
          <cell r="AG714">
            <v>0.25</v>
          </cell>
          <cell r="AH714">
            <v>0.25</v>
          </cell>
          <cell r="AI714">
            <v>0.25</v>
          </cell>
          <cell r="AJ714">
            <v>0.25</v>
          </cell>
          <cell r="AK714">
            <v>0.25</v>
          </cell>
          <cell r="AL714">
            <v>0.25</v>
          </cell>
          <cell r="AM714">
            <v>0.25</v>
          </cell>
          <cell r="AN714">
            <v>0.25</v>
          </cell>
          <cell r="AO714">
            <v>0.25</v>
          </cell>
          <cell r="AP714">
            <v>0.25</v>
          </cell>
          <cell r="AQ714">
            <v>0.25</v>
          </cell>
          <cell r="AR714">
            <v>0.25</v>
          </cell>
          <cell r="AS714">
            <v>0.25</v>
          </cell>
          <cell r="AT714">
            <v>-0.04</v>
          </cell>
          <cell r="AU714">
            <v>0.92</v>
          </cell>
          <cell r="AV714">
            <v>20</v>
          </cell>
          <cell r="AY714" t="str">
            <v/>
          </cell>
          <cell r="AZ714">
            <v>0.25</v>
          </cell>
          <cell r="BA714">
            <v>0.25</v>
          </cell>
        </row>
        <row r="715">
          <cell r="A715" t="str">
            <v xml:space="preserve">DUCA INFISSI DI DUCA DANIELE </v>
          </cell>
          <cell r="D715" t="str">
            <v>VIA CADUTI DEL LAVORO 34</v>
          </cell>
          <cell r="E715" t="str">
            <v>60131</v>
          </cell>
          <cell r="F715" t="str">
            <v>ANCONA</v>
          </cell>
          <cell r="G715" t="str">
            <v>AN</v>
          </cell>
          <cell r="H715" t="str">
            <v>ITALIA</v>
          </cell>
          <cell r="M715" t="str">
            <v>UFFICIO ACQUISTI</v>
          </cell>
          <cell r="N715" t="str">
            <v>071 2861474</v>
          </cell>
          <cell r="O715" t="str">
            <v>334 3896996</v>
          </cell>
          <cell r="P715" t="str">
            <v>ducainfissi@libero.it</v>
          </cell>
          <cell r="R715" t="str">
            <v>BONIFICO BANCARIO, ALLA DATA DELLA NOSTRA CONFERMA D'ORDINE</v>
          </cell>
          <cell r="X715">
            <v>0.25</v>
          </cell>
          <cell r="Y715">
            <v>-0.04</v>
          </cell>
          <cell r="AB715">
            <v>0.25</v>
          </cell>
          <cell r="AC715">
            <v>0.25</v>
          </cell>
          <cell r="AD715">
            <v>0.25</v>
          </cell>
          <cell r="AE715">
            <v>0.25</v>
          </cell>
          <cell r="AF715">
            <v>0.25</v>
          </cell>
          <cell r="AG715">
            <v>0.25</v>
          </cell>
          <cell r="AH715">
            <v>0.25</v>
          </cell>
          <cell r="AI715">
            <v>0.25</v>
          </cell>
          <cell r="AJ715">
            <v>0.25</v>
          </cell>
          <cell r="AK715">
            <v>0.25</v>
          </cell>
          <cell r="AL715">
            <v>0.25</v>
          </cell>
          <cell r="AM715">
            <v>0.25</v>
          </cell>
          <cell r="AN715">
            <v>0.25</v>
          </cell>
          <cell r="AO715">
            <v>0.25</v>
          </cell>
          <cell r="AP715">
            <v>0.25</v>
          </cell>
          <cell r="AQ715">
            <v>0.25</v>
          </cell>
          <cell r="AR715">
            <v>0.25</v>
          </cell>
          <cell r="AS715">
            <v>0.25</v>
          </cell>
          <cell r="AT715">
            <v>-0.04</v>
          </cell>
          <cell r="AU715">
            <v>0.92</v>
          </cell>
          <cell r="AV715">
            <v>20</v>
          </cell>
          <cell r="AY715" t="str">
            <v/>
          </cell>
          <cell r="AZ715">
            <v>0.25</v>
          </cell>
          <cell r="BA715">
            <v>0.25</v>
          </cell>
        </row>
        <row r="716">
          <cell r="A716" t="str">
            <v xml:space="preserve">DUE 70 SERRAMENTI </v>
          </cell>
          <cell r="B716" t="str">
            <v>VERIFICA PER CAMPIONE</v>
          </cell>
          <cell r="D716" t="str">
            <v>VIA RITONDA, 79</v>
          </cell>
          <cell r="E716">
            <v>37047</v>
          </cell>
          <cell r="F716" t="str">
            <v xml:space="preserve">SAN BONIFACIO </v>
          </cell>
          <cell r="G716" t="str">
            <v>VR</v>
          </cell>
          <cell r="H716" t="str">
            <v>ITALIA</v>
          </cell>
          <cell r="M716" t="str">
            <v>UFFICIO ACQUISTI</v>
          </cell>
          <cell r="N716" t="str">
            <v>045 6180144</v>
          </cell>
          <cell r="O716" t="str">
            <v>Alessio Battaglia 334 1126434</v>
          </cell>
          <cell r="P716" t="str">
            <v>info@due70.it</v>
          </cell>
          <cell r="R716" t="str">
            <v>BONIFICO BANCARIO, ALLA DATA DELLA NOSTRA CONFERMA D'ORDINE</v>
          </cell>
          <cell r="X716">
            <v>0.25</v>
          </cell>
          <cell r="Y716">
            <v>-0.04</v>
          </cell>
          <cell r="AB716">
            <v>0.25</v>
          </cell>
          <cell r="AC716">
            <v>0.25</v>
          </cell>
          <cell r="AD716">
            <v>0.25</v>
          </cell>
          <cell r="AE716">
            <v>0.25</v>
          </cell>
          <cell r="AF716">
            <v>0.25</v>
          </cell>
          <cell r="AG716">
            <v>0.25</v>
          </cell>
          <cell r="AH716">
            <v>0.25</v>
          </cell>
          <cell r="AI716">
            <v>0.25</v>
          </cell>
          <cell r="AJ716">
            <v>0.25</v>
          </cell>
          <cell r="AK716">
            <v>0.25</v>
          </cell>
          <cell r="AL716">
            <v>0.25</v>
          </cell>
          <cell r="AM716">
            <v>0.25</v>
          </cell>
          <cell r="AN716">
            <v>0.25</v>
          </cell>
          <cell r="AO716">
            <v>0.25</v>
          </cell>
          <cell r="AP716">
            <v>0.25</v>
          </cell>
          <cell r="AQ716">
            <v>0.25</v>
          </cell>
          <cell r="AR716">
            <v>0.25</v>
          </cell>
          <cell r="AS716">
            <v>0.25</v>
          </cell>
          <cell r="AT716">
            <v>-0.04</v>
          </cell>
          <cell r="AU716">
            <v>0.92</v>
          </cell>
          <cell r="AV716">
            <v>20</v>
          </cell>
          <cell r="AY716" t="str">
            <v/>
          </cell>
          <cell r="AZ716">
            <v>0.25</v>
          </cell>
          <cell r="BA716">
            <v>0.25</v>
          </cell>
        </row>
        <row r="717">
          <cell r="A717" t="str">
            <v>DUE ESSE SRL</v>
          </cell>
          <cell r="D717" t="str">
            <v>VIA TOMMASO SALSA 50</v>
          </cell>
          <cell r="E717" t="str">
            <v>31030</v>
          </cell>
          <cell r="F717" t="str">
            <v>CARBONERA</v>
          </cell>
          <cell r="G717" t="str">
            <v>TV</v>
          </cell>
          <cell r="H717" t="str">
            <v>ITALIA</v>
          </cell>
          <cell r="J717" t="str">
            <v>02442180267</v>
          </cell>
          <cell r="M717" t="str">
            <v>UFFICIO ACQUISTI</v>
          </cell>
          <cell r="N717" t="str">
            <v>0422 455613</v>
          </cell>
          <cell r="P717" t="str">
            <v>info@2-esse.com</v>
          </cell>
          <cell r="R717" t="str">
            <v>BONIFICO BANCARIO, ALLA DATA DELLA NOSTRA CONFERMA D'ORDINE</v>
          </cell>
          <cell r="X717">
            <v>0.25</v>
          </cell>
          <cell r="Y717">
            <v>-0.04</v>
          </cell>
          <cell r="AB717">
            <v>0.25</v>
          </cell>
          <cell r="AC717">
            <v>0.25</v>
          </cell>
          <cell r="AD717">
            <v>0.25</v>
          </cell>
          <cell r="AE717">
            <v>0.25</v>
          </cell>
          <cell r="AF717">
            <v>0.25</v>
          </cell>
          <cell r="AG717">
            <v>0.25</v>
          </cell>
          <cell r="AH717">
            <v>0.25</v>
          </cell>
          <cell r="AI717">
            <v>0.25</v>
          </cell>
          <cell r="AJ717">
            <v>0.25</v>
          </cell>
          <cell r="AK717">
            <v>0.25</v>
          </cell>
          <cell r="AL717">
            <v>0.25</v>
          </cell>
          <cell r="AM717">
            <v>0.25</v>
          </cell>
          <cell r="AN717">
            <v>0.25</v>
          </cell>
          <cell r="AO717">
            <v>0.25</v>
          </cell>
          <cell r="AP717">
            <v>0.25</v>
          </cell>
          <cell r="AQ717">
            <v>0.25</v>
          </cell>
          <cell r="AR717">
            <v>0.25</v>
          </cell>
          <cell r="AS717">
            <v>0.25</v>
          </cell>
          <cell r="AT717">
            <v>-0.04</v>
          </cell>
          <cell r="AU717">
            <v>0.92</v>
          </cell>
          <cell r="AV717">
            <v>20</v>
          </cell>
          <cell r="AY717" t="str">
            <v/>
          </cell>
          <cell r="AZ717">
            <v>0.25</v>
          </cell>
          <cell r="BA717">
            <v>0.25</v>
          </cell>
        </row>
        <row r="718">
          <cell r="A718" t="str">
            <v xml:space="preserve">DUEFFE </v>
          </cell>
          <cell r="D718" t="str">
            <v>VIALE ZANUSSI, 6 L</v>
          </cell>
          <cell r="E718" t="str">
            <v>33170</v>
          </cell>
          <cell r="F718" t="str">
            <v>PORDENONE</v>
          </cell>
          <cell r="G718" t="str">
            <v>PN</v>
          </cell>
          <cell r="H718" t="str">
            <v>ITALIA</v>
          </cell>
          <cell r="M718" t="str">
            <v>UFFICIO ACQUISTI</v>
          </cell>
          <cell r="N718" t="str">
            <v>0434 570495</v>
          </cell>
          <cell r="O718" t="str">
            <v>340 8669097</v>
          </cell>
          <cell r="P718" t="str">
            <v>info@dueffebyares.it</v>
          </cell>
          <cell r="R718" t="str">
            <v>BONIFICO BANCARIO, ALLA DATA DELLA NOSTRA CONFERMA D'ORDINE</v>
          </cell>
          <cell r="X718">
            <v>0.01</v>
          </cell>
          <cell r="Y718">
            <v>-0.04</v>
          </cell>
          <cell r="AB718">
            <v>0.01</v>
          </cell>
          <cell r="AC718">
            <v>0.01</v>
          </cell>
          <cell r="AD718">
            <v>0.01</v>
          </cell>
          <cell r="AE718">
            <v>0.01</v>
          </cell>
          <cell r="AF718">
            <v>0.01</v>
          </cell>
          <cell r="AG718">
            <v>0.01</v>
          </cell>
          <cell r="AH718">
            <v>0.01</v>
          </cell>
          <cell r="AI718">
            <v>0.01</v>
          </cell>
          <cell r="AJ718">
            <v>0.01</v>
          </cell>
          <cell r="AK718">
            <v>0.01</v>
          </cell>
          <cell r="AL718">
            <v>0.01</v>
          </cell>
          <cell r="AM718">
            <v>0.01</v>
          </cell>
          <cell r="AN718">
            <v>0.01</v>
          </cell>
          <cell r="AO718">
            <v>0.01</v>
          </cell>
          <cell r="AP718">
            <v>0.01</v>
          </cell>
          <cell r="AQ718">
            <v>0.01</v>
          </cell>
          <cell r="AR718">
            <v>0.01</v>
          </cell>
          <cell r="AS718">
            <v>0.01</v>
          </cell>
          <cell r="AT718">
            <v>-0.04</v>
          </cell>
          <cell r="AU718">
            <v>0.92</v>
          </cell>
          <cell r="AV718">
            <v>20</v>
          </cell>
          <cell r="AZ718">
            <v>0.01</v>
          </cell>
          <cell r="BA718">
            <v>0.01</v>
          </cell>
        </row>
        <row r="719">
          <cell r="A719" t="str">
            <v>DUEGI INFISSI SRLS</v>
          </cell>
          <cell r="D719" t="str">
            <v>VIA G.DELEDDA, SC</v>
          </cell>
          <cell r="E719" t="str">
            <v>04011</v>
          </cell>
          <cell r="F719" t="str">
            <v>APRILIA</v>
          </cell>
          <cell r="G719" t="str">
            <v>LT</v>
          </cell>
          <cell r="H719" t="str">
            <v>ITALIA</v>
          </cell>
          <cell r="J719" t="str">
            <v>02730670599</v>
          </cell>
          <cell r="M719" t="str">
            <v>UFFICIO ACQUISTI</v>
          </cell>
          <cell r="N719" t="str">
            <v>06 92014509</v>
          </cell>
          <cell r="P719" t="str">
            <v>dueginfissi@virgilio.it</v>
          </cell>
          <cell r="R719" t="str">
            <v>BONIFICO BANCARIO, ALLA DATA DELLA NOSTRA CONFERMA D'ORDINE</v>
          </cell>
          <cell r="X719">
            <v>0.2</v>
          </cell>
          <cell r="Y719">
            <v>-0.04</v>
          </cell>
          <cell r="AB719">
            <v>0.2</v>
          </cell>
          <cell r="AC719">
            <v>0.2</v>
          </cell>
          <cell r="AD719">
            <v>0.2</v>
          </cell>
          <cell r="AE719">
            <v>0.2</v>
          </cell>
          <cell r="AF719">
            <v>0.2</v>
          </cell>
          <cell r="AG719">
            <v>0.2</v>
          </cell>
          <cell r="AH719">
            <v>0.2</v>
          </cell>
          <cell r="AI719">
            <v>0.2</v>
          </cell>
          <cell r="AJ719">
            <v>0.2</v>
          </cell>
          <cell r="AK719">
            <v>0.2</v>
          </cell>
          <cell r="AL719">
            <v>0.2</v>
          </cell>
          <cell r="AM719">
            <v>0.2</v>
          </cell>
          <cell r="AN719">
            <v>0.2</v>
          </cell>
          <cell r="AO719">
            <v>0.2</v>
          </cell>
          <cell r="AP719">
            <v>0.2</v>
          </cell>
          <cell r="AQ719">
            <v>0.2</v>
          </cell>
          <cell r="AR719">
            <v>0.2</v>
          </cell>
          <cell r="AS719">
            <v>0.2</v>
          </cell>
          <cell r="AT719">
            <v>-0.04</v>
          </cell>
          <cell r="AU719">
            <v>0.92</v>
          </cell>
          <cell r="AV719">
            <v>20</v>
          </cell>
          <cell r="AZ719">
            <v>0.2</v>
          </cell>
          <cell r="BA719">
            <v>0.2</v>
          </cell>
        </row>
        <row r="720">
          <cell r="A720" t="str">
            <v>DUEMME</v>
          </cell>
          <cell r="D720" t="str">
            <v>PIAZZA MARGHERITA</v>
          </cell>
          <cell r="F720" t="str">
            <v>CASTELBUONO</v>
          </cell>
          <cell r="G720" t="str">
            <v>PA</v>
          </cell>
          <cell r="H720" t="str">
            <v>ITALIA</v>
          </cell>
          <cell r="M720" t="str">
            <v>UFFICIO ACQUISTI</v>
          </cell>
          <cell r="N720" t="str">
            <v>0921 677012</v>
          </cell>
          <cell r="O720" t="str">
            <v xml:space="preserve">338 8515448 </v>
          </cell>
          <cell r="P720" t="str">
            <v>info@duemmeporte.it</v>
          </cell>
          <cell r="R720" t="str">
            <v>BONIFICO BANCARIO, ALLA DATA DELLA NOSTRA CONFERMA D'ORDINE</v>
          </cell>
          <cell r="X720">
            <v>0.25</v>
          </cell>
          <cell r="Y720">
            <v>-0.04</v>
          </cell>
          <cell r="AB720">
            <v>0.25</v>
          </cell>
          <cell r="AC720">
            <v>0.25</v>
          </cell>
          <cell r="AD720">
            <v>0.25</v>
          </cell>
          <cell r="AE720">
            <v>0.25</v>
          </cell>
          <cell r="AF720">
            <v>0.25</v>
          </cell>
          <cell r="AG720">
            <v>0.25</v>
          </cell>
          <cell r="AH720">
            <v>0.25</v>
          </cell>
          <cell r="AI720">
            <v>0.25</v>
          </cell>
          <cell r="AJ720">
            <v>0.25</v>
          </cell>
          <cell r="AK720">
            <v>0.25</v>
          </cell>
          <cell r="AL720">
            <v>0.25</v>
          </cell>
          <cell r="AM720">
            <v>0.25</v>
          </cell>
          <cell r="AN720">
            <v>0.25</v>
          </cell>
          <cell r="AO720">
            <v>0.25</v>
          </cell>
          <cell r="AP720">
            <v>0.25</v>
          </cell>
          <cell r="AQ720">
            <v>0.25</v>
          </cell>
          <cell r="AR720">
            <v>0.25</v>
          </cell>
          <cell r="AS720">
            <v>0.25</v>
          </cell>
          <cell r="AT720">
            <v>-0.04</v>
          </cell>
          <cell r="AU720">
            <v>0.92</v>
          </cell>
          <cell r="AV720">
            <v>20</v>
          </cell>
          <cell r="AY720" t="str">
            <v/>
          </cell>
          <cell r="AZ720">
            <v>0.25</v>
          </cell>
          <cell r="BA720">
            <v>0.25</v>
          </cell>
        </row>
        <row r="721">
          <cell r="A721" t="str">
            <v xml:space="preserve">DUEPPI </v>
          </cell>
          <cell r="D721" t="str">
            <v>VIA PLANTON 5</v>
          </cell>
          <cell r="E721" t="str">
            <v>33170</v>
          </cell>
          <cell r="F721" t="str">
            <v>PORDENONE</v>
          </cell>
          <cell r="G721" t="str">
            <v>PN</v>
          </cell>
          <cell r="H721" t="str">
            <v>ITALIA</v>
          </cell>
          <cell r="J721" t="str">
            <v>01340670932</v>
          </cell>
          <cell r="M721" t="str">
            <v>UFFICIO ACQUISTI</v>
          </cell>
          <cell r="N721" t="str">
            <v>0434 555191</v>
          </cell>
          <cell r="P721" t="str">
            <v>dueppisnc@gmail.com</v>
          </cell>
          <cell r="R721" t="str">
            <v>BONIFICO BANCARIO, ALLA DATA DELLA NOSTRA CONFERMA D'ORDINE</v>
          </cell>
          <cell r="X721">
            <v>0.25</v>
          </cell>
          <cell r="Y721">
            <v>-0.04</v>
          </cell>
          <cell r="AB721">
            <v>0.25</v>
          </cell>
          <cell r="AC721">
            <v>0.25</v>
          </cell>
          <cell r="AD721">
            <v>0.25</v>
          </cell>
          <cell r="AE721">
            <v>0.25</v>
          </cell>
          <cell r="AF721">
            <v>0.25</v>
          </cell>
          <cell r="AG721">
            <v>0.25</v>
          </cell>
          <cell r="AH721">
            <v>0.25</v>
          </cell>
          <cell r="AI721">
            <v>0.25</v>
          </cell>
          <cell r="AJ721">
            <v>0.25</v>
          </cell>
          <cell r="AK721">
            <v>0.25</v>
          </cell>
          <cell r="AL721">
            <v>0.25</v>
          </cell>
          <cell r="AM721">
            <v>0.25</v>
          </cell>
          <cell r="AN721">
            <v>0.25</v>
          </cell>
          <cell r="AO721">
            <v>0.25</v>
          </cell>
          <cell r="AP721">
            <v>0.25</v>
          </cell>
          <cell r="AQ721">
            <v>0.25</v>
          </cell>
          <cell r="AR721">
            <v>0.25</v>
          </cell>
          <cell r="AS721">
            <v>0.25</v>
          </cell>
          <cell r="AT721">
            <v>-0.04</v>
          </cell>
          <cell r="AU721">
            <v>0.92</v>
          </cell>
          <cell r="AV721">
            <v>20</v>
          </cell>
          <cell r="AY721" t="str">
            <v/>
          </cell>
          <cell r="AZ721">
            <v>0.25</v>
          </cell>
          <cell r="BA721">
            <v>0.25</v>
          </cell>
        </row>
        <row r="722">
          <cell r="A722" t="str">
            <v>DUGHERA</v>
          </cell>
          <cell r="D722" t="str">
            <v>VIA BOLOGNA, 9</v>
          </cell>
          <cell r="E722">
            <v>28845</v>
          </cell>
          <cell r="F722" t="str">
            <v>DOMODOSSOLA</v>
          </cell>
          <cell r="G722" t="str">
            <v>VB</v>
          </cell>
          <cell r="H722" t="str">
            <v>ITALIA</v>
          </cell>
          <cell r="J722" t="str">
            <v>02344860032</v>
          </cell>
          <cell r="M722" t="str">
            <v>UFFICIO ACQUISTI</v>
          </cell>
          <cell r="N722" t="str">
            <v>0324 240318</v>
          </cell>
          <cell r="O722" t="str">
            <v>Manfredo 348 5246967</v>
          </cell>
          <cell r="P722" t="str">
            <v>manfredo@dughera-serramenti.it</v>
          </cell>
          <cell r="R722" t="str">
            <v>BONIFICO BANCARIO, ALLA DATA DELLA NOSTRA CONFERMA D'ORDINE</v>
          </cell>
          <cell r="X722">
            <v>0.25</v>
          </cell>
          <cell r="Y722">
            <v>-0.04</v>
          </cell>
          <cell r="AB722">
            <v>0.25</v>
          </cell>
          <cell r="AC722">
            <v>0.25</v>
          </cell>
          <cell r="AD722">
            <v>0.25</v>
          </cell>
          <cell r="AE722">
            <v>0.25</v>
          </cell>
          <cell r="AF722">
            <v>0.25</v>
          </cell>
          <cell r="AG722">
            <v>0.25</v>
          </cell>
          <cell r="AH722">
            <v>0.25</v>
          </cell>
          <cell r="AI722">
            <v>0.25</v>
          </cell>
          <cell r="AJ722">
            <v>0.25</v>
          </cell>
          <cell r="AK722">
            <v>0.25</v>
          </cell>
          <cell r="AL722">
            <v>0.25</v>
          </cell>
          <cell r="AM722">
            <v>0.25</v>
          </cell>
          <cell r="AN722">
            <v>0.25</v>
          </cell>
          <cell r="AO722">
            <v>0.25</v>
          </cell>
          <cell r="AP722">
            <v>0.25</v>
          </cell>
          <cell r="AQ722">
            <v>0.25</v>
          </cell>
          <cell r="AR722">
            <v>0.25</v>
          </cell>
          <cell r="AS722">
            <v>0.25</v>
          </cell>
          <cell r="AT722">
            <v>-0.04</v>
          </cell>
          <cell r="AU722">
            <v>0.92</v>
          </cell>
          <cell r="AV722">
            <v>20</v>
          </cell>
          <cell r="AZ722">
            <v>0.25</v>
          </cell>
          <cell r="BA722">
            <v>0.25</v>
          </cell>
        </row>
        <row r="723">
          <cell r="A723" t="str">
            <v>DVD INFISSI</v>
          </cell>
          <cell r="B723" t="str">
            <v>MAURIZIO D'ALESSANDRO RESP. SETTORE ALLUMINIO</v>
          </cell>
          <cell r="D723" t="str">
            <v>C. DA SELCIAROLI, 141</v>
          </cell>
          <cell r="F723" t="str">
            <v>CRECCHIO</v>
          </cell>
          <cell r="G723" t="str">
            <v>CH</v>
          </cell>
          <cell r="H723" t="str">
            <v>ITALIA</v>
          </cell>
          <cell r="M723" t="str">
            <v>UFFICIO ACQUISTI</v>
          </cell>
          <cell r="N723" t="str">
            <v>0871 941104 - 085 9067016</v>
          </cell>
          <cell r="O723" t="str">
            <v>349 4424530</v>
          </cell>
          <cell r="P723" t="str">
            <v>info@dvdinfissi.it</v>
          </cell>
          <cell r="R723" t="str">
            <v>BONIFICO BANCARIO, ALLA DATA DELLA NOSTRA CONFERMA D'ORDINE</v>
          </cell>
          <cell r="X723">
            <v>0.25</v>
          </cell>
          <cell r="Y723">
            <v>-0.04</v>
          </cell>
          <cell r="AB723">
            <v>0.25</v>
          </cell>
          <cell r="AC723">
            <v>0.25</v>
          </cell>
          <cell r="AD723">
            <v>0.25</v>
          </cell>
          <cell r="AE723">
            <v>0.25</v>
          </cell>
          <cell r="AF723">
            <v>0.25</v>
          </cell>
          <cell r="AG723">
            <v>0.25</v>
          </cell>
          <cell r="AH723">
            <v>0.25</v>
          </cell>
          <cell r="AI723">
            <v>0.25</v>
          </cell>
          <cell r="AJ723">
            <v>0.25</v>
          </cell>
          <cell r="AK723">
            <v>0.25</v>
          </cell>
          <cell r="AL723">
            <v>0.25</v>
          </cell>
          <cell r="AM723">
            <v>0.25</v>
          </cell>
          <cell r="AN723">
            <v>0.25</v>
          </cell>
          <cell r="AO723">
            <v>0.25</v>
          </cell>
          <cell r="AP723">
            <v>0.25</v>
          </cell>
          <cell r="AQ723">
            <v>0.25</v>
          </cell>
          <cell r="AR723">
            <v>0.25</v>
          </cell>
          <cell r="AS723">
            <v>0.25</v>
          </cell>
          <cell r="AT723">
            <v>-0.04</v>
          </cell>
          <cell r="AU723">
            <v>0.92</v>
          </cell>
          <cell r="AV723">
            <v>20</v>
          </cell>
          <cell r="AZ723">
            <v>0.25</v>
          </cell>
          <cell r="BA723">
            <v>0.25</v>
          </cell>
        </row>
        <row r="724">
          <cell r="A724" t="str">
            <v>DYNAMIC SYSTEM</v>
          </cell>
          <cell r="B724" t="str">
            <v>RIVENDITORE ex ACQUASTOP 05/12 CELL SPENTO otra è tritone con tanto di campagna pubblictaria per radio e uil titolare è quello alto e grosso in ufficio che dice di non esserlo.</v>
          </cell>
          <cell r="D724" t="str">
            <v>VIA CASELLI, 13 C</v>
          </cell>
          <cell r="E724">
            <v>44124</v>
          </cell>
          <cell r="F724" t="str">
            <v>FERRARA</v>
          </cell>
          <cell r="G724" t="str">
            <v>FE</v>
          </cell>
          <cell r="H724" t="str">
            <v>ITALIA</v>
          </cell>
          <cell r="J724" t="str">
            <v>01650670381</v>
          </cell>
          <cell r="M724" t="str">
            <v>UFFICIO ACQUISTI</v>
          </cell>
          <cell r="N724" t="str">
            <v>0532 713944</v>
          </cell>
          <cell r="O724" t="str">
            <v>393 8296491</v>
          </cell>
          <cell r="P724" t="str">
            <v>info@dynamicsystem.it</v>
          </cell>
          <cell r="R724" t="str">
            <v>BONIFICO BANCARIO, ALLA DATA DELLA NOSTRA CONFERMA D'ORDINE</v>
          </cell>
          <cell r="X724">
            <v>0.25</v>
          </cell>
          <cell r="Y724">
            <v>-0.04</v>
          </cell>
          <cell r="AB724">
            <v>0.25</v>
          </cell>
          <cell r="AC724">
            <v>0.25</v>
          </cell>
          <cell r="AD724">
            <v>0.25</v>
          </cell>
          <cell r="AE724">
            <v>0.25</v>
          </cell>
          <cell r="AF724">
            <v>0.25</v>
          </cell>
          <cell r="AG724">
            <v>0.25</v>
          </cell>
          <cell r="AH724">
            <v>0.25</v>
          </cell>
          <cell r="AI724">
            <v>0.25</v>
          </cell>
          <cell r="AJ724">
            <v>0.25</v>
          </cell>
          <cell r="AK724">
            <v>0.25</v>
          </cell>
          <cell r="AL724">
            <v>0.25</v>
          </cell>
          <cell r="AM724">
            <v>0.25</v>
          </cell>
          <cell r="AN724">
            <v>0.25</v>
          </cell>
          <cell r="AO724">
            <v>0.25</v>
          </cell>
          <cell r="AP724">
            <v>0.25</v>
          </cell>
          <cell r="AQ724">
            <v>0.25</v>
          </cell>
          <cell r="AR724">
            <v>0.25</v>
          </cell>
          <cell r="AS724">
            <v>0.25</v>
          </cell>
          <cell r="AT724">
            <v>-0.04</v>
          </cell>
          <cell r="AV724">
            <v>20</v>
          </cell>
          <cell r="AZ724">
            <v>0.25</v>
          </cell>
          <cell r="BA724">
            <v>0.25</v>
          </cell>
        </row>
        <row r="725">
          <cell r="A725" t="str">
            <v>E.M CHIUSURE TECNICHE DI MORONI EMILIO</v>
          </cell>
          <cell r="B725" t="str">
            <v>NO SCONTI</v>
          </cell>
          <cell r="D725" t="str">
            <v>VIA SCANDELLI 3</v>
          </cell>
          <cell r="E725" t="str">
            <v xml:space="preserve">60022 </v>
          </cell>
          <cell r="F725" t="str">
            <v>CASTELFIDARDO</v>
          </cell>
          <cell r="G725" t="str">
            <v>AN</v>
          </cell>
          <cell r="H725" t="str">
            <v>ITALIA</v>
          </cell>
          <cell r="J725" t="str">
            <v>02467380420</v>
          </cell>
          <cell r="M725" t="str">
            <v>UFFICIO ACQUISTI</v>
          </cell>
          <cell r="N725" t="str">
            <v>071 970275</v>
          </cell>
          <cell r="O725" t="str">
            <v>339 1444312</v>
          </cell>
          <cell r="P725" t="str">
            <v>info@em-chiusuretecniche.it</v>
          </cell>
          <cell r="R725" t="str">
            <v>BONIFICO BANCARIO, ALLA DATA DELLA NOSTRA CONFERMA D'ORDINE</v>
          </cell>
          <cell r="X725">
            <v>0.25</v>
          </cell>
          <cell r="Y725">
            <v>-0.04</v>
          </cell>
          <cell r="AB725">
            <v>0.25</v>
          </cell>
          <cell r="AC725">
            <v>0.25</v>
          </cell>
          <cell r="AD725">
            <v>0.25</v>
          </cell>
          <cell r="AE725">
            <v>0.25</v>
          </cell>
          <cell r="AF725">
            <v>0.25</v>
          </cell>
          <cell r="AG725">
            <v>0.25</v>
          </cell>
          <cell r="AH725">
            <v>0.25</v>
          </cell>
          <cell r="AI725">
            <v>0.25</v>
          </cell>
          <cell r="AJ725">
            <v>0.25</v>
          </cell>
          <cell r="AK725">
            <v>0.25</v>
          </cell>
          <cell r="AL725">
            <v>0.25</v>
          </cell>
          <cell r="AM725">
            <v>0.25</v>
          </cell>
          <cell r="AN725">
            <v>0.25</v>
          </cell>
          <cell r="AO725">
            <v>0.25</v>
          </cell>
          <cell r="AP725">
            <v>0.25</v>
          </cell>
          <cell r="AQ725">
            <v>0.25</v>
          </cell>
          <cell r="AR725">
            <v>0.25</v>
          </cell>
          <cell r="AS725">
            <v>0.25</v>
          </cell>
          <cell r="AT725">
            <v>-0.04</v>
          </cell>
          <cell r="AU725">
            <v>0.92</v>
          </cell>
          <cell r="AV725">
            <v>20</v>
          </cell>
          <cell r="AZ725">
            <v>0.25</v>
          </cell>
          <cell r="BA725">
            <v>0.25</v>
          </cell>
        </row>
        <row r="726">
          <cell r="A726" t="str">
            <v>E.S.T.H.I. SARL</v>
          </cell>
          <cell r="B726" t="str">
            <v>DEALER NOAQ + EX JK FLOODING - PROMO LANCIO FINO A GENN 2022, SCONTO 20% TUTTI MODELLI, 25% MODERNA, 35% MODI-MODU</v>
          </cell>
          <cell r="D726" t="str">
            <v>27 RUE PAUL VERLAINE</v>
          </cell>
          <cell r="E726" t="str">
            <v xml:space="preserve"> 69100 </v>
          </cell>
          <cell r="F726" t="str">
            <v>VILLEURBANNE</v>
          </cell>
          <cell r="H726" t="str">
            <v>FRANCIA</v>
          </cell>
          <cell r="J726" t="str">
            <v>FR26500700166</v>
          </cell>
          <cell r="K726" t="str">
            <v>XXXXXXX</v>
          </cell>
          <cell r="M726" t="str">
            <v>UFFICIO ACQUISTI</v>
          </cell>
          <cell r="N726" t="str">
            <v>+33 4 78 95 09 74</v>
          </cell>
          <cell r="O726" t="str">
            <v>+33 06 20 77 24 50</v>
          </cell>
          <cell r="P726" t="str">
            <v>loic.perret@esthifrance.com</v>
          </cell>
          <cell r="R726" t="str">
            <v>VIREMENT BANCAIRE, À LA DATE DE NOTRE CONFIRMATION DE COMMANDE</v>
          </cell>
          <cell r="X726">
            <v>0.2</v>
          </cell>
          <cell r="AB726">
            <v>0.2</v>
          </cell>
          <cell r="AC726">
            <v>0.2</v>
          </cell>
          <cell r="AD726">
            <v>0.2</v>
          </cell>
          <cell r="AE726">
            <v>0.2</v>
          </cell>
          <cell r="AF726">
            <v>0.2</v>
          </cell>
          <cell r="AG726">
            <v>0.2</v>
          </cell>
          <cell r="AH726">
            <v>0.2</v>
          </cell>
          <cell r="AI726">
            <v>0.2</v>
          </cell>
          <cell r="AJ726">
            <v>0.2</v>
          </cell>
          <cell r="AK726">
            <v>0.2</v>
          </cell>
          <cell r="AL726">
            <v>0.2</v>
          </cell>
          <cell r="AM726">
            <v>0.2</v>
          </cell>
          <cell r="AN726">
            <v>0.2</v>
          </cell>
          <cell r="AO726">
            <v>0.2</v>
          </cell>
          <cell r="AP726">
            <v>0.2</v>
          </cell>
          <cell r="AQ726">
            <v>0.2</v>
          </cell>
          <cell r="AR726">
            <v>0.2</v>
          </cell>
          <cell r="AS726">
            <v>0.2</v>
          </cell>
          <cell r="AU726">
            <v>0.86</v>
          </cell>
          <cell r="AV726">
            <v>20</v>
          </cell>
          <cell r="AZ726">
            <v>0.2</v>
          </cell>
          <cell r="BA726">
            <v>0.2</v>
          </cell>
          <cell r="BF726" t="str">
            <v xml:space="preserve"> CLICK RAPID con espositore n.2 14/12/2021 - MODERNA con espositore n.2 14/12/2021</v>
          </cell>
        </row>
        <row r="727">
          <cell r="A727" t="str">
            <v>EBC EDIL BOUTIQUE CORRADINI</v>
          </cell>
          <cell r="D727" t="str">
            <v>VIA AURELIA, 6 PIANI</v>
          </cell>
          <cell r="E727">
            <v>18017</v>
          </cell>
          <cell r="F727" t="str">
            <v>CIPRESSA</v>
          </cell>
          <cell r="G727" t="str">
            <v>IM</v>
          </cell>
          <cell r="H727" t="str">
            <v>ITALIA</v>
          </cell>
          <cell r="J727" t="str">
            <v>01049730086</v>
          </cell>
          <cell r="M727" t="str">
            <v>UFFICIO ACQUISTI</v>
          </cell>
          <cell r="N727" t="str">
            <v>0183 91653</v>
          </cell>
          <cell r="P727" t="str">
            <v>info@ebc-corradini.it</v>
          </cell>
          <cell r="R727" t="str">
            <v>BONIFICO BANCARIO, ALLA DATA DELLA NOSTRA CONFERMA D'ORDINE</v>
          </cell>
          <cell r="X727">
            <v>0.25</v>
          </cell>
          <cell r="Y727">
            <v>-0.04</v>
          </cell>
          <cell r="AB727">
            <v>0.25</v>
          </cell>
          <cell r="AC727">
            <v>0.25</v>
          </cell>
          <cell r="AD727">
            <v>0.25</v>
          </cell>
          <cell r="AE727">
            <v>0.25</v>
          </cell>
          <cell r="AF727">
            <v>0.25</v>
          </cell>
          <cell r="AG727">
            <v>0.25</v>
          </cell>
          <cell r="AH727">
            <v>0.25</v>
          </cell>
          <cell r="AI727">
            <v>0.25</v>
          </cell>
          <cell r="AJ727">
            <v>0.25</v>
          </cell>
          <cell r="AK727">
            <v>0.25</v>
          </cell>
          <cell r="AL727">
            <v>0.25</v>
          </cell>
          <cell r="AM727">
            <v>0.25</v>
          </cell>
          <cell r="AN727">
            <v>0.25</v>
          </cell>
          <cell r="AO727">
            <v>0.25</v>
          </cell>
          <cell r="AP727">
            <v>0.25</v>
          </cell>
          <cell r="AQ727">
            <v>0.25</v>
          </cell>
          <cell r="AR727">
            <v>0.25</v>
          </cell>
          <cell r="AS727">
            <v>0.25</v>
          </cell>
          <cell r="AT727">
            <v>-0.04</v>
          </cell>
          <cell r="AU727">
            <v>0.92</v>
          </cell>
          <cell r="AV727">
            <v>20</v>
          </cell>
          <cell r="AY727" t="str">
            <v/>
          </cell>
          <cell r="AZ727">
            <v>0.25</v>
          </cell>
          <cell r="BA727">
            <v>0.25</v>
          </cell>
        </row>
        <row r="728">
          <cell r="A728" t="str">
            <v>ECO DESIGN SRL</v>
          </cell>
          <cell r="B728" t="str">
            <v>MARCO FRANCESCHINI</v>
          </cell>
          <cell r="D728" t="str">
            <v>VIA CANCELLIERA, 26/BIS</v>
          </cell>
          <cell r="E728" t="str">
            <v>00041</v>
          </cell>
          <cell r="F728" t="str">
            <v>ALBANO LAZIALE</v>
          </cell>
          <cell r="G728" t="str">
            <v>RM</v>
          </cell>
          <cell r="H728" t="str">
            <v>ITALIA</v>
          </cell>
          <cell r="M728" t="str">
            <v>UFFICIO ACQUISTI</v>
          </cell>
          <cell r="N728" t="str">
            <v>06 9256943</v>
          </cell>
          <cell r="P728" t="str">
            <v>info@infissifranceschini.it</v>
          </cell>
          <cell r="R728" t="str">
            <v>BONIFICO BANCARIO, ALLA DATA DELLA NOSTRA CONFERMA D'ORDINE</v>
          </cell>
          <cell r="X728">
            <v>0.2</v>
          </cell>
          <cell r="Y728">
            <v>-0.04</v>
          </cell>
          <cell r="AB728">
            <v>0.2</v>
          </cell>
          <cell r="AC728">
            <v>0.2</v>
          </cell>
          <cell r="AD728">
            <v>0.2</v>
          </cell>
          <cell r="AE728">
            <v>0.2</v>
          </cell>
          <cell r="AF728">
            <v>0.2</v>
          </cell>
          <cell r="AG728">
            <v>0.2</v>
          </cell>
          <cell r="AH728">
            <v>0.2</v>
          </cell>
          <cell r="AI728">
            <v>0.2</v>
          </cell>
          <cell r="AJ728">
            <v>0.2</v>
          </cell>
          <cell r="AK728">
            <v>0.2</v>
          </cell>
          <cell r="AL728">
            <v>0.2</v>
          </cell>
          <cell r="AM728">
            <v>0.2</v>
          </cell>
          <cell r="AN728">
            <v>0.2</v>
          </cell>
          <cell r="AO728">
            <v>0.2</v>
          </cell>
          <cell r="AP728">
            <v>0.2</v>
          </cell>
          <cell r="AQ728">
            <v>0.2</v>
          </cell>
          <cell r="AR728">
            <v>0.2</v>
          </cell>
          <cell r="AS728">
            <v>0.2</v>
          </cell>
          <cell r="AT728">
            <v>-0.04</v>
          </cell>
          <cell r="AU728">
            <v>0.92</v>
          </cell>
          <cell r="AV728">
            <v>20</v>
          </cell>
          <cell r="AZ728">
            <v>0.2</v>
          </cell>
          <cell r="BA728">
            <v>0.2</v>
          </cell>
        </row>
        <row r="729">
          <cell r="A729" t="str">
            <v>ECO FENSTER</v>
          </cell>
          <cell r="D729" t="str">
            <v>VIA FLAVIA 35</v>
          </cell>
          <cell r="E729" t="str">
            <v>34148</v>
          </cell>
          <cell r="F729" t="str">
            <v>TRIESTE</v>
          </cell>
          <cell r="G729" t="str">
            <v>TS</v>
          </cell>
          <cell r="H729" t="str">
            <v>ITALIA</v>
          </cell>
          <cell r="M729" t="str">
            <v>UFFICIO ACQUISTI</v>
          </cell>
          <cell r="N729" t="str">
            <v>040 380961</v>
          </cell>
          <cell r="P729" t="str">
            <v>info@ecofenster.it</v>
          </cell>
          <cell r="R729" t="str">
            <v>BONIFICO BANCARIO, ALLA DATA DELLA NOSTRA CONFERMA D'ORDINE</v>
          </cell>
          <cell r="X729">
            <v>0.25</v>
          </cell>
          <cell r="Y729">
            <v>-0.04</v>
          </cell>
          <cell r="AB729">
            <v>0.25</v>
          </cell>
          <cell r="AC729">
            <v>0.25</v>
          </cell>
          <cell r="AD729">
            <v>0.25</v>
          </cell>
          <cell r="AE729">
            <v>0.25</v>
          </cell>
          <cell r="AF729">
            <v>0.25</v>
          </cell>
          <cell r="AG729">
            <v>0.25</v>
          </cell>
          <cell r="AH729">
            <v>0.25</v>
          </cell>
          <cell r="AI729">
            <v>0.25</v>
          </cell>
          <cell r="AJ729">
            <v>0.25</v>
          </cell>
          <cell r="AK729">
            <v>0.25</v>
          </cell>
          <cell r="AL729">
            <v>0.25</v>
          </cell>
          <cell r="AM729">
            <v>0.25</v>
          </cell>
          <cell r="AN729">
            <v>0.25</v>
          </cell>
          <cell r="AO729">
            <v>0.25</v>
          </cell>
          <cell r="AP729">
            <v>0.25</v>
          </cell>
          <cell r="AQ729">
            <v>0.25</v>
          </cell>
          <cell r="AR729">
            <v>0.25</v>
          </cell>
          <cell r="AS729">
            <v>0.25</v>
          </cell>
          <cell r="AT729">
            <v>-0.04</v>
          </cell>
          <cell r="AU729">
            <v>0.92</v>
          </cell>
          <cell r="AV729">
            <v>20</v>
          </cell>
          <cell r="AY729" t="str">
            <v/>
          </cell>
          <cell r="AZ729">
            <v>0.25</v>
          </cell>
          <cell r="BA729">
            <v>0.25</v>
          </cell>
        </row>
        <row r="730">
          <cell r="A730" t="str">
            <v>EDIL DESIGN SRLS</v>
          </cell>
          <cell r="D730" t="str">
            <v>VIA FAUSTO MONCELSI, 19/A</v>
          </cell>
          <cell r="E730" t="str">
            <v>08100</v>
          </cell>
          <cell r="F730" t="str">
            <v>NUORO</v>
          </cell>
          <cell r="G730" t="str">
            <v>NU</v>
          </cell>
          <cell r="H730" t="str">
            <v>ITALIA</v>
          </cell>
          <cell r="J730" t="str">
            <v>01422980910</v>
          </cell>
          <cell r="M730" t="str">
            <v>UFFICIO ACQUISTI</v>
          </cell>
          <cell r="N730" t="str">
            <v>07847 32176</v>
          </cell>
          <cell r="P730" t="str">
            <v>info@edil-designsrl.com</v>
          </cell>
          <cell r="R730" t="str">
            <v>BONIFICO BANCARIO, ALLA DATA DELLA NOSTRA CONFERMA D'ORDINE</v>
          </cell>
          <cell r="X730">
            <v>0.2</v>
          </cell>
          <cell r="Y730">
            <v>-0.04</v>
          </cell>
          <cell r="AB730">
            <v>0.2</v>
          </cell>
          <cell r="AC730">
            <v>0.2</v>
          </cell>
          <cell r="AD730">
            <v>0.2</v>
          </cell>
          <cell r="AE730">
            <v>0.2</v>
          </cell>
          <cell r="AF730">
            <v>0.2</v>
          </cell>
          <cell r="AG730">
            <v>0.2</v>
          </cell>
          <cell r="AH730">
            <v>0.2</v>
          </cell>
          <cell r="AI730">
            <v>0.2</v>
          </cell>
          <cell r="AJ730">
            <v>0.2</v>
          </cell>
          <cell r="AK730">
            <v>0.2</v>
          </cell>
          <cell r="AL730">
            <v>0.2</v>
          </cell>
          <cell r="AM730">
            <v>0.2</v>
          </cell>
          <cell r="AN730">
            <v>0.2</v>
          </cell>
          <cell r="AO730">
            <v>0.2</v>
          </cell>
          <cell r="AP730">
            <v>0.2</v>
          </cell>
          <cell r="AQ730">
            <v>0.2</v>
          </cell>
          <cell r="AR730">
            <v>0.2</v>
          </cell>
          <cell r="AS730">
            <v>0.2</v>
          </cell>
          <cell r="AT730">
            <v>-0.04</v>
          </cell>
          <cell r="AU730">
            <v>0.92</v>
          </cell>
          <cell r="AV730">
            <v>20</v>
          </cell>
          <cell r="AZ730">
            <v>0.2</v>
          </cell>
          <cell r="BA730">
            <v>0.2</v>
          </cell>
        </row>
        <row r="731">
          <cell r="A731" t="str">
            <v>EDIL INFISSI SRL</v>
          </cell>
          <cell r="B731" t="str">
            <v>VIA ROMA, 104 CASTELSARDO 391 4061084</v>
          </cell>
          <cell r="D731" t="str">
            <v>VIALE PORTO TORRES, 66</v>
          </cell>
          <cell r="E731" t="str">
            <v>07100</v>
          </cell>
          <cell r="F731" t="str">
            <v>SASSARI</v>
          </cell>
          <cell r="G731" t="str">
            <v>SS</v>
          </cell>
          <cell r="H731" t="str">
            <v>ITALIA</v>
          </cell>
          <cell r="J731" t="str">
            <v>02484120908</v>
          </cell>
          <cell r="M731" t="str">
            <v>UFFICIO ACQUISTI</v>
          </cell>
          <cell r="N731" t="str">
            <v>079 2670006</v>
          </cell>
          <cell r="P731" t="str">
            <v>info@edilinfissipvc.com</v>
          </cell>
          <cell r="R731" t="str">
            <v>BONIFICO BANCARIO, ALLA DATA DELLA NOSTRA CONFERMA D'ORDINE</v>
          </cell>
          <cell r="X731">
            <v>0.2</v>
          </cell>
          <cell r="Y731">
            <v>-0.04</v>
          </cell>
          <cell r="AB731">
            <v>0.2</v>
          </cell>
          <cell r="AC731">
            <v>0.2</v>
          </cell>
          <cell r="AD731">
            <v>0.2</v>
          </cell>
          <cell r="AE731">
            <v>0.2</v>
          </cell>
          <cell r="AF731">
            <v>0.2</v>
          </cell>
          <cell r="AG731">
            <v>0.2</v>
          </cell>
          <cell r="AH731">
            <v>0.2</v>
          </cell>
          <cell r="AI731">
            <v>0.2</v>
          </cell>
          <cell r="AJ731">
            <v>0.2</v>
          </cell>
          <cell r="AK731">
            <v>0.2</v>
          </cell>
          <cell r="AL731">
            <v>0.2</v>
          </cell>
          <cell r="AM731">
            <v>0.2</v>
          </cell>
          <cell r="AN731">
            <v>0.2</v>
          </cell>
          <cell r="AO731">
            <v>0.2</v>
          </cell>
          <cell r="AP731">
            <v>0.2</v>
          </cell>
          <cell r="AQ731">
            <v>0.2</v>
          </cell>
          <cell r="AR731">
            <v>0.2</v>
          </cell>
          <cell r="AS731">
            <v>0.2</v>
          </cell>
          <cell r="AT731">
            <v>-0.04</v>
          </cell>
          <cell r="AU731">
            <v>0.92</v>
          </cell>
          <cell r="AV731">
            <v>20</v>
          </cell>
          <cell r="AZ731">
            <v>0.2</v>
          </cell>
          <cell r="BA731">
            <v>0.2</v>
          </cell>
        </row>
        <row r="732">
          <cell r="A732" t="str">
            <v>EDIL LOFFREDO DI LOFFREDO LUIGI E C. S.A.S.</v>
          </cell>
          <cell r="D732" t="str">
            <v>VIA ANGELO SECCHI, 10/F</v>
          </cell>
          <cell r="E732">
            <v>42021</v>
          </cell>
          <cell r="F732" t="str">
            <v>BIBBIANO</v>
          </cell>
          <cell r="G732" t="str">
            <v>RE</v>
          </cell>
          <cell r="H732" t="str">
            <v>ITALIA</v>
          </cell>
          <cell r="J732" t="str">
            <v>02176310353</v>
          </cell>
          <cell r="K732" t="str">
            <v>YRXHCLN</v>
          </cell>
          <cell r="M732" t="str">
            <v>UFFICIO ACQUISTI</v>
          </cell>
          <cell r="N732" t="str">
            <v>0522 882856</v>
          </cell>
          <cell r="P732" t="str">
            <v>loffredopf@gmail.com</v>
          </cell>
          <cell r="R732" t="str">
            <v>BONIFICO BANCARIO, ALLA DATA DELLA NOSTRA CONFERMA D'ORDINE</v>
          </cell>
          <cell r="X732">
            <v>0.25</v>
          </cell>
          <cell r="Y732">
            <v>-0.04</v>
          </cell>
          <cell r="AB732">
            <v>0.25</v>
          </cell>
          <cell r="AC732">
            <v>0.25</v>
          </cell>
          <cell r="AD732">
            <v>0.25</v>
          </cell>
          <cell r="AE732">
            <v>0.25</v>
          </cell>
          <cell r="AF732">
            <v>0.25</v>
          </cell>
          <cell r="AG732">
            <v>0.25</v>
          </cell>
          <cell r="AH732">
            <v>0.25</v>
          </cell>
          <cell r="AI732">
            <v>0.25</v>
          </cell>
          <cell r="AJ732">
            <v>0.25</v>
          </cell>
          <cell r="AK732">
            <v>0.25</v>
          </cell>
          <cell r="AL732">
            <v>0.25</v>
          </cell>
          <cell r="AM732">
            <v>0.25</v>
          </cell>
          <cell r="AN732">
            <v>0.25</v>
          </cell>
          <cell r="AO732">
            <v>0.25</v>
          </cell>
          <cell r="AP732">
            <v>0.25</v>
          </cell>
          <cell r="AQ732">
            <v>0.25</v>
          </cell>
          <cell r="AR732">
            <v>0.25</v>
          </cell>
          <cell r="AS732">
            <v>0.25</v>
          </cell>
          <cell r="AT732">
            <v>-0.04</v>
          </cell>
          <cell r="AU732">
            <v>0.92</v>
          </cell>
          <cell r="AV732">
            <v>20</v>
          </cell>
          <cell r="AY732" t="str">
            <v/>
          </cell>
          <cell r="AZ732">
            <v>0.25</v>
          </cell>
          <cell r="BA732">
            <v>0.25</v>
          </cell>
          <cell r="BF732" t="str">
            <v>CLICK RAPID con carpenteria 30/11/2020</v>
          </cell>
        </row>
        <row r="733">
          <cell r="A733" t="str">
            <v>EDIL ORZI</v>
          </cell>
          <cell r="B733" t="str">
            <v>PASSERI GEOM. ROBERTO</v>
          </cell>
          <cell r="D733" t="str">
            <v>VIA MILANO, 58</v>
          </cell>
          <cell r="E733" t="str">
            <v>25034</v>
          </cell>
          <cell r="F733" t="str">
            <v>ORZINUOVI</v>
          </cell>
          <cell r="G733" t="str">
            <v>BS</v>
          </cell>
          <cell r="H733" t="str">
            <v>ITALIA</v>
          </cell>
          <cell r="J733" t="str">
            <v>00549100980</v>
          </cell>
          <cell r="M733" t="str">
            <v>UFFICIO ACQUISTI</v>
          </cell>
          <cell r="N733" t="str">
            <v>030 941557</v>
          </cell>
          <cell r="P733" t="str">
            <v>edilor02@edilorzisrl.191.it</v>
          </cell>
          <cell r="R733" t="str">
            <v>BONIFICO BANCARIO, ALLA DATA DELLA NOSTRA CONFERMA D'ORDINE</v>
          </cell>
          <cell r="Y733">
            <v>-0.04</v>
          </cell>
          <cell r="AT733">
            <v>-0.04</v>
          </cell>
          <cell r="AV733">
            <v>20</v>
          </cell>
          <cell r="AZ733">
            <v>0</v>
          </cell>
          <cell r="BA733">
            <v>0</v>
          </cell>
        </row>
        <row r="734">
          <cell r="A734" t="str">
            <v>EDIL PORTE</v>
          </cell>
          <cell r="D734" t="str">
            <v>VIA DEI PENTRI 1/3</v>
          </cell>
          <cell r="E734" t="str">
            <v>82100</v>
          </cell>
          <cell r="F734" t="str">
            <v>BENEVENTO</v>
          </cell>
          <cell r="G734" t="str">
            <v>BN</v>
          </cell>
          <cell r="H734" t="str">
            <v>ITALIA</v>
          </cell>
          <cell r="M734" t="str">
            <v>UFFICIO ACQUISTI</v>
          </cell>
          <cell r="N734" t="str">
            <v>0824 24932</v>
          </cell>
          <cell r="P734" t="str">
            <v>edilporteinfissi@libero.it</v>
          </cell>
          <cell r="R734" t="str">
            <v>BONIFICO BANCARIO, ALLA DATA DELLA NOSTRA CONFERMA D'ORDINE</v>
          </cell>
          <cell r="X734">
            <v>0.25</v>
          </cell>
          <cell r="Y734">
            <v>-0.04</v>
          </cell>
          <cell r="AB734">
            <v>0.25</v>
          </cell>
          <cell r="AC734">
            <v>0.25</v>
          </cell>
          <cell r="AD734">
            <v>0.25</v>
          </cell>
          <cell r="AE734">
            <v>0.25</v>
          </cell>
          <cell r="AF734">
            <v>0.25</v>
          </cell>
          <cell r="AG734">
            <v>0.25</v>
          </cell>
          <cell r="AH734">
            <v>0.25</v>
          </cell>
          <cell r="AI734">
            <v>0.25</v>
          </cell>
          <cell r="AJ734">
            <v>0.25</v>
          </cell>
          <cell r="AK734">
            <v>0.25</v>
          </cell>
          <cell r="AL734">
            <v>0.25</v>
          </cell>
          <cell r="AM734">
            <v>0.25</v>
          </cell>
          <cell r="AN734">
            <v>0.25</v>
          </cell>
          <cell r="AO734">
            <v>0.25</v>
          </cell>
          <cell r="AP734">
            <v>0.25</v>
          </cell>
          <cell r="AQ734">
            <v>0.25</v>
          </cell>
          <cell r="AR734">
            <v>0.25</v>
          </cell>
          <cell r="AS734">
            <v>0.25</v>
          </cell>
          <cell r="AT734">
            <v>-0.04</v>
          </cell>
          <cell r="AU734">
            <v>0.92</v>
          </cell>
          <cell r="AV734">
            <v>20</v>
          </cell>
          <cell r="AY734" t="str">
            <v/>
          </cell>
          <cell r="AZ734">
            <v>0.25</v>
          </cell>
          <cell r="BA734">
            <v>0.25</v>
          </cell>
        </row>
        <row r="735">
          <cell r="A735" t="str">
            <v>EDIL VAL DI GHIACCHE' VALENTINO E C. SAS</v>
          </cell>
          <cell r="D735" t="str">
            <v>VIA PACCHIOTTI 142 E</v>
          </cell>
          <cell r="F735" t="str">
            <v>TORINO</v>
          </cell>
          <cell r="G735" t="str">
            <v>TO</v>
          </cell>
          <cell r="H735" t="str">
            <v>ITALIA</v>
          </cell>
          <cell r="J735" t="str">
            <v>00942340050</v>
          </cell>
          <cell r="M735" t="str">
            <v>UFFICIO ACQUISTI</v>
          </cell>
          <cell r="N735" t="str">
            <v>011 7790550</v>
          </cell>
          <cell r="P735" t="str">
            <v>info@edilval.it</v>
          </cell>
          <cell r="R735" t="str">
            <v>BONIFICO BANCARIO, ALLA DATA DELLA NOSTRA CONFERMA D'ORDINE</v>
          </cell>
          <cell r="X735">
            <v>0.25</v>
          </cell>
          <cell r="Y735">
            <v>-0.04</v>
          </cell>
          <cell r="AB735">
            <v>0.25</v>
          </cell>
          <cell r="AC735">
            <v>0.25</v>
          </cell>
          <cell r="AD735">
            <v>0.25</v>
          </cell>
          <cell r="AE735">
            <v>0.25</v>
          </cell>
          <cell r="AF735">
            <v>0.25</v>
          </cell>
          <cell r="AG735">
            <v>0.25</v>
          </cell>
          <cell r="AH735">
            <v>0.25</v>
          </cell>
          <cell r="AI735">
            <v>0.25</v>
          </cell>
          <cell r="AJ735">
            <v>0.25</v>
          </cell>
          <cell r="AK735">
            <v>0.25</v>
          </cell>
          <cell r="AL735">
            <v>0.25</v>
          </cell>
          <cell r="AM735">
            <v>0.25</v>
          </cell>
          <cell r="AN735">
            <v>0.25</v>
          </cell>
          <cell r="AO735">
            <v>0.25</v>
          </cell>
          <cell r="AP735">
            <v>0.25</v>
          </cell>
          <cell r="AQ735">
            <v>0.25</v>
          </cell>
          <cell r="AR735">
            <v>0.25</v>
          </cell>
          <cell r="AS735">
            <v>0.25</v>
          </cell>
          <cell r="AT735">
            <v>-0.04</v>
          </cell>
          <cell r="AU735">
            <v>0.92</v>
          </cell>
          <cell r="AV735">
            <v>20</v>
          </cell>
          <cell r="AY735" t="str">
            <v/>
          </cell>
          <cell r="AZ735">
            <v>0.25</v>
          </cell>
          <cell r="BA735">
            <v>0.25</v>
          </cell>
        </row>
        <row r="736">
          <cell r="A736" t="str">
            <v>EDILBM</v>
          </cell>
          <cell r="D736" t="str">
            <v>STRADA DI FIUME, 34 D</v>
          </cell>
          <cell r="E736" t="str">
            <v>34137</v>
          </cell>
          <cell r="F736" t="str">
            <v>TRIESTE</v>
          </cell>
          <cell r="G736" t="str">
            <v>TS</v>
          </cell>
          <cell r="H736" t="str">
            <v>ITALIA</v>
          </cell>
          <cell r="J736" t="str">
            <v>01170100323</v>
          </cell>
          <cell r="M736" t="str">
            <v>UFFICIO ACQUISTI</v>
          </cell>
          <cell r="N736" t="str">
            <v>040 390009</v>
          </cell>
          <cell r="P736" t="str">
            <v>info@edilbm.com</v>
          </cell>
          <cell r="R736" t="str">
            <v>BONIFICO BANCARIO, ALLA DATA DELLA NOSTRA CONFERMA D'ORDINE</v>
          </cell>
          <cell r="X736">
            <v>0.25</v>
          </cell>
          <cell r="Y736">
            <v>-0.04</v>
          </cell>
          <cell r="AB736">
            <v>0.25</v>
          </cell>
          <cell r="AC736">
            <v>0.25</v>
          </cell>
          <cell r="AD736">
            <v>0.25</v>
          </cell>
          <cell r="AE736">
            <v>0.25</v>
          </cell>
          <cell r="AF736">
            <v>0.25</v>
          </cell>
          <cell r="AG736">
            <v>0.25</v>
          </cell>
          <cell r="AH736">
            <v>0.25</v>
          </cell>
          <cell r="AI736">
            <v>0.25</v>
          </cell>
          <cell r="AJ736">
            <v>0.25</v>
          </cell>
          <cell r="AK736">
            <v>0.25</v>
          </cell>
          <cell r="AL736">
            <v>0.25</v>
          </cell>
          <cell r="AM736">
            <v>0.25</v>
          </cell>
          <cell r="AN736">
            <v>0.25</v>
          </cell>
          <cell r="AO736">
            <v>0.25</v>
          </cell>
          <cell r="AP736">
            <v>0.25</v>
          </cell>
          <cell r="AQ736">
            <v>0.25</v>
          </cell>
          <cell r="AR736">
            <v>0.25</v>
          </cell>
          <cell r="AS736">
            <v>0.25</v>
          </cell>
          <cell r="AT736">
            <v>-0.04</v>
          </cell>
          <cell r="AU736">
            <v>0.92</v>
          </cell>
          <cell r="AV736">
            <v>20</v>
          </cell>
          <cell r="AZ736">
            <v>0.25</v>
          </cell>
          <cell r="BA736">
            <v>0.25</v>
          </cell>
        </row>
        <row r="737">
          <cell r="A737" t="str">
            <v>EDILCOMMERCIO</v>
          </cell>
          <cell r="D737" t="str">
            <v xml:space="preserve">VIA E. DE AMICIS, 197 A </v>
          </cell>
          <cell r="E737" t="str">
            <v>32100</v>
          </cell>
          <cell r="F737" t="str">
            <v>BELLUNO</v>
          </cell>
          <cell r="G737" t="str">
            <v>BL</v>
          </cell>
          <cell r="H737" t="str">
            <v>ITALIA</v>
          </cell>
          <cell r="M737" t="str">
            <v>UFFICIO ACQUISTI</v>
          </cell>
          <cell r="N737" t="str">
            <v>0437 925102</v>
          </cell>
          <cell r="P737" t="str">
            <v>simone@edil-commercio.it</v>
          </cell>
          <cell r="R737" t="str">
            <v>BONIFICO BANCARIO, ALLA DATA DELLA NOSTRA CONFERMA D'ORDINE</v>
          </cell>
          <cell r="X737">
            <v>0.01</v>
          </cell>
          <cell r="Y737">
            <v>-0.04</v>
          </cell>
          <cell r="AB737">
            <v>0.01</v>
          </cell>
          <cell r="AC737">
            <v>0.01</v>
          </cell>
          <cell r="AD737">
            <v>0.01</v>
          </cell>
          <cell r="AE737">
            <v>0.01</v>
          </cell>
          <cell r="AF737">
            <v>0.01</v>
          </cell>
          <cell r="AG737">
            <v>0.01</v>
          </cell>
          <cell r="AH737">
            <v>0.01</v>
          </cell>
          <cell r="AI737">
            <v>0.01</v>
          </cell>
          <cell r="AJ737">
            <v>0.01</v>
          </cell>
          <cell r="AK737">
            <v>0.01</v>
          </cell>
          <cell r="AL737">
            <v>0.01</v>
          </cell>
          <cell r="AM737">
            <v>0.01</v>
          </cell>
          <cell r="AN737">
            <v>0.01</v>
          </cell>
          <cell r="AO737">
            <v>0.01</v>
          </cell>
          <cell r="AP737">
            <v>0.01</v>
          </cell>
          <cell r="AQ737">
            <v>0.01</v>
          </cell>
          <cell r="AR737">
            <v>0.01</v>
          </cell>
          <cell r="AS737">
            <v>0.01</v>
          </cell>
          <cell r="AT737">
            <v>-0.04</v>
          </cell>
          <cell r="AU737">
            <v>0.92</v>
          </cell>
          <cell r="AV737">
            <v>20</v>
          </cell>
          <cell r="AZ737">
            <v>0.01</v>
          </cell>
          <cell r="BA737">
            <v>0.01</v>
          </cell>
        </row>
        <row r="738">
          <cell r="A738" t="str">
            <v>EDILDAZZI SRL</v>
          </cell>
          <cell r="D738" t="str">
            <v>VIALE ALPAGO, 56</v>
          </cell>
          <cell r="E738" t="str">
            <v>32015</v>
          </cell>
          <cell r="F738" t="str">
            <v>PUOS D'ALPAGO</v>
          </cell>
          <cell r="G738" t="str">
            <v>BL</v>
          </cell>
          <cell r="H738" t="str">
            <v>ITALIA</v>
          </cell>
          <cell r="I738" t="str">
            <v>00114440258</v>
          </cell>
          <cell r="J738" t="str">
            <v>00114440258</v>
          </cell>
          <cell r="K738" t="str">
            <v>SUBM70N</v>
          </cell>
          <cell r="M738" t="str">
            <v>UFFICIO ACQUISTI</v>
          </cell>
          <cell r="N738" t="str">
            <v>0437 46976</v>
          </cell>
          <cell r="O738" t="str">
            <v>349 2352880 SIG. ENRICO DAZZI</v>
          </cell>
          <cell r="P738" t="str">
            <v>info@edildazzi.it - ceramiche@edildazzi.it</v>
          </cell>
          <cell r="R738" t="str">
            <v>BONIFICO BANCARIO, ALLA DATA DELLA NOSTRA CONFERMA D'ORDINE</v>
          </cell>
          <cell r="X738">
            <v>0.25</v>
          </cell>
          <cell r="Y738">
            <v>-0.04</v>
          </cell>
          <cell r="AB738">
            <v>0.25</v>
          </cell>
          <cell r="AC738">
            <v>0.25</v>
          </cell>
          <cell r="AD738">
            <v>0.25</v>
          </cell>
          <cell r="AE738">
            <v>0.25</v>
          </cell>
          <cell r="AF738">
            <v>0.25</v>
          </cell>
          <cell r="AG738">
            <v>0.25</v>
          </cell>
          <cell r="AH738">
            <v>0.25</v>
          </cell>
          <cell r="AI738">
            <v>0.25</v>
          </cell>
          <cell r="AJ738">
            <v>0.25</v>
          </cell>
          <cell r="AK738">
            <v>0.25</v>
          </cell>
          <cell r="AL738">
            <v>0.25</v>
          </cell>
          <cell r="AM738">
            <v>0.25</v>
          </cell>
          <cell r="AN738">
            <v>0.25</v>
          </cell>
          <cell r="AO738">
            <v>0.25</v>
          </cell>
          <cell r="AP738">
            <v>0.25</v>
          </cell>
          <cell r="AQ738">
            <v>0.25</v>
          </cell>
          <cell r="AR738">
            <v>0.25</v>
          </cell>
          <cell r="AS738">
            <v>0.25</v>
          </cell>
          <cell r="AT738">
            <v>-0.04</v>
          </cell>
          <cell r="AU738">
            <v>0.92</v>
          </cell>
          <cell r="AV738">
            <v>20</v>
          </cell>
          <cell r="AZ738">
            <v>0.25</v>
          </cell>
          <cell r="BA738">
            <v>0.25</v>
          </cell>
          <cell r="BF738" t="str">
            <v>CLICK RAPID con carpenteria 21/07/2021</v>
          </cell>
        </row>
        <row r="739">
          <cell r="A739" t="str">
            <v>EDILFERRAMENTA SRL</v>
          </cell>
          <cell r="B739" t="str">
            <v>RIVENDITORE ACQUASTOP, DA RIVISITARE 05/12 NON MI FA PARLARE CON NESSUNO. DICE CHE SONO GIA' A POSTO. MAGARI PASSARE?</v>
          </cell>
          <cell r="D739" t="str">
            <v>VIALE TRIESTE 25</v>
          </cell>
          <cell r="E739" t="str">
            <v xml:space="preserve">26866 </v>
          </cell>
          <cell r="F739" t="str">
            <v>SANT'ANGELO LODIGIANO</v>
          </cell>
          <cell r="G739" t="str">
            <v>LO</v>
          </cell>
          <cell r="H739" t="str">
            <v>ITALIA</v>
          </cell>
          <cell r="J739" t="str">
            <v>09037520153</v>
          </cell>
          <cell r="M739" t="str">
            <v>UFFICIO ACQUISTI</v>
          </cell>
          <cell r="N739" t="str">
            <v>0371 92689</v>
          </cell>
          <cell r="P739" t="str">
            <v>info@edilferramenta-web.it</v>
          </cell>
          <cell r="R739" t="str">
            <v>BONIFICO BANCARIO, ALLA DATA DELLA NOSTRA CONFERMA D'ORDINE</v>
          </cell>
          <cell r="X739">
            <v>0.25</v>
          </cell>
          <cell r="Y739">
            <v>-0.04</v>
          </cell>
          <cell r="AB739">
            <v>0.25</v>
          </cell>
          <cell r="AC739">
            <v>0.25</v>
          </cell>
          <cell r="AD739">
            <v>0.25</v>
          </cell>
          <cell r="AE739">
            <v>0.25</v>
          </cell>
          <cell r="AF739">
            <v>0.25</v>
          </cell>
          <cell r="AG739">
            <v>0.25</v>
          </cell>
          <cell r="AH739">
            <v>0.25</v>
          </cell>
          <cell r="AI739">
            <v>0.25</v>
          </cell>
          <cell r="AJ739">
            <v>0.25</v>
          </cell>
          <cell r="AK739">
            <v>0.25</v>
          </cell>
          <cell r="AL739">
            <v>0.25</v>
          </cell>
          <cell r="AM739">
            <v>0.25</v>
          </cell>
          <cell r="AN739">
            <v>0.25</v>
          </cell>
          <cell r="AO739">
            <v>0.25</v>
          </cell>
          <cell r="AP739">
            <v>0.25</v>
          </cell>
          <cell r="AQ739">
            <v>0.25</v>
          </cell>
          <cell r="AR739">
            <v>0.25</v>
          </cell>
          <cell r="AS739">
            <v>0.25</v>
          </cell>
          <cell r="AT739">
            <v>-0.04</v>
          </cell>
          <cell r="AU739">
            <v>0.92</v>
          </cell>
          <cell r="AV739">
            <v>20</v>
          </cell>
          <cell r="AY739" t="str">
            <v/>
          </cell>
          <cell r="AZ739">
            <v>0.25</v>
          </cell>
          <cell r="BA739">
            <v>0.25</v>
          </cell>
        </row>
        <row r="740">
          <cell r="A740" t="str">
            <v>EDILFORNITURE</v>
          </cell>
          <cell r="B740" t="str">
            <v>BUONO 28/03/23 VISITATO DA RIZZOLI. PARLATO CON LA SORELLA, NORMA. 12/04/23 LEPPINI E' SEMPRE IN GIRO PER LAVORO. VUOLE SENTIRE I SUOI RIVENDITORI EDILI. CI PENSA PER IL CAMPIONE E MI RICONTATTA LUI</v>
          </cell>
          <cell r="D740" t="str">
            <v>VIA PIACENZA, SN</v>
          </cell>
          <cell r="F740" t="str">
            <v>LUGAGNANO VAL D'ARDA</v>
          </cell>
          <cell r="G740" t="str">
            <v>PC</v>
          </cell>
          <cell r="H740" t="str">
            <v>ITALIA</v>
          </cell>
          <cell r="M740" t="str">
            <v>SIG. IVAN LEPPINI</v>
          </cell>
          <cell r="N740" t="str">
            <v>0523 892323</v>
          </cell>
          <cell r="O740" t="str">
            <v xml:space="preserve">338 6986183 </v>
          </cell>
          <cell r="P740" t="str">
            <v>edil.forniture@tiscali.it</v>
          </cell>
          <cell r="R740" t="str">
            <v>BONIFICO BANCARIO, ALLA DATA DELLA NOSTRA CONFERMA D'ORDINE</v>
          </cell>
          <cell r="Y740">
            <v>-0.04</v>
          </cell>
          <cell r="AT740">
            <v>-0.04</v>
          </cell>
          <cell r="AV740">
            <v>20</v>
          </cell>
          <cell r="AZ740">
            <v>0</v>
          </cell>
          <cell r="BA740">
            <v>0</v>
          </cell>
        </row>
        <row r="741">
          <cell r="A741" t="str">
            <v>EDILFORNITURE SRL</v>
          </cell>
          <cell r="B741" t="str">
            <v>VUOLE 160 BARRIERE</v>
          </cell>
          <cell r="D741" t="str">
            <v>VIA LEVANTE, 2</v>
          </cell>
          <cell r="E741" t="str">
            <v>33080</v>
          </cell>
          <cell r="F741" t="str">
            <v>PORCIA</v>
          </cell>
          <cell r="G741" t="str">
            <v>PN</v>
          </cell>
          <cell r="H741" t="str">
            <v>ITALIA</v>
          </cell>
          <cell r="J741" t="str">
            <v>00123230930</v>
          </cell>
          <cell r="K741" t="str">
            <v>M5UXCR1</v>
          </cell>
          <cell r="M741" t="str">
            <v>UFFICIO ACQUISTI</v>
          </cell>
          <cell r="N741" t="str">
            <v>0434 362080</v>
          </cell>
          <cell r="O741" t="str">
            <v>348 3035815 ANDREA</v>
          </cell>
          <cell r="P741" t="str">
            <v>ufficio.tecnico@edilforniturepn.it</v>
          </cell>
          <cell r="R741" t="str">
            <v>BONIFICO BANCARIO, ALLA DATA DELLA NOSTRA CONFERMA D'ORDINE</v>
          </cell>
          <cell r="X741">
            <v>0.25</v>
          </cell>
          <cell r="Y741">
            <v>-0.04</v>
          </cell>
          <cell r="AB741">
            <v>0.25</v>
          </cell>
          <cell r="AC741">
            <v>0.25</v>
          </cell>
          <cell r="AD741">
            <v>0.25</v>
          </cell>
          <cell r="AE741">
            <v>0.25</v>
          </cell>
          <cell r="AF741">
            <v>0.25</v>
          </cell>
          <cell r="AG741">
            <v>0.25</v>
          </cell>
          <cell r="AH741">
            <v>0.25</v>
          </cell>
          <cell r="AI741">
            <v>0.25</v>
          </cell>
          <cell r="AJ741">
            <v>0.25</v>
          </cell>
          <cell r="AK741">
            <v>0.25</v>
          </cell>
          <cell r="AL741">
            <v>0.25</v>
          </cell>
          <cell r="AM741">
            <v>0.25</v>
          </cell>
          <cell r="AN741">
            <v>0.25</v>
          </cell>
          <cell r="AO741">
            <v>0.25</v>
          </cell>
          <cell r="AP741">
            <v>0.25</v>
          </cell>
          <cell r="AQ741">
            <v>0.25</v>
          </cell>
          <cell r="AR741">
            <v>0.25</v>
          </cell>
          <cell r="AS741">
            <v>0.25</v>
          </cell>
          <cell r="AT741">
            <v>-0.04</v>
          </cell>
          <cell r="AU741">
            <v>0.92</v>
          </cell>
          <cell r="AV741">
            <v>20</v>
          </cell>
          <cell r="AY741" t="str">
            <v/>
          </cell>
          <cell r="AZ741">
            <v>0.25</v>
          </cell>
          <cell r="BA741">
            <v>0.25</v>
          </cell>
        </row>
        <row r="742">
          <cell r="A742" t="str">
            <v>EDILFOTI DI FOTI MARCO</v>
          </cell>
          <cell r="D742" t="str">
            <v>VIA ERBEDOLE, 10</v>
          </cell>
          <cell r="E742" t="str">
            <v>41015</v>
          </cell>
          <cell r="F742" t="str">
            <v>NONANTOLA</v>
          </cell>
          <cell r="G742" t="str">
            <v>MO</v>
          </cell>
          <cell r="H742" t="str">
            <v>ITALIA</v>
          </cell>
          <cell r="I742" t="str">
            <v>FTOMRC87L02E041F</v>
          </cell>
          <cell r="J742" t="str">
            <v>03299180368</v>
          </cell>
          <cell r="K742" t="str">
            <v>W7YVJK9</v>
          </cell>
          <cell r="M742" t="str">
            <v>UFFICIO ACQUISTI</v>
          </cell>
          <cell r="O742" t="str">
            <v>349 1183977</v>
          </cell>
          <cell r="P742" t="str">
            <v>info@edilfoti.it</v>
          </cell>
          <cell r="R742" t="str">
            <v>BONIFICO BANCARIO, ALLA DATA DELLA NOSTRA CONFERMA D'ORDINE</v>
          </cell>
          <cell r="X742">
            <v>0.25</v>
          </cell>
          <cell r="Y742">
            <v>-0.04</v>
          </cell>
          <cell r="AB742">
            <v>0.25</v>
          </cell>
          <cell r="AC742">
            <v>0.25</v>
          </cell>
          <cell r="AD742">
            <v>0.25</v>
          </cell>
          <cell r="AE742">
            <v>0.25</v>
          </cell>
          <cell r="AF742">
            <v>0.25</v>
          </cell>
          <cell r="AG742">
            <v>0.25</v>
          </cell>
          <cell r="AH742">
            <v>0.25</v>
          </cell>
          <cell r="AI742">
            <v>0.25</v>
          </cell>
          <cell r="AJ742">
            <v>0.25</v>
          </cell>
          <cell r="AK742">
            <v>0.25</v>
          </cell>
          <cell r="AL742">
            <v>0.25</v>
          </cell>
          <cell r="AM742">
            <v>0.25</v>
          </cell>
          <cell r="AN742">
            <v>0.25</v>
          </cell>
          <cell r="AO742">
            <v>0.25</v>
          </cell>
          <cell r="AP742">
            <v>0.25</v>
          </cell>
          <cell r="AQ742">
            <v>0.25</v>
          </cell>
          <cell r="AR742">
            <v>0.25</v>
          </cell>
          <cell r="AS742">
            <v>0.25</v>
          </cell>
          <cell r="AT742">
            <v>-0.04</v>
          </cell>
          <cell r="AU742">
            <v>0.92</v>
          </cell>
          <cell r="AV742">
            <v>20</v>
          </cell>
          <cell r="AZ742">
            <v>0.25</v>
          </cell>
          <cell r="BA742">
            <v>0.25</v>
          </cell>
        </row>
        <row r="743">
          <cell r="A743" t="str">
            <v>EDILLEGNO SRL</v>
          </cell>
          <cell r="D743" t="str">
            <v>STRADA PAULLESE KM.13,5</v>
          </cell>
          <cell r="E743" t="str">
            <v>26839</v>
          </cell>
          <cell r="F743" t="str">
            <v>ZELO BUON PERSICO</v>
          </cell>
          <cell r="G743" t="str">
            <v>LO</v>
          </cell>
          <cell r="H743" t="str">
            <v>ITALIA</v>
          </cell>
          <cell r="J743" t="str">
            <v>06946800155</v>
          </cell>
          <cell r="M743" t="str">
            <v>UFFICIO ACQUISTI</v>
          </cell>
          <cell r="N743" t="str">
            <v>02 9065630</v>
          </cell>
          <cell r="P743" t="str">
            <v>info@edillegno.com</v>
          </cell>
          <cell r="R743" t="str">
            <v>BONIFICO BANCARIO, ALLA DATA DELLA NOSTRA CONFERMA D'ORDINE</v>
          </cell>
          <cell r="X743">
            <v>0.2</v>
          </cell>
          <cell r="Y743">
            <v>-0.04</v>
          </cell>
          <cell r="AB743">
            <v>0.2</v>
          </cell>
          <cell r="AC743">
            <v>0.2</v>
          </cell>
          <cell r="AD743">
            <v>0.2</v>
          </cell>
          <cell r="AE743">
            <v>0.2</v>
          </cell>
          <cell r="AF743">
            <v>0.2</v>
          </cell>
          <cell r="AG743">
            <v>0.2</v>
          </cell>
          <cell r="AH743">
            <v>0.2</v>
          </cell>
          <cell r="AI743">
            <v>0.2</v>
          </cell>
          <cell r="AJ743">
            <v>0.2</v>
          </cell>
          <cell r="AK743">
            <v>0.2</v>
          </cell>
          <cell r="AL743">
            <v>0.2</v>
          </cell>
          <cell r="AM743">
            <v>0.2</v>
          </cell>
          <cell r="AN743">
            <v>0.2</v>
          </cell>
          <cell r="AO743">
            <v>0.2</v>
          </cell>
          <cell r="AP743">
            <v>0.2</v>
          </cell>
          <cell r="AQ743">
            <v>0.2</v>
          </cell>
          <cell r="AR743">
            <v>0.2</v>
          </cell>
          <cell r="AS743">
            <v>0.2</v>
          </cell>
          <cell r="AT743">
            <v>-0.04</v>
          </cell>
          <cell r="AU743">
            <v>0.92</v>
          </cell>
          <cell r="AV743">
            <v>20</v>
          </cell>
          <cell r="AZ743">
            <v>0.2</v>
          </cell>
          <cell r="BA743">
            <v>0.2</v>
          </cell>
        </row>
        <row r="744">
          <cell r="A744" t="str">
            <v>EDILMAAR96 s.r.l.</v>
          </cell>
          <cell r="D744" t="str">
            <v>VIALE LOMBARDIA , 94</v>
          </cell>
          <cell r="E744">
            <v>20861</v>
          </cell>
          <cell r="F744" t="str">
            <v>BRUGHERO</v>
          </cell>
          <cell r="G744" t="str">
            <v>MB</v>
          </cell>
          <cell r="H744" t="str">
            <v>ITALIA</v>
          </cell>
          <cell r="M744" t="str">
            <v>UFFICIO ACQUISTI</v>
          </cell>
          <cell r="N744" t="str">
            <v>039 5961223</v>
          </cell>
          <cell r="P744" t="str">
            <v>commerciale@edilmaar96.it</v>
          </cell>
          <cell r="R744" t="str">
            <v>BONIFICO BANCARIO, ALLA DATA DELLA NOSTRA CONFERMA D'ORDINE</v>
          </cell>
          <cell r="X744">
            <v>0.25</v>
          </cell>
          <cell r="Y744">
            <v>-0.04</v>
          </cell>
          <cell r="AB744">
            <v>0.25</v>
          </cell>
          <cell r="AC744">
            <v>0.25</v>
          </cell>
          <cell r="AD744">
            <v>0.25</v>
          </cell>
          <cell r="AE744">
            <v>0.25</v>
          </cell>
          <cell r="AF744">
            <v>0.25</v>
          </cell>
          <cell r="AG744">
            <v>0.25</v>
          </cell>
          <cell r="AH744">
            <v>0.25</v>
          </cell>
          <cell r="AI744">
            <v>0.25</v>
          </cell>
          <cell r="AJ744">
            <v>0.25</v>
          </cell>
          <cell r="AK744">
            <v>0.25</v>
          </cell>
          <cell r="AL744">
            <v>0.25</v>
          </cell>
          <cell r="AM744">
            <v>0.25</v>
          </cell>
          <cell r="AN744">
            <v>0.25</v>
          </cell>
          <cell r="AO744">
            <v>0.25</v>
          </cell>
          <cell r="AP744">
            <v>0.25</v>
          </cell>
          <cell r="AQ744">
            <v>0.25</v>
          </cell>
          <cell r="AR744">
            <v>0.25</v>
          </cell>
          <cell r="AS744">
            <v>0.25</v>
          </cell>
          <cell r="AT744">
            <v>-0.04</v>
          </cell>
          <cell r="AU744">
            <v>0.92</v>
          </cell>
          <cell r="AV744">
            <v>20</v>
          </cell>
          <cell r="AY744" t="str">
            <v/>
          </cell>
          <cell r="AZ744">
            <v>0.25</v>
          </cell>
          <cell r="BA744">
            <v>0.25</v>
          </cell>
        </row>
        <row r="745">
          <cell r="A745" t="str">
            <v>EDILMETAL - TRANSENNE PERSONALIZZATE - SERRAMENTI ED INFISSI NAPOLI</v>
          </cell>
          <cell r="D745" t="str">
            <v>VIA EDUARDO DE FILIPPO, 49</v>
          </cell>
          <cell r="E745" t="str">
            <v>80048</v>
          </cell>
          <cell r="F745" t="str">
            <v>S. ANASTASTASIA</v>
          </cell>
          <cell r="G745" t="str">
            <v>NA</v>
          </cell>
          <cell r="H745" t="str">
            <v>ITALIA</v>
          </cell>
          <cell r="M745" t="str">
            <v>UFFICIO ACQUISTI</v>
          </cell>
          <cell r="N745" t="str">
            <v>081 8972737</v>
          </cell>
          <cell r="R745" t="str">
            <v>BONIFICO BANCARIO, ALLA DATA DELLA NOSTRA CONFERMA D'ORDINE</v>
          </cell>
          <cell r="X745">
            <v>0.25</v>
          </cell>
          <cell r="Y745">
            <v>-0.04</v>
          </cell>
          <cell r="AB745">
            <v>0.25</v>
          </cell>
          <cell r="AC745">
            <v>0.25</v>
          </cell>
          <cell r="AD745">
            <v>0.25</v>
          </cell>
          <cell r="AE745">
            <v>0.25</v>
          </cell>
          <cell r="AF745">
            <v>0.25</v>
          </cell>
          <cell r="AG745">
            <v>0.25</v>
          </cell>
          <cell r="AH745">
            <v>0.25</v>
          </cell>
          <cell r="AI745">
            <v>0.25</v>
          </cell>
          <cell r="AJ745">
            <v>0.25</v>
          </cell>
          <cell r="AK745">
            <v>0.25</v>
          </cell>
          <cell r="AL745">
            <v>0.25</v>
          </cell>
          <cell r="AM745">
            <v>0.25</v>
          </cell>
          <cell r="AN745">
            <v>0.25</v>
          </cell>
          <cell r="AO745">
            <v>0.25</v>
          </cell>
          <cell r="AP745">
            <v>0.25</v>
          </cell>
          <cell r="AQ745">
            <v>0.25</v>
          </cell>
          <cell r="AR745">
            <v>0.25</v>
          </cell>
          <cell r="AS745">
            <v>0.25</v>
          </cell>
          <cell r="AT745">
            <v>-0.04</v>
          </cell>
          <cell r="AU745">
            <v>0.92</v>
          </cell>
          <cell r="AV745">
            <v>20</v>
          </cell>
          <cell r="AZ745">
            <v>0.25</v>
          </cell>
          <cell r="BA745">
            <v>0.25</v>
          </cell>
        </row>
        <row r="746">
          <cell r="A746" t="str">
            <v>EDILMETAS</v>
          </cell>
          <cell r="D746" t="str">
            <v>VIA G. B PIRELLI Z.I LA MARTELLA</v>
          </cell>
          <cell r="E746" t="str">
            <v>75100</v>
          </cell>
          <cell r="F746" t="str">
            <v xml:space="preserve">MATERA </v>
          </cell>
          <cell r="G746" t="str">
            <v>MT</v>
          </cell>
          <cell r="H746" t="str">
            <v>ITALIA</v>
          </cell>
          <cell r="M746" t="str">
            <v>UFFICIO ACQUISTI</v>
          </cell>
          <cell r="N746" t="str">
            <v>0835 302804</v>
          </cell>
          <cell r="O746" t="str">
            <v>348 6069740</v>
          </cell>
          <cell r="P746" t="str">
            <v>info@edilmetas.it</v>
          </cell>
          <cell r="R746" t="str">
            <v>BONIFICO BANCARIO, ALLA DATA DELLA NOSTRA CONFERMA D'ORDINE</v>
          </cell>
          <cell r="X746">
            <v>0.25</v>
          </cell>
          <cell r="Y746">
            <v>-0.04</v>
          </cell>
          <cell r="AB746">
            <v>0.25</v>
          </cell>
          <cell r="AC746">
            <v>0.25</v>
          </cell>
          <cell r="AD746">
            <v>0.25</v>
          </cell>
          <cell r="AE746">
            <v>0.25</v>
          </cell>
          <cell r="AF746">
            <v>0.25</v>
          </cell>
          <cell r="AG746">
            <v>0.25</v>
          </cell>
          <cell r="AH746">
            <v>0.25</v>
          </cell>
          <cell r="AI746">
            <v>0.25</v>
          </cell>
          <cell r="AJ746">
            <v>0.25</v>
          </cell>
          <cell r="AK746">
            <v>0.25</v>
          </cell>
          <cell r="AL746">
            <v>0.25</v>
          </cell>
          <cell r="AM746">
            <v>0.25</v>
          </cell>
          <cell r="AN746">
            <v>0.25</v>
          </cell>
          <cell r="AO746">
            <v>0.25</v>
          </cell>
          <cell r="AP746">
            <v>0.25</v>
          </cell>
          <cell r="AQ746">
            <v>0.25</v>
          </cell>
          <cell r="AR746">
            <v>0.25</v>
          </cell>
          <cell r="AS746">
            <v>0.25</v>
          </cell>
          <cell r="AT746">
            <v>-0.04</v>
          </cell>
          <cell r="AU746">
            <v>0.92</v>
          </cell>
          <cell r="AV746">
            <v>20</v>
          </cell>
          <cell r="AZ746">
            <v>0.25</v>
          </cell>
          <cell r="BA746">
            <v>0.25</v>
          </cell>
        </row>
        <row r="747">
          <cell r="A747" t="str">
            <v>EDILMUTTI S.O.S.</v>
          </cell>
          <cell r="D747" t="str">
            <v>CORSO SILVIO PILOTTI, 6 F</v>
          </cell>
          <cell r="E747" t="str">
            <v>15057</v>
          </cell>
          <cell r="F747" t="str">
            <v>TORTONA</v>
          </cell>
          <cell r="G747" t="str">
            <v>AL</v>
          </cell>
          <cell r="H747" t="str">
            <v>ITALIA</v>
          </cell>
          <cell r="M747" t="str">
            <v>UFFICIO ACQUISTI</v>
          </cell>
          <cell r="N747" t="str">
            <v>0131 863921</v>
          </cell>
          <cell r="P747" t="str">
            <v>info@edilmutti.com</v>
          </cell>
          <cell r="R747" t="str">
            <v>BONIFICO BANCARIO, ALLA DATA DELLA NOSTRA CONFERMA D'ORDINE</v>
          </cell>
          <cell r="X747">
            <v>0.25</v>
          </cell>
          <cell r="Y747">
            <v>-0.04</v>
          </cell>
          <cell r="AB747">
            <v>0.25</v>
          </cell>
          <cell r="AC747">
            <v>0.25</v>
          </cell>
          <cell r="AD747">
            <v>0.25</v>
          </cell>
          <cell r="AE747">
            <v>0.25</v>
          </cell>
          <cell r="AF747">
            <v>0.25</v>
          </cell>
          <cell r="AG747">
            <v>0.25</v>
          </cell>
          <cell r="AH747">
            <v>0.25</v>
          </cell>
          <cell r="AI747">
            <v>0.25</v>
          </cell>
          <cell r="AJ747">
            <v>0.25</v>
          </cell>
          <cell r="AK747">
            <v>0.25</v>
          </cell>
          <cell r="AL747">
            <v>0.25</v>
          </cell>
          <cell r="AM747">
            <v>0.25</v>
          </cell>
          <cell r="AN747">
            <v>0.25</v>
          </cell>
          <cell r="AO747">
            <v>0.25</v>
          </cell>
          <cell r="AP747">
            <v>0.25</v>
          </cell>
          <cell r="AQ747">
            <v>0.25</v>
          </cell>
          <cell r="AR747">
            <v>0.25</v>
          </cell>
          <cell r="AS747">
            <v>0.25</v>
          </cell>
          <cell r="AT747">
            <v>-0.04</v>
          </cell>
          <cell r="AU747">
            <v>0.92</v>
          </cell>
          <cell r="AV747">
            <v>20</v>
          </cell>
          <cell r="AZ747">
            <v>0.25</v>
          </cell>
          <cell r="BA747">
            <v>0.25</v>
          </cell>
        </row>
        <row r="748">
          <cell r="A748" t="str">
            <v>EDILPORTA DI SEVERGNINI OSCAR E CRISTIAN SNC</v>
          </cell>
          <cell r="D748" t="str">
            <v>VIA A.VOLTA, 12</v>
          </cell>
          <cell r="E748" t="str">
            <v>20060</v>
          </cell>
          <cell r="F748" t="str">
            <v>PESSANO CON BORNAGO</v>
          </cell>
          <cell r="G748" t="str">
            <v>MI</v>
          </cell>
          <cell r="H748" t="str">
            <v>ITALIA</v>
          </cell>
          <cell r="J748" t="str">
            <v>04682640968</v>
          </cell>
          <cell r="M748" t="str">
            <v>UFFICIO ACQUISTI</v>
          </cell>
          <cell r="N748" t="str">
            <v>02 9504282</v>
          </cell>
          <cell r="O748" t="str">
            <v>348 7663562</v>
          </cell>
          <cell r="P748" t="str">
            <v>info@edilporta.it</v>
          </cell>
          <cell r="R748" t="str">
            <v>BONIFICO BANCARIO, ALLA DATA DELLA NOSTRA CONFERMA D'ORDINE</v>
          </cell>
          <cell r="X748">
            <v>0.2</v>
          </cell>
          <cell r="Y748">
            <v>-0.04</v>
          </cell>
          <cell r="AB748">
            <v>0.2</v>
          </cell>
          <cell r="AC748">
            <v>0.2</v>
          </cell>
          <cell r="AD748">
            <v>0.2</v>
          </cell>
          <cell r="AE748">
            <v>0.2</v>
          </cell>
          <cell r="AF748">
            <v>0.2</v>
          </cell>
          <cell r="AG748">
            <v>0.2</v>
          </cell>
          <cell r="AH748">
            <v>0.2</v>
          </cell>
          <cell r="AI748">
            <v>0.2</v>
          </cell>
          <cell r="AJ748">
            <v>0.2</v>
          </cell>
          <cell r="AK748">
            <v>0.2</v>
          </cell>
          <cell r="AL748">
            <v>0.2</v>
          </cell>
          <cell r="AM748">
            <v>0.2</v>
          </cell>
          <cell r="AN748">
            <v>0.2</v>
          </cell>
          <cell r="AO748">
            <v>0.2</v>
          </cell>
          <cell r="AP748">
            <v>0.2</v>
          </cell>
          <cell r="AQ748">
            <v>0.2</v>
          </cell>
          <cell r="AR748">
            <v>0.2</v>
          </cell>
          <cell r="AS748">
            <v>0.2</v>
          </cell>
          <cell r="AT748">
            <v>-0.04</v>
          </cell>
          <cell r="AU748">
            <v>0.92</v>
          </cell>
          <cell r="AV748">
            <v>20</v>
          </cell>
          <cell r="AZ748">
            <v>0.2</v>
          </cell>
          <cell r="BA748">
            <v>0.2</v>
          </cell>
        </row>
        <row r="749">
          <cell r="A749" t="str">
            <v>EDILPORTE DI TRETOLA ANTONELLA</v>
          </cell>
          <cell r="D749" t="str">
            <v>VIA DEI PENTRI 1/3</v>
          </cell>
          <cell r="E749">
            <v>82100</v>
          </cell>
          <cell r="F749" t="str">
            <v>BENEVENTO</v>
          </cell>
          <cell r="G749" t="str">
            <v>BN</v>
          </cell>
          <cell r="H749" t="str">
            <v>ITALIA</v>
          </cell>
          <cell r="I749" t="str">
            <v>TRTNNL73D4IA783W</v>
          </cell>
          <cell r="J749" t="str">
            <v>01076420627</v>
          </cell>
          <cell r="K749" t="str">
            <v>U5AL8PV</v>
          </cell>
          <cell r="M749" t="str">
            <v>UFFICIO ACQUISTI</v>
          </cell>
          <cell r="N749" t="str">
            <v>082424932</v>
          </cell>
          <cell r="P749" t="str">
            <v>edilporteinfissi@libero.it</v>
          </cell>
          <cell r="R749" t="str">
            <v>BONIFICO BANCARIO, ALLA DATA DELLA NOSTRA CONFERMA D'ORDINE</v>
          </cell>
          <cell r="X749">
            <v>0.25</v>
          </cell>
          <cell r="Y749">
            <v>-0.04</v>
          </cell>
          <cell r="AB749">
            <v>0.25</v>
          </cell>
          <cell r="AC749">
            <v>0.25</v>
          </cell>
          <cell r="AD749">
            <v>0.25</v>
          </cell>
          <cell r="AE749">
            <v>0.25</v>
          </cell>
          <cell r="AF749">
            <v>0.25</v>
          </cell>
          <cell r="AG749">
            <v>0.25</v>
          </cell>
          <cell r="AH749">
            <v>0.25</v>
          </cell>
          <cell r="AI749">
            <v>0.25</v>
          </cell>
          <cell r="AJ749">
            <v>0.25</v>
          </cell>
          <cell r="AK749">
            <v>0.25</v>
          </cell>
          <cell r="AL749">
            <v>0.25</v>
          </cell>
          <cell r="AM749">
            <v>0.25</v>
          </cell>
          <cell r="AN749">
            <v>0.25</v>
          </cell>
          <cell r="AO749">
            <v>0.25</v>
          </cell>
          <cell r="AP749">
            <v>0.25</v>
          </cell>
          <cell r="AQ749">
            <v>0.25</v>
          </cell>
          <cell r="AR749">
            <v>0.25</v>
          </cell>
          <cell r="AS749">
            <v>0.25</v>
          </cell>
          <cell r="AT749">
            <v>-0.04</v>
          </cell>
          <cell r="AU749">
            <v>0.92</v>
          </cell>
          <cell r="AV749">
            <v>20</v>
          </cell>
          <cell r="AY749" t="str">
            <v/>
          </cell>
          <cell r="AZ749">
            <v>0.25</v>
          </cell>
          <cell r="BA749">
            <v>0.25</v>
          </cell>
          <cell r="BF749" t="str">
            <v xml:space="preserve"> CLICK RAPID con carpenteria 07/02/2020</v>
          </cell>
        </row>
        <row r="750">
          <cell r="A750" t="str">
            <v>EDILSERRAMENTI DI POSTINIUC CONSTANTIN</v>
          </cell>
          <cell r="D750" t="str">
            <v>LUNGO TANARO MAGENTA 23/D</v>
          </cell>
          <cell r="E750" t="str">
            <v>15121</v>
          </cell>
          <cell r="F750" t="str">
            <v>ALESSANDRIA</v>
          </cell>
          <cell r="G750" t="str">
            <v>AL</v>
          </cell>
          <cell r="H750" t="str">
            <v>ITALIA</v>
          </cell>
          <cell r="J750" t="str">
            <v>02407440060</v>
          </cell>
          <cell r="M750" t="str">
            <v>UFFICIO ACQUISTI</v>
          </cell>
          <cell r="N750" t="str">
            <v>0131 482937</v>
          </cell>
          <cell r="O750" t="str">
            <v>388 6574911</v>
          </cell>
          <cell r="P750" t="str">
            <v>constantin.posti@gmail.com</v>
          </cell>
          <cell r="R750" t="str">
            <v>BONIFICO BANCARIO, ALLA DATA DELLA NOSTRA CONFERMA D'ORDINE</v>
          </cell>
          <cell r="X750">
            <v>0.25</v>
          </cell>
          <cell r="Y750">
            <v>-0.04</v>
          </cell>
          <cell r="AB750">
            <v>0.25</v>
          </cell>
          <cell r="AC750">
            <v>0.25</v>
          </cell>
          <cell r="AD750">
            <v>0.25</v>
          </cell>
          <cell r="AE750">
            <v>0.25</v>
          </cell>
          <cell r="AF750">
            <v>0.25</v>
          </cell>
          <cell r="AG750">
            <v>0.25</v>
          </cell>
          <cell r="AH750">
            <v>0.25</v>
          </cell>
          <cell r="AI750">
            <v>0.25</v>
          </cell>
          <cell r="AJ750">
            <v>0.25</v>
          </cell>
          <cell r="AK750">
            <v>0.25</v>
          </cell>
          <cell r="AL750">
            <v>0.25</v>
          </cell>
          <cell r="AM750">
            <v>0.25</v>
          </cell>
          <cell r="AN750">
            <v>0.25</v>
          </cell>
          <cell r="AO750">
            <v>0.25</v>
          </cell>
          <cell r="AP750">
            <v>0.25</v>
          </cell>
          <cell r="AQ750">
            <v>0.25</v>
          </cell>
          <cell r="AR750">
            <v>0.25</v>
          </cell>
          <cell r="AS750">
            <v>0.25</v>
          </cell>
          <cell r="AT750">
            <v>-0.04</v>
          </cell>
          <cell r="AU750">
            <v>0.92</v>
          </cell>
          <cell r="AV750">
            <v>20</v>
          </cell>
          <cell r="AY750" t="str">
            <v/>
          </cell>
          <cell r="AZ750">
            <v>0.25</v>
          </cell>
          <cell r="BA750">
            <v>0.25</v>
          </cell>
        </row>
        <row r="751">
          <cell r="A751" t="str">
            <v>EDILSOLUTION SRL DI AGOSTINO MURRU</v>
          </cell>
          <cell r="D751" t="str">
            <v>VIA TOSCANA, 63</v>
          </cell>
          <cell r="E751" t="str">
            <v>08100</v>
          </cell>
          <cell r="F751" t="str">
            <v>NUORO</v>
          </cell>
          <cell r="G751" t="str">
            <v>NU</v>
          </cell>
          <cell r="H751" t="str">
            <v>ITALIA</v>
          </cell>
          <cell r="J751" t="str">
            <v>01348870914</v>
          </cell>
          <cell r="K751" t="str">
            <v>T9K4ZHO</v>
          </cell>
          <cell r="M751" t="str">
            <v>UFFICIO ACQUISTI</v>
          </cell>
          <cell r="N751" t="str">
            <v>0784 33952</v>
          </cell>
          <cell r="O751" t="str">
            <v>328 2778673 MURRU AGOSTINO</v>
          </cell>
          <cell r="P751" t="str">
            <v>info@edilsolution.it</v>
          </cell>
          <cell r="R751" t="str">
            <v>BONIFICO BANCARIO, ALLA DATA DELLA NOSTRA CONFERMA D'ORDINE</v>
          </cell>
          <cell r="X751">
            <v>0.2</v>
          </cell>
          <cell r="Y751">
            <v>-0.04</v>
          </cell>
          <cell r="AB751">
            <v>0.2</v>
          </cell>
          <cell r="AC751">
            <v>0.2</v>
          </cell>
          <cell r="AD751">
            <v>0.2</v>
          </cell>
          <cell r="AE751">
            <v>0.2</v>
          </cell>
          <cell r="AF751">
            <v>0.2</v>
          </cell>
          <cell r="AG751">
            <v>0.2</v>
          </cell>
          <cell r="AH751">
            <v>0.2</v>
          </cell>
          <cell r="AI751">
            <v>0.2</v>
          </cell>
          <cell r="AJ751">
            <v>0.2</v>
          </cell>
          <cell r="AK751">
            <v>0.2</v>
          </cell>
          <cell r="AL751">
            <v>0.2</v>
          </cell>
          <cell r="AM751">
            <v>0.2</v>
          </cell>
          <cell r="AN751">
            <v>0.2</v>
          </cell>
          <cell r="AO751">
            <v>0.2</v>
          </cell>
          <cell r="AP751">
            <v>0.2</v>
          </cell>
          <cell r="AQ751">
            <v>0.2</v>
          </cell>
          <cell r="AR751">
            <v>0.2</v>
          </cell>
          <cell r="AS751">
            <v>0.2</v>
          </cell>
          <cell r="AT751">
            <v>-0.04</v>
          </cell>
          <cell r="AU751">
            <v>0.92</v>
          </cell>
          <cell r="AV751">
            <v>20</v>
          </cell>
          <cell r="AZ751">
            <v>0.2</v>
          </cell>
          <cell r="BA751">
            <v>0.2</v>
          </cell>
        </row>
        <row r="752">
          <cell r="A752" t="str">
            <v>EDILTECNO SERRAMENTI</v>
          </cell>
          <cell r="D752" t="str">
            <v>VIALE TRENTO TRIESTE, 30</v>
          </cell>
          <cell r="E752">
            <v>41124</v>
          </cell>
          <cell r="F752" t="str">
            <v>MODENA</v>
          </cell>
          <cell r="G752" t="str">
            <v>MO</v>
          </cell>
          <cell r="H752" t="str">
            <v>ITALIA</v>
          </cell>
          <cell r="M752" t="str">
            <v>UFFICIO ACQUISTI</v>
          </cell>
          <cell r="N752" t="str">
            <v>059 212904</v>
          </cell>
          <cell r="P752" t="str">
            <v>info@editecnoservice.it</v>
          </cell>
          <cell r="R752" t="str">
            <v>BONIFICO BANCARIO, ALLA DATA DELLA NOSTRA CONFERMA D'ORDINE</v>
          </cell>
          <cell r="X752">
            <v>0.25</v>
          </cell>
          <cell r="Y752">
            <v>-0.04</v>
          </cell>
          <cell r="AB752">
            <v>0.25</v>
          </cell>
          <cell r="AC752">
            <v>0.25</v>
          </cell>
          <cell r="AD752">
            <v>0.25</v>
          </cell>
          <cell r="AE752">
            <v>0.25</v>
          </cell>
          <cell r="AF752">
            <v>0.25</v>
          </cell>
          <cell r="AG752">
            <v>0.25</v>
          </cell>
          <cell r="AH752">
            <v>0.25</v>
          </cell>
          <cell r="AI752">
            <v>0.25</v>
          </cell>
          <cell r="AJ752">
            <v>0.25</v>
          </cell>
          <cell r="AK752">
            <v>0.25</v>
          </cell>
          <cell r="AL752">
            <v>0.25</v>
          </cell>
          <cell r="AM752">
            <v>0.25</v>
          </cell>
          <cell r="AN752">
            <v>0.25</v>
          </cell>
          <cell r="AO752">
            <v>0.25</v>
          </cell>
          <cell r="AP752">
            <v>0.25</v>
          </cell>
          <cell r="AQ752">
            <v>0.25</v>
          </cell>
          <cell r="AR752">
            <v>0.25</v>
          </cell>
          <cell r="AS752">
            <v>0.25</v>
          </cell>
          <cell r="AT752">
            <v>-0.04</v>
          </cell>
          <cell r="AU752">
            <v>0.92</v>
          </cell>
          <cell r="AV752">
            <v>20</v>
          </cell>
          <cell r="AY752" t="str">
            <v/>
          </cell>
          <cell r="AZ752">
            <v>0.25</v>
          </cell>
          <cell r="BA752">
            <v>0.25</v>
          </cell>
        </row>
        <row r="753">
          <cell r="A753" t="str">
            <v>EDISIS</v>
          </cell>
          <cell r="D753" t="str">
            <v>VIA MANZONI 14 - 16</v>
          </cell>
          <cell r="E753" t="str">
            <v xml:space="preserve">20900 </v>
          </cell>
          <cell r="F753" t="str">
            <v>MONZA</v>
          </cell>
          <cell r="G753" t="str">
            <v>MB</v>
          </cell>
          <cell r="H753" t="str">
            <v>ITALIA</v>
          </cell>
          <cell r="J753" t="str">
            <v>13330080154</v>
          </cell>
          <cell r="M753" t="str">
            <v>UFFICIO ACQUISTI</v>
          </cell>
          <cell r="N753" t="str">
            <v>02 919888</v>
          </cell>
          <cell r="O753" t="str">
            <v>340 1357185 GIAMPAOLO SCIFFO</v>
          </cell>
          <cell r="R753" t="str">
            <v>BONIFICO BANCARIO, ALLA DATA DELLA NOSTRA CONFERMA D'ORDINE</v>
          </cell>
          <cell r="X753">
            <v>0.25</v>
          </cell>
          <cell r="Y753">
            <v>-0.04</v>
          </cell>
          <cell r="AB753">
            <v>0.25</v>
          </cell>
          <cell r="AC753">
            <v>0.25</v>
          </cell>
          <cell r="AD753">
            <v>0.25</v>
          </cell>
          <cell r="AE753">
            <v>0.25</v>
          </cell>
          <cell r="AF753">
            <v>0.25</v>
          </cell>
          <cell r="AG753">
            <v>0.25</v>
          </cell>
          <cell r="AH753">
            <v>0.25</v>
          </cell>
          <cell r="AI753">
            <v>0.25</v>
          </cell>
          <cell r="AJ753">
            <v>0.25</v>
          </cell>
          <cell r="AK753">
            <v>0.25</v>
          </cell>
          <cell r="AL753">
            <v>0.25</v>
          </cell>
          <cell r="AM753">
            <v>0.25</v>
          </cell>
          <cell r="AN753">
            <v>0.25</v>
          </cell>
          <cell r="AO753">
            <v>0.25</v>
          </cell>
          <cell r="AP753">
            <v>0.25</v>
          </cell>
          <cell r="AQ753">
            <v>0.25</v>
          </cell>
          <cell r="AR753">
            <v>0.25</v>
          </cell>
          <cell r="AS753">
            <v>0.25</v>
          </cell>
          <cell r="AT753">
            <v>-0.04</v>
          </cell>
          <cell r="AU753">
            <v>0.92</v>
          </cell>
          <cell r="AV753">
            <v>20</v>
          </cell>
          <cell r="AY753" t="str">
            <v/>
          </cell>
          <cell r="AZ753">
            <v>0.25</v>
          </cell>
          <cell r="BA753">
            <v>0.25</v>
          </cell>
        </row>
        <row r="754">
          <cell r="A754" t="str">
            <v>EDISIS SRL</v>
          </cell>
          <cell r="D754" t="str">
            <v>VIA ALESSANDRINA 45</v>
          </cell>
          <cell r="E754">
            <v>20095</v>
          </cell>
          <cell r="F754" t="str">
            <v>CUSANO MILANINO</v>
          </cell>
          <cell r="G754" t="str">
            <v>MI</v>
          </cell>
          <cell r="H754" t="str">
            <v>ITALIA</v>
          </cell>
          <cell r="M754" t="str">
            <v>UFFICIO ACQUISTI</v>
          </cell>
          <cell r="N754" t="str">
            <v>02 919888</v>
          </cell>
          <cell r="P754" t="str">
            <v>salvatore.cirillo@edisis.it</v>
          </cell>
          <cell r="R754" t="str">
            <v>BONIFICO BANCARIO, ALLA DATA DELLA NOSTRA CONFERMA D'ORDINE</v>
          </cell>
          <cell r="X754">
            <v>0.25</v>
          </cell>
          <cell r="Y754">
            <v>-0.04</v>
          </cell>
          <cell r="AB754">
            <v>0.25</v>
          </cell>
          <cell r="AC754">
            <v>0.25</v>
          </cell>
          <cell r="AD754">
            <v>0.25</v>
          </cell>
          <cell r="AE754">
            <v>0.25</v>
          </cell>
          <cell r="AF754">
            <v>0.25</v>
          </cell>
          <cell r="AG754">
            <v>0.25</v>
          </cell>
          <cell r="AH754">
            <v>0.25</v>
          </cell>
          <cell r="AI754">
            <v>0.25</v>
          </cell>
          <cell r="AJ754">
            <v>0.25</v>
          </cell>
          <cell r="AK754">
            <v>0.25</v>
          </cell>
          <cell r="AL754">
            <v>0.25</v>
          </cell>
          <cell r="AM754">
            <v>0.25</v>
          </cell>
          <cell r="AN754">
            <v>0.25</v>
          </cell>
          <cell r="AO754">
            <v>0.25</v>
          </cell>
          <cell r="AP754">
            <v>0.25</v>
          </cell>
          <cell r="AQ754">
            <v>0.25</v>
          </cell>
          <cell r="AR754">
            <v>0.25</v>
          </cell>
          <cell r="AS754">
            <v>0.25</v>
          </cell>
          <cell r="AT754">
            <v>-0.04</v>
          </cell>
          <cell r="AU754">
            <v>0.92</v>
          </cell>
          <cell r="AV754">
            <v>20</v>
          </cell>
          <cell r="AY754" t="str">
            <v/>
          </cell>
          <cell r="AZ754">
            <v>0.25</v>
          </cell>
          <cell r="BA754">
            <v>0.25</v>
          </cell>
        </row>
        <row r="755">
          <cell r="A755" t="str">
            <v>EDS SRL</v>
          </cell>
          <cell r="B755" t="str">
            <v>RIVENDITORE ACQUASTOP, BUONO. 05/12 TRATTATO IN PASSATO CON ACQUASTOP. MOLTO INTERESSATO. MANDATA MAIL</v>
          </cell>
          <cell r="D755" t="str">
            <v>VIALE DELLA GIOVENTU' SNC</v>
          </cell>
          <cell r="E755" t="str">
            <v>71013</v>
          </cell>
          <cell r="F755" t="str">
            <v>SAN GIOVANNI ROTONDO</v>
          </cell>
          <cell r="G755" t="str">
            <v>FG</v>
          </cell>
          <cell r="H755" t="str">
            <v>ITALIA</v>
          </cell>
          <cell r="J755" t="str">
            <v>02353350719</v>
          </cell>
          <cell r="M755" t="str">
            <v>UFFICIO ACQUISTI</v>
          </cell>
          <cell r="N755" t="str">
            <v>0882 459618</v>
          </cell>
          <cell r="O755" t="str">
            <v>335 5201719 MATTEO BIANCOFIORE</v>
          </cell>
          <cell r="P755" t="str">
            <v>edssrlmail@alice.it</v>
          </cell>
          <cell r="R755" t="str">
            <v>BONIFICO BANCARIO, ALLA DATA DELLA NOSTRA CONFERMA D'ORDINE</v>
          </cell>
          <cell r="X755">
            <v>0.25</v>
          </cell>
          <cell r="Y755">
            <v>-0.04</v>
          </cell>
          <cell r="AB755">
            <v>0.25</v>
          </cell>
          <cell r="AC755">
            <v>0.25</v>
          </cell>
          <cell r="AD755">
            <v>0.25</v>
          </cell>
          <cell r="AE755">
            <v>0.25</v>
          </cell>
          <cell r="AF755">
            <v>0.25</v>
          </cell>
          <cell r="AG755">
            <v>0.25</v>
          </cell>
          <cell r="AH755">
            <v>0.25</v>
          </cell>
          <cell r="AI755">
            <v>0.25</v>
          </cell>
          <cell r="AJ755">
            <v>0.25</v>
          </cell>
          <cell r="AK755">
            <v>0.25</v>
          </cell>
          <cell r="AL755">
            <v>0.25</v>
          </cell>
          <cell r="AM755">
            <v>0.25</v>
          </cell>
          <cell r="AN755">
            <v>0.25</v>
          </cell>
          <cell r="AO755">
            <v>0.25</v>
          </cell>
          <cell r="AP755">
            <v>0.25</v>
          </cell>
          <cell r="AQ755">
            <v>0.25</v>
          </cell>
          <cell r="AR755">
            <v>0.25</v>
          </cell>
          <cell r="AS755">
            <v>0.25</v>
          </cell>
          <cell r="AT755">
            <v>-0.04</v>
          </cell>
          <cell r="AU755">
            <v>0.92</v>
          </cell>
          <cell r="AV755">
            <v>20</v>
          </cell>
          <cell r="AY755" t="str">
            <v/>
          </cell>
          <cell r="AZ755">
            <v>0.25</v>
          </cell>
          <cell r="BA755">
            <v>0.25</v>
          </cell>
        </row>
        <row r="756">
          <cell r="A756" t="str">
            <v>EDSERRAMENTI</v>
          </cell>
          <cell r="D756" t="str">
            <v>VIA MADRE TERESA DI CALCUTTA, 11</v>
          </cell>
          <cell r="E756" t="str">
            <v>37053</v>
          </cell>
          <cell r="F756" t="str">
            <v>CEREA</v>
          </cell>
          <cell r="G756" t="str">
            <v>VR</v>
          </cell>
          <cell r="H756" t="str">
            <v>ITALIA</v>
          </cell>
          <cell r="J756" t="str">
            <v>01168550299</v>
          </cell>
          <cell r="M756" t="str">
            <v>UFFICIO ACQUISTI</v>
          </cell>
          <cell r="O756" t="str">
            <v>349 8600609 Sandro 366 109326</v>
          </cell>
          <cell r="P756" t="str">
            <v>info@edserramenti.it</v>
          </cell>
          <cell r="R756" t="str">
            <v>BONIFICO BANCARIO, ALLA DATA DELLA NOSTRA CONFERMA D'ORDINE</v>
          </cell>
          <cell r="X756">
            <v>0.25</v>
          </cell>
          <cell r="Y756">
            <v>-0.04</v>
          </cell>
          <cell r="AB756">
            <v>0.25</v>
          </cell>
          <cell r="AC756">
            <v>0.25</v>
          </cell>
          <cell r="AD756">
            <v>0.25</v>
          </cell>
          <cell r="AE756">
            <v>0.25</v>
          </cell>
          <cell r="AF756">
            <v>0.25</v>
          </cell>
          <cell r="AG756">
            <v>0.25</v>
          </cell>
          <cell r="AH756">
            <v>0.25</v>
          </cell>
          <cell r="AI756">
            <v>0.25</v>
          </cell>
          <cell r="AJ756">
            <v>0.25</v>
          </cell>
          <cell r="AK756">
            <v>0.25</v>
          </cell>
          <cell r="AL756">
            <v>0.25</v>
          </cell>
          <cell r="AM756">
            <v>0.25</v>
          </cell>
          <cell r="AN756">
            <v>0.25</v>
          </cell>
          <cell r="AO756">
            <v>0.25</v>
          </cell>
          <cell r="AP756">
            <v>0.25</v>
          </cell>
          <cell r="AQ756">
            <v>0.25</v>
          </cell>
          <cell r="AR756">
            <v>0.25</v>
          </cell>
          <cell r="AS756">
            <v>0.25</v>
          </cell>
          <cell r="AT756">
            <v>-0.04</v>
          </cell>
          <cell r="AU756">
            <v>0.92</v>
          </cell>
          <cell r="AV756">
            <v>20</v>
          </cell>
          <cell r="AY756" t="str">
            <v/>
          </cell>
          <cell r="AZ756">
            <v>0.25</v>
          </cell>
          <cell r="BA756">
            <v>0.25</v>
          </cell>
        </row>
        <row r="757">
          <cell r="A757" t="str">
            <v>EFFE 84 DI SCERBO FRANCESCO</v>
          </cell>
          <cell r="D757" t="str">
            <v>VIA G.A. DOSIO, 64</v>
          </cell>
          <cell r="E757">
            <v>50142</v>
          </cell>
          <cell r="F757" t="str">
            <v>FIRENZE</v>
          </cell>
          <cell r="G757" t="str">
            <v>FI</v>
          </cell>
          <cell r="H757" t="str">
            <v>ITALIA</v>
          </cell>
          <cell r="I757" t="str">
            <v>SCRFNC84H02D6120</v>
          </cell>
          <cell r="J757" t="str">
            <v>06405040483</v>
          </cell>
          <cell r="M757" t="str">
            <v>UFFICIO ACQUISTI</v>
          </cell>
          <cell r="O757" t="str">
            <v>328 3839926 OPPURE 328 5665919</v>
          </cell>
          <cell r="P757" t="str">
            <v>francescoscerbo29@gmail.com</v>
          </cell>
          <cell r="R757" t="str">
            <v>BONIFICO BANCARIO, ALLA DATA DELLA NOSTRA CONFERMA D'ORDINE</v>
          </cell>
          <cell r="X757">
            <v>0.25</v>
          </cell>
          <cell r="Y757">
            <v>-0.04</v>
          </cell>
          <cell r="AB757">
            <v>0.25</v>
          </cell>
          <cell r="AC757">
            <v>0.25</v>
          </cell>
          <cell r="AD757">
            <v>0.25</v>
          </cell>
          <cell r="AE757">
            <v>0.25</v>
          </cell>
          <cell r="AF757">
            <v>0.25</v>
          </cell>
          <cell r="AG757">
            <v>0.25</v>
          </cell>
          <cell r="AH757">
            <v>0.25</v>
          </cell>
          <cell r="AI757">
            <v>0.25</v>
          </cell>
          <cell r="AJ757">
            <v>0.25</v>
          </cell>
          <cell r="AK757">
            <v>0.25</v>
          </cell>
          <cell r="AL757">
            <v>0.25</v>
          </cell>
          <cell r="AM757">
            <v>0.25</v>
          </cell>
          <cell r="AN757">
            <v>0.25</v>
          </cell>
          <cell r="AO757">
            <v>0.25</v>
          </cell>
          <cell r="AP757">
            <v>0.25</v>
          </cell>
          <cell r="AQ757">
            <v>0.25</v>
          </cell>
          <cell r="AR757">
            <v>0.25</v>
          </cell>
          <cell r="AS757">
            <v>0.25</v>
          </cell>
          <cell r="AT757">
            <v>-0.04</v>
          </cell>
          <cell r="AU757">
            <v>0.92</v>
          </cell>
          <cell r="AV757">
            <v>20</v>
          </cell>
          <cell r="AY757" t="str">
            <v/>
          </cell>
          <cell r="AZ757">
            <v>0.25</v>
          </cell>
          <cell r="BA757">
            <v>0.25</v>
          </cell>
        </row>
        <row r="758">
          <cell r="A758" t="str">
            <v>EFFEBI SERRAMENTI SRL</v>
          </cell>
          <cell r="D758" t="str">
            <v>VIA BRASILE, 17</v>
          </cell>
          <cell r="E758" t="str">
            <v>06018</v>
          </cell>
          <cell r="F758" t="str">
            <v xml:space="preserve">CITTA' DI CASTELLO </v>
          </cell>
          <cell r="G758" t="str">
            <v>PG</v>
          </cell>
          <cell r="H758" t="str">
            <v>ITALIA</v>
          </cell>
          <cell r="M758" t="str">
            <v>UFFICIO ACQUISTI</v>
          </cell>
          <cell r="N758" t="str">
            <v>075 8642232</v>
          </cell>
          <cell r="O758" t="str">
            <v>Gianpaolo  393 5925422</v>
          </cell>
          <cell r="P758" t="str">
            <v>info@infissieffebi.it</v>
          </cell>
          <cell r="R758" t="str">
            <v>BONIFICO BANCARIO, ALLA DATA DELLA NOSTRA CONFERMA D'ORDINE</v>
          </cell>
          <cell r="X758">
            <v>0.25</v>
          </cell>
          <cell r="Y758">
            <v>-0.04</v>
          </cell>
          <cell r="AB758">
            <v>0.25</v>
          </cell>
          <cell r="AC758">
            <v>0.25</v>
          </cell>
          <cell r="AD758">
            <v>0.25</v>
          </cell>
          <cell r="AE758">
            <v>0.25</v>
          </cell>
          <cell r="AF758">
            <v>0.25</v>
          </cell>
          <cell r="AG758">
            <v>0.25</v>
          </cell>
          <cell r="AH758">
            <v>0.25</v>
          </cell>
          <cell r="AI758">
            <v>0.25</v>
          </cell>
          <cell r="AJ758">
            <v>0.25</v>
          </cell>
          <cell r="AK758">
            <v>0.25</v>
          </cell>
          <cell r="AL758">
            <v>0.25</v>
          </cell>
          <cell r="AM758">
            <v>0.25</v>
          </cell>
          <cell r="AN758">
            <v>0.25</v>
          </cell>
          <cell r="AO758">
            <v>0.25</v>
          </cell>
          <cell r="AP758">
            <v>0.25</v>
          </cell>
          <cell r="AQ758">
            <v>0.25</v>
          </cell>
          <cell r="AR758">
            <v>0.25</v>
          </cell>
          <cell r="AS758">
            <v>0.25</v>
          </cell>
          <cell r="AT758">
            <v>-0.04</v>
          </cell>
          <cell r="AU758">
            <v>0.92</v>
          </cell>
          <cell r="AV758">
            <v>20</v>
          </cell>
          <cell r="AY758" t="str">
            <v/>
          </cell>
          <cell r="AZ758">
            <v>0.25</v>
          </cell>
          <cell r="BA758">
            <v>0.25</v>
          </cell>
        </row>
        <row r="759">
          <cell r="A759" t="str">
            <v>EFFEDI SERRAMENTI SNC</v>
          </cell>
          <cell r="D759" t="str">
            <v>VIA OROSEI, 54  56</v>
          </cell>
          <cell r="E759">
            <v>56021</v>
          </cell>
          <cell r="F759" t="str">
            <v>NAVACCHIO</v>
          </cell>
          <cell r="G759" t="str">
            <v>PI</v>
          </cell>
          <cell r="H759" t="str">
            <v>ITALIA</v>
          </cell>
          <cell r="M759" t="str">
            <v>UFFICIO ACQUISTI</v>
          </cell>
          <cell r="N759" t="str">
            <v>050 760456</v>
          </cell>
          <cell r="P759" t="str">
            <v>info@effediserramenti.it</v>
          </cell>
          <cell r="R759" t="str">
            <v>BONIFICO BANCARIO, ALLA DATA DELLA NOSTRA CONFERMA D'ORDINE</v>
          </cell>
          <cell r="X759">
            <v>0.25</v>
          </cell>
          <cell r="Y759">
            <v>-0.04</v>
          </cell>
          <cell r="AB759">
            <v>0.25</v>
          </cell>
          <cell r="AC759">
            <v>0.25</v>
          </cell>
          <cell r="AD759">
            <v>0.25</v>
          </cell>
          <cell r="AE759">
            <v>0.25</v>
          </cell>
          <cell r="AF759">
            <v>0.25</v>
          </cell>
          <cell r="AG759">
            <v>0.25</v>
          </cell>
          <cell r="AH759">
            <v>0.25</v>
          </cell>
          <cell r="AI759">
            <v>0.25</v>
          </cell>
          <cell r="AJ759">
            <v>0.25</v>
          </cell>
          <cell r="AK759">
            <v>0.25</v>
          </cell>
          <cell r="AL759">
            <v>0.25</v>
          </cell>
          <cell r="AM759">
            <v>0.25</v>
          </cell>
          <cell r="AN759">
            <v>0.25</v>
          </cell>
          <cell r="AO759">
            <v>0.25</v>
          </cell>
          <cell r="AP759">
            <v>0.25</v>
          </cell>
          <cell r="AQ759">
            <v>0.25</v>
          </cell>
          <cell r="AR759">
            <v>0.25</v>
          </cell>
          <cell r="AS759">
            <v>0.25</v>
          </cell>
          <cell r="AT759">
            <v>-0.04</v>
          </cell>
          <cell r="AU759">
            <v>0.92</v>
          </cell>
          <cell r="AV759">
            <v>20</v>
          </cell>
          <cell r="AY759" t="str">
            <v/>
          </cell>
          <cell r="AZ759">
            <v>0.25</v>
          </cell>
          <cell r="BA759">
            <v>0.25</v>
          </cell>
        </row>
        <row r="760">
          <cell r="A760" t="str">
            <v>EFFEDUE PORTE</v>
          </cell>
          <cell r="D760" t="str">
            <v>VIA F. DA PERSICO, 51R</v>
          </cell>
          <cell r="E760">
            <v>16154</v>
          </cell>
          <cell r="F760" t="str">
            <v>GENOVA</v>
          </cell>
          <cell r="G760" t="str">
            <v>GE</v>
          </cell>
          <cell r="H760" t="str">
            <v>ITALIA</v>
          </cell>
          <cell r="J760" t="str">
            <v>01294120991</v>
          </cell>
          <cell r="K760" t="str">
            <v>W7YVJK9</v>
          </cell>
          <cell r="M760" t="str">
            <v>UFFICIO ACQUISTI</v>
          </cell>
          <cell r="N760" t="str">
            <v>010 6143094</v>
          </cell>
          <cell r="P760" t="str">
            <v>info@effedueporte.it</v>
          </cell>
          <cell r="R760" t="str">
            <v>BONIFICO BANCARIO, ALLA DATA DELLA NOSTRA CONFERMA D'ORDINE</v>
          </cell>
          <cell r="X760">
            <v>0.25</v>
          </cell>
          <cell r="Y760">
            <v>-0.04</v>
          </cell>
          <cell r="AB760">
            <v>0.25</v>
          </cell>
          <cell r="AC760">
            <v>0.25</v>
          </cell>
          <cell r="AD760">
            <v>0.25</v>
          </cell>
          <cell r="AE760">
            <v>0.25</v>
          </cell>
          <cell r="AF760">
            <v>0.25</v>
          </cell>
          <cell r="AG760">
            <v>0.25</v>
          </cell>
          <cell r="AH760">
            <v>0.25</v>
          </cell>
          <cell r="AI760">
            <v>0.25</v>
          </cell>
          <cell r="AJ760">
            <v>0.25</v>
          </cell>
          <cell r="AK760">
            <v>0.25</v>
          </cell>
          <cell r="AL760">
            <v>0.25</v>
          </cell>
          <cell r="AM760">
            <v>0.25</v>
          </cell>
          <cell r="AN760">
            <v>0.25</v>
          </cell>
          <cell r="AO760">
            <v>0.25</v>
          </cell>
          <cell r="AP760">
            <v>0.25</v>
          </cell>
          <cell r="AQ760">
            <v>0.25</v>
          </cell>
          <cell r="AR760">
            <v>0.25</v>
          </cell>
          <cell r="AS760">
            <v>0.25</v>
          </cell>
          <cell r="AT760">
            <v>-0.04</v>
          </cell>
          <cell r="AU760">
            <v>0.92</v>
          </cell>
          <cell r="AV760">
            <v>20</v>
          </cell>
          <cell r="AY760" t="str">
            <v/>
          </cell>
          <cell r="AZ760">
            <v>0.25</v>
          </cell>
          <cell r="BA760">
            <v>0.25</v>
          </cell>
          <cell r="BF760" t="str">
            <v>CLICK RAPID con carpenteria 18/11/2020</v>
          </cell>
        </row>
        <row r="761">
          <cell r="A761" t="str">
            <v>EFFEERRE</v>
          </cell>
          <cell r="D761" t="str">
            <v>ZONA ARTIGIANALE</v>
          </cell>
          <cell r="E761" t="str">
            <v>09015</v>
          </cell>
          <cell r="F761" t="str">
            <v>DOMUSNOVAS</v>
          </cell>
          <cell r="G761" t="str">
            <v>SU</v>
          </cell>
          <cell r="H761" t="str">
            <v>ITALIA</v>
          </cell>
          <cell r="J761" t="str">
            <v>03422020929</v>
          </cell>
          <cell r="K761" t="str">
            <v>WP7SE2Q</v>
          </cell>
          <cell r="M761" t="str">
            <v>UFFICIO ACQUISTI</v>
          </cell>
          <cell r="N761" t="str">
            <v>0781 726007</v>
          </cell>
          <cell r="P761" t="str">
            <v>commerciale@effeerreserramenti.it</v>
          </cell>
          <cell r="R761" t="str">
            <v>BONIFICO BANCARIO, ALLA DATA DELLA NOSTRA CONFERMA D'ORDINE</v>
          </cell>
          <cell r="X761">
            <v>0.25</v>
          </cell>
          <cell r="Y761">
            <v>-0.04</v>
          </cell>
          <cell r="AB761">
            <v>0.25</v>
          </cell>
          <cell r="AC761">
            <v>0.25</v>
          </cell>
          <cell r="AD761">
            <v>0.25</v>
          </cell>
          <cell r="AE761">
            <v>0.25</v>
          </cell>
          <cell r="AF761">
            <v>0.25</v>
          </cell>
          <cell r="AG761">
            <v>0.25</v>
          </cell>
          <cell r="AH761">
            <v>0.25</v>
          </cell>
          <cell r="AI761">
            <v>0.25</v>
          </cell>
          <cell r="AJ761">
            <v>0.25</v>
          </cell>
          <cell r="AK761">
            <v>0.25</v>
          </cell>
          <cell r="AL761">
            <v>0.25</v>
          </cell>
          <cell r="AM761">
            <v>0.25</v>
          </cell>
          <cell r="AN761">
            <v>0.25</v>
          </cell>
          <cell r="AO761">
            <v>0.25</v>
          </cell>
          <cell r="AP761">
            <v>0.25</v>
          </cell>
          <cell r="AQ761">
            <v>0.25</v>
          </cell>
          <cell r="AR761">
            <v>0.25</v>
          </cell>
          <cell r="AS761">
            <v>0.25</v>
          </cell>
          <cell r="AT761">
            <v>-0.04</v>
          </cell>
          <cell r="AU761">
            <v>0.92</v>
          </cell>
          <cell r="AV761">
            <v>20</v>
          </cell>
          <cell r="AZ761">
            <v>0.25</v>
          </cell>
          <cell r="BA761">
            <v>0.25</v>
          </cell>
        </row>
        <row r="762">
          <cell r="A762" t="str">
            <v>EFFEERRE SERVICE DI FILIPPO LAI E ROBERTO PITTAU SNC</v>
          </cell>
          <cell r="B762" t="str">
            <v>NICOLA ADDETTO VENDITE  1000 VOLANTINI 1 ESPOSITORE</v>
          </cell>
          <cell r="D762" t="str">
            <v>ZONA ARTIGIANALE P.I.P.</v>
          </cell>
          <cell r="E762" t="str">
            <v>09015</v>
          </cell>
          <cell r="F762" t="str">
            <v>DOMUSNOVAS</v>
          </cell>
          <cell r="G762" t="str">
            <v>SU</v>
          </cell>
          <cell r="H762" t="str">
            <v>ITALIA</v>
          </cell>
          <cell r="J762" t="str">
            <v>03422020929</v>
          </cell>
          <cell r="K762" t="str">
            <v>WP7SE2Q</v>
          </cell>
          <cell r="M762" t="str">
            <v>UFFICIO ACQUISTI</v>
          </cell>
          <cell r="N762" t="str">
            <v>0781 726007</v>
          </cell>
          <cell r="P762" t="str">
            <v>commerciale@effeerreserramenti.it</v>
          </cell>
          <cell r="R762" t="str">
            <v>BONIFICO BANCARIO, ALLA DATA DELLA NOSTRA CONFERMA D'ORDINE</v>
          </cell>
          <cell r="X762">
            <v>0.25</v>
          </cell>
          <cell r="Y762">
            <v>-0.04</v>
          </cell>
          <cell r="AB762">
            <v>0.25</v>
          </cell>
          <cell r="AC762">
            <v>0.25</v>
          </cell>
          <cell r="AD762">
            <v>0.25</v>
          </cell>
          <cell r="AE762">
            <v>0.25</v>
          </cell>
          <cell r="AF762">
            <v>0.25</v>
          </cell>
          <cell r="AG762">
            <v>0.25</v>
          </cell>
          <cell r="AH762">
            <v>0.25</v>
          </cell>
          <cell r="AI762">
            <v>0.25</v>
          </cell>
          <cell r="AJ762">
            <v>0.25</v>
          </cell>
          <cell r="AK762">
            <v>0.25</v>
          </cell>
          <cell r="AL762">
            <v>0.25</v>
          </cell>
          <cell r="AM762">
            <v>0.25</v>
          </cell>
          <cell r="AN762">
            <v>0.25</v>
          </cell>
          <cell r="AO762">
            <v>0.25</v>
          </cell>
          <cell r="AP762">
            <v>0.25</v>
          </cell>
          <cell r="AQ762">
            <v>0.25</v>
          </cell>
          <cell r="AR762">
            <v>0.25</v>
          </cell>
          <cell r="AS762">
            <v>0.25</v>
          </cell>
          <cell r="AT762">
            <v>-0.04</v>
          </cell>
          <cell r="AU762">
            <v>0.92</v>
          </cell>
          <cell r="AV762">
            <v>20</v>
          </cell>
          <cell r="AZ762">
            <v>0.25</v>
          </cell>
          <cell r="BA762">
            <v>0.25</v>
          </cell>
        </row>
        <row r="763">
          <cell r="A763" t="str">
            <v>EFFELEGNO S.N.C. DI FANTONI NADIA, PAOLA &amp; C.</v>
          </cell>
          <cell r="D763" t="str">
            <v>2^ STRADA LUNGARNO, 14</v>
          </cell>
          <cell r="E763" t="str">
            <v>52028</v>
          </cell>
          <cell r="F763" t="str">
            <v>TERRAN. BRACCIOLINI</v>
          </cell>
          <cell r="G763" t="str">
            <v>AR</v>
          </cell>
          <cell r="H763" t="str">
            <v>ITALIA</v>
          </cell>
          <cell r="I763" t="str">
            <v>01170030512</v>
          </cell>
          <cell r="J763" t="str">
            <v>01170030512</v>
          </cell>
          <cell r="K763" t="str">
            <v>W7YVJK9</v>
          </cell>
          <cell r="M763" t="str">
            <v>UFFICIO ACQUISTI</v>
          </cell>
          <cell r="N763" t="str">
            <v>0559 73331</v>
          </cell>
          <cell r="P763" t="str">
            <v>info@effelegno.net</v>
          </cell>
          <cell r="R763" t="str">
            <v>BONIFICO BANCARIO, ALLA DATA DELLA NOSTRA CONFERMA D'ORDINE</v>
          </cell>
          <cell r="X763">
            <v>0.25</v>
          </cell>
          <cell r="Y763">
            <v>-0.04</v>
          </cell>
          <cell r="AB763">
            <v>0.25</v>
          </cell>
          <cell r="AC763">
            <v>0.25</v>
          </cell>
          <cell r="AD763">
            <v>0.25</v>
          </cell>
          <cell r="AE763">
            <v>0.25</v>
          </cell>
          <cell r="AF763">
            <v>0.25</v>
          </cell>
          <cell r="AG763">
            <v>0.25</v>
          </cell>
          <cell r="AH763">
            <v>0.25</v>
          </cell>
          <cell r="AI763">
            <v>0.25</v>
          </cell>
          <cell r="AJ763">
            <v>0.25</v>
          </cell>
          <cell r="AK763">
            <v>0.25</v>
          </cell>
          <cell r="AL763">
            <v>0.25</v>
          </cell>
          <cell r="AM763">
            <v>0.25</v>
          </cell>
          <cell r="AN763">
            <v>0.25</v>
          </cell>
          <cell r="AO763">
            <v>0.25</v>
          </cell>
          <cell r="AP763">
            <v>0.25</v>
          </cell>
          <cell r="AQ763">
            <v>0.25</v>
          </cell>
          <cell r="AR763">
            <v>0.25</v>
          </cell>
          <cell r="AS763">
            <v>0.25</v>
          </cell>
          <cell r="AT763">
            <v>-0.04</v>
          </cell>
          <cell r="AU763">
            <v>0.92</v>
          </cell>
          <cell r="AV763">
            <v>20</v>
          </cell>
          <cell r="AY763" t="str">
            <v/>
          </cell>
          <cell r="AZ763">
            <v>0.25</v>
          </cell>
          <cell r="BA763">
            <v>0.25</v>
          </cell>
          <cell r="BF763" t="str">
            <v>CLICK RAPID con carpenteria 30/11/2020</v>
          </cell>
        </row>
        <row r="764">
          <cell r="A764" t="str">
            <v>EKU SISTEMI SRL A SOCIO UNICO</v>
          </cell>
          <cell r="D764" t="str">
            <v>VIA E. FERMI 20</v>
          </cell>
          <cell r="E764" t="str">
            <v>20090</v>
          </cell>
          <cell r="F764" t="str">
            <v>SEGRATE</v>
          </cell>
          <cell r="G764" t="str">
            <v>MI</v>
          </cell>
          <cell r="H764" t="str">
            <v>ITALIA</v>
          </cell>
          <cell r="J764" t="str">
            <v>04803010968</v>
          </cell>
          <cell r="M764" t="str">
            <v>UFFICIO ACQUISTI</v>
          </cell>
          <cell r="R764" t="str">
            <v>BONIFICO BANCARIO, ALLA DATA DELLA NOSTRA CONFERMA D'ORDINE</v>
          </cell>
          <cell r="X764">
            <v>0.25</v>
          </cell>
          <cell r="Y764">
            <v>-0.04</v>
          </cell>
          <cell r="AB764">
            <v>0.25</v>
          </cell>
          <cell r="AC764">
            <v>0.25</v>
          </cell>
          <cell r="AD764">
            <v>0.25</v>
          </cell>
          <cell r="AE764">
            <v>0.25</v>
          </cell>
          <cell r="AF764">
            <v>0.25</v>
          </cell>
          <cell r="AG764">
            <v>0.25</v>
          </cell>
          <cell r="AH764">
            <v>0.25</v>
          </cell>
          <cell r="AI764">
            <v>0.25</v>
          </cell>
          <cell r="AJ764">
            <v>0.25</v>
          </cell>
          <cell r="AK764">
            <v>0.25</v>
          </cell>
          <cell r="AL764">
            <v>0.25</v>
          </cell>
          <cell r="AM764">
            <v>0.25</v>
          </cell>
          <cell r="AN764">
            <v>0.25</v>
          </cell>
          <cell r="AO764">
            <v>0.25</v>
          </cell>
          <cell r="AP764">
            <v>0.25</v>
          </cell>
          <cell r="AQ764">
            <v>0.25</v>
          </cell>
          <cell r="AR764">
            <v>0.25</v>
          </cell>
          <cell r="AS764">
            <v>0.25</v>
          </cell>
          <cell r="AT764">
            <v>-0.04</v>
          </cell>
          <cell r="AU764">
            <v>0.92</v>
          </cell>
          <cell r="AV764">
            <v>20</v>
          </cell>
          <cell r="AZ764">
            <v>0.25</v>
          </cell>
          <cell r="BA764">
            <v>0.25</v>
          </cell>
        </row>
        <row r="765">
          <cell r="A765" t="str">
            <v>ELEDIL SRL</v>
          </cell>
          <cell r="D765" t="str">
            <v>VIA G.GOZZI, 115</v>
          </cell>
          <cell r="E765">
            <v>21100</v>
          </cell>
          <cell r="F765" t="str">
            <v>VARESE</v>
          </cell>
          <cell r="G765" t="str">
            <v>VA</v>
          </cell>
          <cell r="H765" t="str">
            <v>ITALIA</v>
          </cell>
          <cell r="I765" t="str">
            <v>00626610125</v>
          </cell>
          <cell r="J765" t="str">
            <v>00626610125</v>
          </cell>
          <cell r="M765" t="str">
            <v>UFFICIO ACQUISTI</v>
          </cell>
          <cell r="N765" t="str">
            <v>0332 265200</v>
          </cell>
          <cell r="P765" t="str">
            <v>info@eledil.it</v>
          </cell>
          <cell r="R765" t="str">
            <v>BONIFICO BANCARIO, ALLA DATA DELLA NOSTRA CONFERMA D'ORDINE</v>
          </cell>
          <cell r="X765">
            <v>0.25</v>
          </cell>
          <cell r="Y765">
            <v>-0.04</v>
          </cell>
          <cell r="AB765">
            <v>0.25</v>
          </cell>
          <cell r="AC765">
            <v>0.25</v>
          </cell>
          <cell r="AD765">
            <v>0.25</v>
          </cell>
          <cell r="AE765">
            <v>0.25</v>
          </cell>
          <cell r="AF765">
            <v>0.25</v>
          </cell>
          <cell r="AG765">
            <v>0.25</v>
          </cell>
          <cell r="AH765">
            <v>0.25</v>
          </cell>
          <cell r="AI765">
            <v>0.25</v>
          </cell>
          <cell r="AJ765">
            <v>0.25</v>
          </cell>
          <cell r="AK765">
            <v>0.25</v>
          </cell>
          <cell r="AL765">
            <v>0.25</v>
          </cell>
          <cell r="AM765">
            <v>0.25</v>
          </cell>
          <cell r="AN765">
            <v>0.25</v>
          </cell>
          <cell r="AO765">
            <v>0.25</v>
          </cell>
          <cell r="AP765">
            <v>0.25</v>
          </cell>
          <cell r="AQ765">
            <v>0.25</v>
          </cell>
          <cell r="AR765">
            <v>0.25</v>
          </cell>
          <cell r="AS765">
            <v>0.25</v>
          </cell>
          <cell r="AT765">
            <v>-0.04</v>
          </cell>
          <cell r="AU765">
            <v>0.92</v>
          </cell>
          <cell r="AV765">
            <v>20</v>
          </cell>
          <cell r="AY765" t="str">
            <v/>
          </cell>
          <cell r="AZ765">
            <v>0.25</v>
          </cell>
          <cell r="BA765">
            <v>0.25</v>
          </cell>
        </row>
        <row r="766">
          <cell r="A766" t="str">
            <v>ELETTROMECCANICA CASTIGLIONI</v>
          </cell>
          <cell r="D766" t="str">
            <v>VIA ISERNIA 5</v>
          </cell>
          <cell r="E766" t="str">
            <v>37045</v>
          </cell>
          <cell r="F766" t="str">
            <v>LEGNAGO</v>
          </cell>
          <cell r="G766" t="str">
            <v>VR</v>
          </cell>
          <cell r="H766" t="str">
            <v>ITALIA</v>
          </cell>
          <cell r="J766" t="str">
            <v>04762920231</v>
          </cell>
          <cell r="M766" t="str">
            <v>UFFICIO ACQUISTI</v>
          </cell>
          <cell r="N766" t="str">
            <v>0442 24509</v>
          </cell>
          <cell r="O766" t="str">
            <v>345 5942001</v>
          </cell>
          <cell r="P766" t="str">
            <v>castiglioni.elettrom@gmail.com</v>
          </cell>
          <cell r="R766" t="str">
            <v>BONIFICO BANCARIO, ALLA DATA DELLA NOSTRA CONFERMA D'ORDINE</v>
          </cell>
          <cell r="AU766">
            <v>0.92</v>
          </cell>
          <cell r="AV766">
            <v>20</v>
          </cell>
        </row>
        <row r="767">
          <cell r="A767" t="str">
            <v>ELETTROMECCANICA MODERNA DI FERRETTI ULISSE SRL</v>
          </cell>
          <cell r="B767" t="str">
            <v>05/12/22 RIVENDITORE ACQUASTOP. HA COMPRATO CAMIONATE DI BARRIERE</v>
          </cell>
          <cell r="D767" t="str">
            <v>VIA BIRMANIA 30</v>
          </cell>
          <cell r="E767" t="str">
            <v>58100</v>
          </cell>
          <cell r="F767" t="str">
            <v>GROSSETO</v>
          </cell>
          <cell r="G767" t="str">
            <v>GR</v>
          </cell>
          <cell r="H767" t="str">
            <v>ITALIA</v>
          </cell>
          <cell r="J767" t="str">
            <v>00244060539</v>
          </cell>
          <cell r="M767" t="str">
            <v>UFFICIO ACQUISTI</v>
          </cell>
          <cell r="N767" t="str">
            <v>0564 455029</v>
          </cell>
          <cell r="O767" t="str">
            <v>335 7489547</v>
          </cell>
          <cell r="P767" t="str">
            <v>amministrazione@elettromeccanicamoderna.com</v>
          </cell>
          <cell r="R767" t="str">
            <v>BONIFICO BANCARIO, ALLA DATA DELLA NOSTRA CONFERMA D'ORDINE</v>
          </cell>
          <cell r="X767">
            <v>0.25</v>
          </cell>
          <cell r="Y767">
            <v>-0.04</v>
          </cell>
          <cell r="AB767">
            <v>0.25</v>
          </cell>
          <cell r="AC767">
            <v>0.25</v>
          </cell>
          <cell r="AD767">
            <v>0.25</v>
          </cell>
          <cell r="AE767">
            <v>0.25</v>
          </cell>
          <cell r="AF767">
            <v>0.25</v>
          </cell>
          <cell r="AG767">
            <v>0.25</v>
          </cell>
          <cell r="AH767">
            <v>0.25</v>
          </cell>
          <cell r="AI767">
            <v>0.25</v>
          </cell>
          <cell r="AJ767">
            <v>0.25</v>
          </cell>
          <cell r="AK767">
            <v>0.25</v>
          </cell>
          <cell r="AL767">
            <v>0.25</v>
          </cell>
          <cell r="AM767">
            <v>0.25</v>
          </cell>
          <cell r="AN767">
            <v>0.25</v>
          </cell>
          <cell r="AO767">
            <v>0.25</v>
          </cell>
          <cell r="AP767">
            <v>0.25</v>
          </cell>
          <cell r="AQ767">
            <v>0.25</v>
          </cell>
          <cell r="AR767">
            <v>0.25</v>
          </cell>
          <cell r="AS767">
            <v>0.25</v>
          </cell>
          <cell r="AT767">
            <v>-0.04</v>
          </cell>
          <cell r="AU767">
            <v>0.92</v>
          </cell>
          <cell r="AV767">
            <v>20</v>
          </cell>
          <cell r="AY767" t="str">
            <v/>
          </cell>
          <cell r="AZ767">
            <v>0.25</v>
          </cell>
          <cell r="BA767">
            <v>0.25</v>
          </cell>
        </row>
        <row r="768">
          <cell r="A768" t="str">
            <v>ELETTROSECUR SNC DI CASTELLANI GIUSEPPE &amp; FIGLI</v>
          </cell>
          <cell r="D768" t="str">
            <v>VIA GRAMSCI, 89 E</v>
          </cell>
          <cell r="E768">
            <v>52044</v>
          </cell>
          <cell r="F768" t="str">
            <v>CORTONA</v>
          </cell>
          <cell r="G768" t="str">
            <v>AR</v>
          </cell>
          <cell r="H768" t="str">
            <v>ITALIA</v>
          </cell>
          <cell r="J768" t="str">
            <v>01782440513</v>
          </cell>
          <cell r="M768" t="str">
            <v>UFFICIO ACQUISTI</v>
          </cell>
          <cell r="N768" t="str">
            <v>0575 630670</v>
          </cell>
          <cell r="O768" t="str">
            <v>Michela C. 340 2587378  Simone C. 348 0528609</v>
          </cell>
          <cell r="P768" t="str">
            <v>info@esecur.it</v>
          </cell>
          <cell r="R768" t="str">
            <v>BONIFICO BANCARIO, ALLA DATA DELLA NOSTRA CONFERMA D'ORDINE</v>
          </cell>
          <cell r="W768" t="str">
            <v>ACQUA SALATA</v>
          </cell>
          <cell r="X768">
            <v>0.25</v>
          </cell>
          <cell r="Y768">
            <v>-0.04</v>
          </cell>
          <cell r="AB768">
            <v>0.25</v>
          </cell>
          <cell r="AC768">
            <v>0.25</v>
          </cell>
          <cell r="AD768">
            <v>0.25</v>
          </cell>
          <cell r="AE768">
            <v>0.25</v>
          </cell>
          <cell r="AF768">
            <v>0.25</v>
          </cell>
          <cell r="AG768">
            <v>0.25</v>
          </cell>
          <cell r="AH768">
            <v>0.25</v>
          </cell>
          <cell r="AI768">
            <v>0.25</v>
          </cell>
          <cell r="AJ768">
            <v>0.25</v>
          </cell>
          <cell r="AK768">
            <v>0.25</v>
          </cell>
          <cell r="AL768">
            <v>0.25</v>
          </cell>
          <cell r="AM768">
            <v>0.25</v>
          </cell>
          <cell r="AN768">
            <v>0.25</v>
          </cell>
          <cell r="AO768">
            <v>0.25</v>
          </cell>
          <cell r="AP768">
            <v>0.25</v>
          </cell>
          <cell r="AQ768">
            <v>0.25</v>
          </cell>
          <cell r="AR768">
            <v>0.25</v>
          </cell>
          <cell r="AS768">
            <v>0.25</v>
          </cell>
          <cell r="AT768">
            <v>-0.04</v>
          </cell>
          <cell r="AU768">
            <v>0.92</v>
          </cell>
          <cell r="AV768">
            <v>20</v>
          </cell>
          <cell r="AY768" t="str">
            <v/>
          </cell>
          <cell r="AZ768">
            <v>0.25</v>
          </cell>
          <cell r="BA768">
            <v>0.25</v>
          </cell>
        </row>
        <row r="769">
          <cell r="A769" t="str">
            <v>ELIOSTENDE S.A.S.</v>
          </cell>
          <cell r="D769" t="str">
            <v>VIA ALFIERI, 76  80</v>
          </cell>
          <cell r="E769">
            <v>20089</v>
          </cell>
          <cell r="F769" t="str">
            <v>ROZZANO</v>
          </cell>
          <cell r="G769" t="str">
            <v>MI</v>
          </cell>
          <cell r="H769" t="str">
            <v>ITALIA</v>
          </cell>
          <cell r="M769" t="str">
            <v>UFFICIO ACQUISTI</v>
          </cell>
          <cell r="N769" t="str">
            <v>02 90723921</v>
          </cell>
          <cell r="P769" t="str">
            <v>eliostende@gmail.com</v>
          </cell>
          <cell r="R769" t="str">
            <v>BONIFICO BANCARIO, ALLA DATA DELLA NOSTRA CONFERMA D'ORDINE</v>
          </cell>
          <cell r="X769">
            <v>0.25</v>
          </cell>
          <cell r="Y769">
            <v>-0.04</v>
          </cell>
          <cell r="AB769">
            <v>0.25</v>
          </cell>
          <cell r="AC769">
            <v>0.25</v>
          </cell>
          <cell r="AD769">
            <v>0.25</v>
          </cell>
          <cell r="AE769">
            <v>0.25</v>
          </cell>
          <cell r="AF769">
            <v>0.25</v>
          </cell>
          <cell r="AG769">
            <v>0.25</v>
          </cell>
          <cell r="AH769">
            <v>0.25</v>
          </cell>
          <cell r="AI769">
            <v>0.25</v>
          </cell>
          <cell r="AJ769">
            <v>0.25</v>
          </cell>
          <cell r="AK769">
            <v>0.25</v>
          </cell>
          <cell r="AL769">
            <v>0.25</v>
          </cell>
          <cell r="AM769">
            <v>0.25</v>
          </cell>
          <cell r="AN769">
            <v>0.25</v>
          </cell>
          <cell r="AO769">
            <v>0.25</v>
          </cell>
          <cell r="AP769">
            <v>0.25</v>
          </cell>
          <cell r="AQ769">
            <v>0.25</v>
          </cell>
          <cell r="AR769">
            <v>0.25</v>
          </cell>
          <cell r="AS769">
            <v>0.25</v>
          </cell>
          <cell r="AT769">
            <v>-0.04</v>
          </cell>
          <cell r="AU769">
            <v>0.92</v>
          </cell>
          <cell r="AV769">
            <v>20</v>
          </cell>
          <cell r="AY769" t="str">
            <v/>
          </cell>
          <cell r="AZ769">
            <v>0.25</v>
          </cell>
          <cell r="BA769">
            <v>0.25</v>
          </cell>
        </row>
        <row r="770">
          <cell r="A770" t="str">
            <v xml:space="preserve">ELITE HOUSE </v>
          </cell>
          <cell r="B770" t="str">
            <v>LASCIATO DEPLIAN -MP</v>
          </cell>
          <cell r="D770" t="str">
            <v>VIA DI SCURRERIA, 29R</v>
          </cell>
          <cell r="E770">
            <v>16123</v>
          </cell>
          <cell r="F770" t="str">
            <v>GENOVA</v>
          </cell>
          <cell r="G770" t="str">
            <v>GE</v>
          </cell>
          <cell r="H770" t="str">
            <v>ITALIA</v>
          </cell>
          <cell r="J770" t="str">
            <v>02493830992</v>
          </cell>
          <cell r="M770" t="str">
            <v>UFFICIO ACQUISTI</v>
          </cell>
          <cell r="N770" t="str">
            <v>010 2541293</v>
          </cell>
          <cell r="P770" t="str">
            <v>elitehouse@libero.it</v>
          </cell>
          <cell r="R770" t="str">
            <v>BONIFICO BANCARIO, ALLA DATA DELLA NOSTRA CONFERMA D'ORDINE</v>
          </cell>
          <cell r="X770">
            <v>0.25</v>
          </cell>
          <cell r="Y770">
            <v>-0.04</v>
          </cell>
          <cell r="AB770">
            <v>0.25</v>
          </cell>
          <cell r="AC770">
            <v>0.25</v>
          </cell>
          <cell r="AD770">
            <v>0.25</v>
          </cell>
          <cell r="AE770">
            <v>0.25</v>
          </cell>
          <cell r="AF770">
            <v>0.25</v>
          </cell>
          <cell r="AG770">
            <v>0.25</v>
          </cell>
          <cell r="AH770">
            <v>0.25</v>
          </cell>
          <cell r="AI770">
            <v>0.25</v>
          </cell>
          <cell r="AJ770">
            <v>0.25</v>
          </cell>
          <cell r="AK770">
            <v>0.25</v>
          </cell>
          <cell r="AL770">
            <v>0.25</v>
          </cell>
          <cell r="AM770">
            <v>0.25</v>
          </cell>
          <cell r="AN770">
            <v>0.25</v>
          </cell>
          <cell r="AO770">
            <v>0.25</v>
          </cell>
          <cell r="AP770">
            <v>0.25</v>
          </cell>
          <cell r="AQ770">
            <v>0.25</v>
          </cell>
          <cell r="AR770">
            <v>0.25</v>
          </cell>
          <cell r="AS770">
            <v>0.25</v>
          </cell>
          <cell r="AT770">
            <v>-0.04</v>
          </cell>
          <cell r="AU770">
            <v>0.92</v>
          </cell>
          <cell r="AV770">
            <v>20</v>
          </cell>
          <cell r="AY770" t="str">
            <v/>
          </cell>
          <cell r="AZ770">
            <v>0.25</v>
          </cell>
          <cell r="BA770">
            <v>0.25</v>
          </cell>
        </row>
        <row r="771">
          <cell r="A771" t="str">
            <v>ELLEBI FALEGNAMERIA ARTIGIANA SNC</v>
          </cell>
          <cell r="D771" t="str">
            <v>VIA PROVINCIALE PER NOVANO, 22</v>
          </cell>
          <cell r="E771" t="str">
            <v>19020</v>
          </cell>
          <cell r="F771" t="str">
            <v>CASARZA LIGURE</v>
          </cell>
          <cell r="G771" t="str">
            <v>GE</v>
          </cell>
          <cell r="H771" t="str">
            <v>ITALIA</v>
          </cell>
          <cell r="J771" t="str">
            <v>00986240117</v>
          </cell>
          <cell r="K771" t="str">
            <v>SU9YNJA</v>
          </cell>
          <cell r="M771" t="str">
            <v>UFFICIO ACQUISTI</v>
          </cell>
          <cell r="N771" t="str">
            <v>0187 893682</v>
          </cell>
          <cell r="O771" t="str">
            <v>335 6792243 MAURO BOBBIO</v>
          </cell>
          <cell r="P771" t="str">
            <v>ellebifalegnameria@tiscali.it</v>
          </cell>
          <cell r="R771" t="str">
            <v>BONIFICO BANCARIO, ALLA DATA DELLA NOSTRA CONFERMA D'ORDINE</v>
          </cell>
          <cell r="W771" t="str">
            <v>ACQUA SALATA</v>
          </cell>
          <cell r="X771">
            <v>0.25</v>
          </cell>
          <cell r="Y771">
            <v>-0.04</v>
          </cell>
          <cell r="AB771">
            <v>0.25</v>
          </cell>
          <cell r="AC771">
            <v>0.25</v>
          </cell>
          <cell r="AD771">
            <v>0.25</v>
          </cell>
          <cell r="AE771">
            <v>0.25</v>
          </cell>
          <cell r="AF771">
            <v>0.25</v>
          </cell>
          <cell r="AG771">
            <v>0.25</v>
          </cell>
          <cell r="AH771">
            <v>0.25</v>
          </cell>
          <cell r="AI771">
            <v>0.25</v>
          </cell>
          <cell r="AJ771">
            <v>0.25</v>
          </cell>
          <cell r="AK771">
            <v>0.25</v>
          </cell>
          <cell r="AL771">
            <v>0.25</v>
          </cell>
          <cell r="AM771">
            <v>0.25</v>
          </cell>
          <cell r="AN771">
            <v>0.25</v>
          </cell>
          <cell r="AO771">
            <v>0.25</v>
          </cell>
          <cell r="AP771">
            <v>0.25</v>
          </cell>
          <cell r="AQ771">
            <v>0.25</v>
          </cell>
          <cell r="AR771">
            <v>0.25</v>
          </cell>
          <cell r="AS771">
            <v>0.25</v>
          </cell>
          <cell r="AT771">
            <v>-0.04</v>
          </cell>
          <cell r="AU771">
            <v>0.92</v>
          </cell>
          <cell r="AV771">
            <v>20</v>
          </cell>
          <cell r="AZ771">
            <v>0.25</v>
          </cell>
          <cell r="BA771">
            <v>0.25</v>
          </cell>
          <cell r="BF771" t="str">
            <v>CLICK RAPID con carpenteria 01/02/2021</v>
          </cell>
        </row>
        <row r="772">
          <cell r="A772" t="str">
            <v>ELLECOSTA METALL GMBH/SRL</v>
          </cell>
          <cell r="D772" t="str">
            <v>VIA IGNAZ-SEIDNER STRASSE, 8</v>
          </cell>
          <cell r="E772" t="str">
            <v>39042</v>
          </cell>
          <cell r="F772" t="str">
            <v>BRESSANONE</v>
          </cell>
          <cell r="G772" t="str">
            <v>BZ</v>
          </cell>
          <cell r="H772" t="str">
            <v>ITALIA</v>
          </cell>
          <cell r="J772" t="str">
            <v>01185610217</v>
          </cell>
          <cell r="K772" t="str">
            <v>T04ZHR3</v>
          </cell>
          <cell r="M772" t="str">
            <v>UFFICIO ACQUISTI</v>
          </cell>
          <cell r="N772" t="str">
            <v>0472 802220</v>
          </cell>
          <cell r="P772" t="str">
            <v>sebastian@ellecosta.it</v>
          </cell>
          <cell r="R772" t="str">
            <v>BONIFICO BANCARIO, ALLA DATA DELLA NOSTRA CONFERMA D'ORDINE</v>
          </cell>
          <cell r="X772">
            <v>0.15</v>
          </cell>
          <cell r="Y772">
            <v>-0.04</v>
          </cell>
          <cell r="AB772">
            <v>0.25</v>
          </cell>
          <cell r="AC772">
            <v>0.25</v>
          </cell>
          <cell r="AD772">
            <v>0.25</v>
          </cell>
          <cell r="AE772">
            <v>0.25</v>
          </cell>
          <cell r="AF772">
            <v>0.25</v>
          </cell>
          <cell r="AG772">
            <v>0.25</v>
          </cell>
          <cell r="AH772">
            <v>0.25</v>
          </cell>
          <cell r="AI772">
            <v>0.25</v>
          </cell>
          <cell r="AJ772">
            <v>0.25</v>
          </cell>
          <cell r="AK772">
            <v>0.25</v>
          </cell>
          <cell r="AL772">
            <v>0.25</v>
          </cell>
          <cell r="AM772">
            <v>0.25</v>
          </cell>
          <cell r="AN772">
            <v>0.25</v>
          </cell>
          <cell r="AO772">
            <v>0.25</v>
          </cell>
          <cell r="AP772">
            <v>0.25</v>
          </cell>
          <cell r="AQ772">
            <v>0.25</v>
          </cell>
          <cell r="AR772">
            <v>0.25</v>
          </cell>
          <cell r="AS772">
            <v>0.25</v>
          </cell>
          <cell r="AT772">
            <v>-0.04</v>
          </cell>
          <cell r="AU772">
            <v>0.9</v>
          </cell>
          <cell r="AV772">
            <v>20</v>
          </cell>
          <cell r="BF772" t="str">
            <v>CLICK RAPID con espositore 05/08/2022 - MODI con espositore 05/08/2022</v>
          </cell>
        </row>
        <row r="773">
          <cell r="A773" t="str">
            <v>EMALL SNC</v>
          </cell>
          <cell r="B773" t="str">
            <v>15/02/23 MANDATA MAIL 13/03/23 MARCO NON SA CON CHI HA PARLATO E CHE HANNO PARLATO DI TUTTO TRANNE CHE DELLE BARRIERE! CHIAMARE TRA QUALCHE GG E CAPIRE</v>
          </cell>
          <cell r="D773" t="str">
            <v>C.DA PAZZAGRANDE SN</v>
          </cell>
          <cell r="E773">
            <v>96011</v>
          </cell>
          <cell r="F773" t="str">
            <v>AUGUSTA</v>
          </cell>
          <cell r="G773" t="str">
            <v>SR</v>
          </cell>
          <cell r="H773" t="str">
            <v>ITALIA</v>
          </cell>
          <cell r="J773" t="str">
            <v>01321070896</v>
          </cell>
          <cell r="M773" t="str">
            <v>UFFICIO ACQUISTI</v>
          </cell>
          <cell r="O773" t="str">
            <v>329 9893991</v>
          </cell>
          <cell r="P773" t="str">
            <v>emall@live.it</v>
          </cell>
          <cell r="R773" t="str">
            <v>BONIFICO BANCARIO, ALLA DATA DELLA NOSTRA CONFERMA D'ORDINE</v>
          </cell>
          <cell r="X773">
            <v>0.25</v>
          </cell>
          <cell r="Y773">
            <v>-0.04</v>
          </cell>
          <cell r="AB773">
            <v>0.25</v>
          </cell>
          <cell r="AC773">
            <v>0.25</v>
          </cell>
          <cell r="AD773">
            <v>0.25</v>
          </cell>
          <cell r="AE773">
            <v>0.25</v>
          </cell>
          <cell r="AF773">
            <v>0.25</v>
          </cell>
          <cell r="AG773">
            <v>0.25</v>
          </cell>
          <cell r="AH773">
            <v>0.25</v>
          </cell>
          <cell r="AI773">
            <v>0.25</v>
          </cell>
          <cell r="AJ773">
            <v>0.25</v>
          </cell>
          <cell r="AK773">
            <v>0.25</v>
          </cell>
          <cell r="AL773">
            <v>0.25</v>
          </cell>
          <cell r="AM773">
            <v>0.25</v>
          </cell>
          <cell r="AN773">
            <v>0.25</v>
          </cell>
          <cell r="AO773">
            <v>0.25</v>
          </cell>
          <cell r="AP773">
            <v>0.25</v>
          </cell>
          <cell r="AQ773">
            <v>0.25</v>
          </cell>
          <cell r="AR773">
            <v>0.25</v>
          </cell>
          <cell r="AS773">
            <v>0.25</v>
          </cell>
          <cell r="AT773">
            <v>-0.04</v>
          </cell>
          <cell r="AU773">
            <v>0.92</v>
          </cell>
          <cell r="AV773">
            <v>20</v>
          </cell>
          <cell r="AY773" t="str">
            <v/>
          </cell>
          <cell r="AZ773">
            <v>0.25</v>
          </cell>
          <cell r="BA773">
            <v>0.25</v>
          </cell>
        </row>
        <row r="774">
          <cell r="A774" t="str">
            <v>EMICA DI CERUTTI INFISSI</v>
          </cell>
          <cell r="D774" t="str">
            <v>VIA ARONA, 97</v>
          </cell>
          <cell r="E774">
            <v>28021</v>
          </cell>
          <cell r="F774" t="str">
            <v>BORGOMANERO</v>
          </cell>
          <cell r="G774" t="str">
            <v>NO</v>
          </cell>
          <cell r="H774" t="str">
            <v>ITALIA</v>
          </cell>
          <cell r="M774" t="str">
            <v>UFFICIO ACQUISTI</v>
          </cell>
          <cell r="N774" t="str">
            <v>0322 199538</v>
          </cell>
          <cell r="P774" t="str">
            <v>barbara@ceruttinfissi.com</v>
          </cell>
          <cell r="R774" t="str">
            <v>BONIFICO BANCARIO, ALLA DATA DELLA NOSTRA CONFERMA D'ORDINE</v>
          </cell>
          <cell r="X774">
            <v>0.25</v>
          </cell>
          <cell r="Y774">
            <v>-0.04</v>
          </cell>
          <cell r="AB774">
            <v>0.25</v>
          </cell>
          <cell r="AC774">
            <v>0.25</v>
          </cell>
          <cell r="AD774">
            <v>0.25</v>
          </cell>
          <cell r="AE774">
            <v>0.25</v>
          </cell>
          <cell r="AF774">
            <v>0.25</v>
          </cell>
          <cell r="AG774">
            <v>0.25</v>
          </cell>
          <cell r="AH774">
            <v>0.25</v>
          </cell>
          <cell r="AI774">
            <v>0.25</v>
          </cell>
          <cell r="AJ774">
            <v>0.25</v>
          </cell>
          <cell r="AK774">
            <v>0.25</v>
          </cell>
          <cell r="AL774">
            <v>0.25</v>
          </cell>
          <cell r="AM774">
            <v>0.25</v>
          </cell>
          <cell r="AN774">
            <v>0.25</v>
          </cell>
          <cell r="AO774">
            <v>0.25</v>
          </cell>
          <cell r="AP774">
            <v>0.25</v>
          </cell>
          <cell r="AQ774">
            <v>0.25</v>
          </cell>
          <cell r="AR774">
            <v>0.25</v>
          </cell>
          <cell r="AS774">
            <v>0.25</v>
          </cell>
          <cell r="AT774">
            <v>-0.04</v>
          </cell>
          <cell r="AU774">
            <v>0.92</v>
          </cell>
          <cell r="AV774">
            <v>20</v>
          </cell>
          <cell r="AZ774">
            <v>0.25</v>
          </cell>
          <cell r="BA774">
            <v>0.25</v>
          </cell>
        </row>
        <row r="775">
          <cell r="A775" t="str">
            <v>EMME DECOR</v>
          </cell>
          <cell r="D775" t="str">
            <v>VIA MARCONI, 32</v>
          </cell>
          <cell r="E775">
            <v>20069</v>
          </cell>
          <cell r="F775" t="str">
            <v>VAPRIO D'ADDA</v>
          </cell>
          <cell r="G775" t="str">
            <v>MI</v>
          </cell>
          <cell r="H775" t="str">
            <v>ITALIA</v>
          </cell>
          <cell r="M775" t="str">
            <v>UFFICIO ACQUISTI</v>
          </cell>
          <cell r="N775" t="str">
            <v>02 87030636</v>
          </cell>
          <cell r="O775" t="str">
            <v>Cesare 348 6550502</v>
          </cell>
          <cell r="P775" t="str">
            <v>info@emmedecor.com</v>
          </cell>
          <cell r="R775" t="str">
            <v>BONIFICO BANCARIO, ALLA DATA DELLA NOSTRA CONFERMA D'ORDINE</v>
          </cell>
          <cell r="X775">
            <v>0.25</v>
          </cell>
          <cell r="Y775">
            <v>-0.04</v>
          </cell>
          <cell r="AB775">
            <v>0.25</v>
          </cell>
          <cell r="AC775">
            <v>0.25</v>
          </cell>
          <cell r="AD775">
            <v>0.25</v>
          </cell>
          <cell r="AE775">
            <v>0.25</v>
          </cell>
          <cell r="AF775">
            <v>0.25</v>
          </cell>
          <cell r="AG775">
            <v>0.25</v>
          </cell>
          <cell r="AH775">
            <v>0.25</v>
          </cell>
          <cell r="AI775">
            <v>0.25</v>
          </cell>
          <cell r="AJ775">
            <v>0.25</v>
          </cell>
          <cell r="AK775">
            <v>0.25</v>
          </cell>
          <cell r="AL775">
            <v>0.25</v>
          </cell>
          <cell r="AM775">
            <v>0.25</v>
          </cell>
          <cell r="AN775">
            <v>0.25</v>
          </cell>
          <cell r="AO775">
            <v>0.25</v>
          </cell>
          <cell r="AP775">
            <v>0.25</v>
          </cell>
          <cell r="AQ775">
            <v>0.25</v>
          </cell>
          <cell r="AR775">
            <v>0.25</v>
          </cell>
          <cell r="AS775">
            <v>0.25</v>
          </cell>
          <cell r="AT775">
            <v>-0.04</v>
          </cell>
          <cell r="AU775">
            <v>0.92</v>
          </cell>
          <cell r="AV775">
            <v>20</v>
          </cell>
          <cell r="AZ775">
            <v>0.25</v>
          </cell>
          <cell r="BA775">
            <v>0.25</v>
          </cell>
        </row>
        <row r="776">
          <cell r="A776" t="str">
            <v>EMME DECOR SRL</v>
          </cell>
          <cell r="D776" t="str">
            <v>VIA ACHILLE GRANDI, 19</v>
          </cell>
          <cell r="E776" t="str">
            <v xml:space="preserve">20060 </v>
          </cell>
          <cell r="F776" t="str">
            <v>PESSANO CON BORNAGO</v>
          </cell>
          <cell r="G776" t="str">
            <v>MI</v>
          </cell>
          <cell r="H776" t="str">
            <v>ITALIA</v>
          </cell>
          <cell r="M776" t="str">
            <v>UFFICIO ACQUISTI</v>
          </cell>
          <cell r="N776" t="str">
            <v>02 83649946</v>
          </cell>
          <cell r="P776" t="str">
            <v>amministratore@emmedecor.com</v>
          </cell>
          <cell r="R776" t="str">
            <v>BONIFICO BANCARIO, ALLA DATA DELLA NOSTRA CONFERMA D'ORDINE</v>
          </cell>
          <cell r="X776">
            <v>0.2</v>
          </cell>
          <cell r="Y776">
            <v>-0.04</v>
          </cell>
          <cell r="AB776">
            <v>0.2</v>
          </cell>
          <cell r="AC776">
            <v>0.2</v>
          </cell>
          <cell r="AD776">
            <v>0.2</v>
          </cell>
          <cell r="AE776">
            <v>0.2</v>
          </cell>
          <cell r="AF776">
            <v>0.2</v>
          </cell>
          <cell r="AG776">
            <v>0.2</v>
          </cell>
          <cell r="AH776">
            <v>0.2</v>
          </cell>
          <cell r="AI776">
            <v>0.2</v>
          </cell>
          <cell r="AJ776">
            <v>0.2</v>
          </cell>
          <cell r="AK776">
            <v>0.2</v>
          </cell>
          <cell r="AL776">
            <v>0.2</v>
          </cell>
          <cell r="AM776">
            <v>0.2</v>
          </cell>
          <cell r="AN776">
            <v>0.2</v>
          </cell>
          <cell r="AO776">
            <v>0.2</v>
          </cell>
          <cell r="AP776">
            <v>0.2</v>
          </cell>
          <cell r="AQ776">
            <v>0.2</v>
          </cell>
          <cell r="AR776">
            <v>0.2</v>
          </cell>
          <cell r="AS776">
            <v>0.2</v>
          </cell>
          <cell r="AT776">
            <v>-0.04</v>
          </cell>
          <cell r="AU776">
            <v>0.92</v>
          </cell>
          <cell r="AV776">
            <v>20</v>
          </cell>
          <cell r="AZ776">
            <v>0.2</v>
          </cell>
          <cell r="BA776">
            <v>0.2</v>
          </cell>
        </row>
        <row r="777">
          <cell r="A777" t="str">
            <v>EMME GI SERRAMENTI</v>
          </cell>
          <cell r="D777" t="str">
            <v>VIA TORRICELLI, 2</v>
          </cell>
          <cell r="E777">
            <v>20090</v>
          </cell>
          <cell r="F777" t="str">
            <v>BUCCINASCO</v>
          </cell>
          <cell r="G777" t="str">
            <v>MI</v>
          </cell>
          <cell r="H777" t="str">
            <v>ITALIA</v>
          </cell>
          <cell r="I777" t="str">
            <v>MRCGRL68A22F205P</v>
          </cell>
          <cell r="J777" t="str">
            <v>10236230156</v>
          </cell>
          <cell r="K777" t="str">
            <v>M5UXCR1</v>
          </cell>
          <cell r="M777" t="str">
            <v>UFFICIO ACQUISTI</v>
          </cell>
          <cell r="N777" t="str">
            <v>02 45708405</v>
          </cell>
          <cell r="O777" t="str">
            <v>333 8363730</v>
          </cell>
          <cell r="P777" t="str">
            <v>info@serramentiemmegi.it</v>
          </cell>
          <cell r="R777" t="str">
            <v>BONIFICO BANCARIO, ALLA DATA DELLA NOSTRA CONFERMA D'ORDINE</v>
          </cell>
          <cell r="X777">
            <v>0.25</v>
          </cell>
          <cell r="Y777">
            <v>-0.04</v>
          </cell>
          <cell r="AB777">
            <v>0.25</v>
          </cell>
          <cell r="AC777">
            <v>0.25</v>
          </cell>
          <cell r="AD777">
            <v>0.25</v>
          </cell>
          <cell r="AE777">
            <v>0.25</v>
          </cell>
          <cell r="AF777">
            <v>0.25</v>
          </cell>
          <cell r="AG777">
            <v>0.25</v>
          </cell>
          <cell r="AH777">
            <v>0.25</v>
          </cell>
          <cell r="AI777">
            <v>0.25</v>
          </cell>
          <cell r="AJ777">
            <v>0.25</v>
          </cell>
          <cell r="AK777">
            <v>0.25</v>
          </cell>
          <cell r="AL777">
            <v>0.25</v>
          </cell>
          <cell r="AM777">
            <v>0.25</v>
          </cell>
          <cell r="AN777">
            <v>0.25</v>
          </cell>
          <cell r="AO777">
            <v>0.25</v>
          </cell>
          <cell r="AP777">
            <v>0.25</v>
          </cell>
          <cell r="AQ777">
            <v>0.25</v>
          </cell>
          <cell r="AR777">
            <v>0.25</v>
          </cell>
          <cell r="AS777">
            <v>0.25</v>
          </cell>
          <cell r="AT777">
            <v>-0.04</v>
          </cell>
          <cell r="AU777">
            <v>0.92</v>
          </cell>
          <cell r="AV777">
            <v>20</v>
          </cell>
          <cell r="AY777" t="str">
            <v/>
          </cell>
          <cell r="AZ777">
            <v>0.25</v>
          </cell>
          <cell r="BA777">
            <v>0.25</v>
          </cell>
        </row>
        <row r="778">
          <cell r="A778" t="str">
            <v>EMME HOME S.R.L.</v>
          </cell>
          <cell r="D778" t="str">
            <v>VIA GIUSEPPE SEMINARA, 2</v>
          </cell>
          <cell r="E778">
            <v>90018</v>
          </cell>
          <cell r="F778" t="str">
            <v>TERMINI IMERESE</v>
          </cell>
          <cell r="G778" t="str">
            <v>PA</v>
          </cell>
          <cell r="H778" t="str">
            <v>ITALIA</v>
          </cell>
          <cell r="J778" t="str">
            <v>06585920827</v>
          </cell>
          <cell r="M778" t="str">
            <v>UFFICIO ACQUISTI</v>
          </cell>
          <cell r="N778" t="str">
            <v>091 8113434</v>
          </cell>
          <cell r="P778" t="str">
            <v>showroom@emmehome.it</v>
          </cell>
          <cell r="R778" t="str">
            <v>BONIFICO BANCARIO, ALLA DATA DELLA NOSTRA CONFERMA D'ORDINE</v>
          </cell>
          <cell r="X778">
            <v>0.25</v>
          </cell>
          <cell r="Y778">
            <v>-0.04</v>
          </cell>
          <cell r="AB778">
            <v>0.25</v>
          </cell>
          <cell r="AC778">
            <v>0.25</v>
          </cell>
          <cell r="AD778">
            <v>0.25</v>
          </cell>
          <cell r="AE778">
            <v>0.25</v>
          </cell>
          <cell r="AF778">
            <v>0.25</v>
          </cell>
          <cell r="AG778">
            <v>0.25</v>
          </cell>
          <cell r="AH778">
            <v>0.25</v>
          </cell>
          <cell r="AI778">
            <v>0.25</v>
          </cell>
          <cell r="AJ778">
            <v>0.25</v>
          </cell>
          <cell r="AK778">
            <v>0.25</v>
          </cell>
          <cell r="AL778">
            <v>0.25</v>
          </cell>
          <cell r="AM778">
            <v>0.25</v>
          </cell>
          <cell r="AN778">
            <v>0.25</v>
          </cell>
          <cell r="AO778">
            <v>0.25</v>
          </cell>
          <cell r="AP778">
            <v>0.25</v>
          </cell>
          <cell r="AQ778">
            <v>0.25</v>
          </cell>
          <cell r="AR778">
            <v>0.25</v>
          </cell>
          <cell r="AS778">
            <v>0.25</v>
          </cell>
          <cell r="AT778">
            <v>-0.04</v>
          </cell>
          <cell r="AU778">
            <v>0.92</v>
          </cell>
          <cell r="AV778">
            <v>20</v>
          </cell>
          <cell r="AY778" t="str">
            <v/>
          </cell>
          <cell r="AZ778">
            <v>0.25</v>
          </cell>
          <cell r="BA778">
            <v>0.25</v>
          </cell>
        </row>
        <row r="779">
          <cell r="A779" t="str">
            <v>EMMECI SISTEMI S.R.L.</v>
          </cell>
          <cell r="D779" t="str">
            <v>VIA P.GEMELLI 43/B</v>
          </cell>
          <cell r="E779">
            <v>31038</v>
          </cell>
          <cell r="F779" t="str">
            <v xml:space="preserve">POSTIOMA DI PAESE </v>
          </cell>
          <cell r="G779" t="str">
            <v>TV</v>
          </cell>
          <cell r="H779" t="str">
            <v>ITALIA</v>
          </cell>
          <cell r="J779" t="str">
            <v>03929060261</v>
          </cell>
          <cell r="M779" t="str">
            <v>UFFICIO ACQUISTI</v>
          </cell>
          <cell r="N779" t="str">
            <v>0422 480166</v>
          </cell>
          <cell r="O779" t="str">
            <v>340 7861411</v>
          </cell>
          <cell r="P779" t="str">
            <v>info@emmecisistemisrl.com</v>
          </cell>
          <cell r="R779" t="str">
            <v>BONIFICO BANCARIO, ALLA DATA DELLA NOSTRA CONFERMA D'ORDINE</v>
          </cell>
          <cell r="X779">
            <v>0.25</v>
          </cell>
          <cell r="Y779">
            <v>-0.04</v>
          </cell>
          <cell r="AB779">
            <v>0.25</v>
          </cell>
          <cell r="AC779">
            <v>0.25</v>
          </cell>
          <cell r="AD779">
            <v>0.25</v>
          </cell>
          <cell r="AE779">
            <v>0.25</v>
          </cell>
          <cell r="AF779">
            <v>0.25</v>
          </cell>
          <cell r="AG779">
            <v>0.25</v>
          </cell>
          <cell r="AH779">
            <v>0.25</v>
          </cell>
          <cell r="AI779">
            <v>0.25</v>
          </cell>
          <cell r="AJ779">
            <v>0.25</v>
          </cell>
          <cell r="AK779">
            <v>0.25</v>
          </cell>
          <cell r="AL779">
            <v>0.25</v>
          </cell>
          <cell r="AM779">
            <v>0.25</v>
          </cell>
          <cell r="AN779">
            <v>0.25</v>
          </cell>
          <cell r="AO779">
            <v>0.25</v>
          </cell>
          <cell r="AP779">
            <v>0.25</v>
          </cell>
          <cell r="AQ779">
            <v>0.25</v>
          </cell>
          <cell r="AR779">
            <v>0.25</v>
          </cell>
          <cell r="AS779">
            <v>0.25</v>
          </cell>
          <cell r="AT779">
            <v>-0.04</v>
          </cell>
          <cell r="AU779">
            <v>0.92</v>
          </cell>
          <cell r="AV779">
            <v>20</v>
          </cell>
          <cell r="AY779" t="str">
            <v/>
          </cell>
          <cell r="AZ779">
            <v>0.25</v>
          </cell>
          <cell r="BA779">
            <v>0.25</v>
          </cell>
        </row>
        <row r="780">
          <cell r="A780" t="str">
            <v>EMMEDI DI MALAVASI DAVIDE</v>
          </cell>
          <cell r="D780" t="str">
            <v>VIA PROVINCIALE PER MODENA, 1  8</v>
          </cell>
          <cell r="E780" t="str">
            <v>41034</v>
          </cell>
          <cell r="F780" t="str">
            <v>FINALE EMILIA</v>
          </cell>
          <cell r="G780" t="str">
            <v>MO</v>
          </cell>
          <cell r="H780" t="str">
            <v>ITALIA</v>
          </cell>
          <cell r="I780" t="str">
            <v>MLVDVD70S22F240C</v>
          </cell>
          <cell r="J780" t="str">
            <v>02061120362</v>
          </cell>
          <cell r="M780" t="str">
            <v>UFFICIO ACQUISTI</v>
          </cell>
          <cell r="N780" t="str">
            <v>0535 90659</v>
          </cell>
          <cell r="O780" t="str">
            <v>393 35919378</v>
          </cell>
          <cell r="P780" t="str">
            <v>emmedi_malavasi@tiscali.it</v>
          </cell>
          <cell r="R780" t="str">
            <v>BONIFICO BANCARIO, ALLA DATA DELLA NOSTRA CONFERMA D'ORDINE</v>
          </cell>
          <cell r="X780">
            <v>0.25</v>
          </cell>
          <cell r="Y780">
            <v>-0.04</v>
          </cell>
          <cell r="AB780">
            <v>0.25</v>
          </cell>
          <cell r="AC780">
            <v>0.25</v>
          </cell>
          <cell r="AD780">
            <v>0.25</v>
          </cell>
          <cell r="AE780">
            <v>0.25</v>
          </cell>
          <cell r="AF780">
            <v>0.25</v>
          </cell>
          <cell r="AG780">
            <v>0.25</v>
          </cell>
          <cell r="AH780">
            <v>0.25</v>
          </cell>
          <cell r="AI780">
            <v>0.25</v>
          </cell>
          <cell r="AJ780">
            <v>0.25</v>
          </cell>
          <cell r="AK780">
            <v>0.25</v>
          </cell>
          <cell r="AL780">
            <v>0.25</v>
          </cell>
          <cell r="AM780">
            <v>0.25</v>
          </cell>
          <cell r="AN780">
            <v>0.25</v>
          </cell>
          <cell r="AO780">
            <v>0.25</v>
          </cell>
          <cell r="AP780">
            <v>0.25</v>
          </cell>
          <cell r="AQ780">
            <v>0.25</v>
          </cell>
          <cell r="AR780">
            <v>0.25</v>
          </cell>
          <cell r="AS780">
            <v>0.25</v>
          </cell>
          <cell r="AT780">
            <v>-0.04</v>
          </cell>
          <cell r="AU780">
            <v>0.92</v>
          </cell>
          <cell r="AV780">
            <v>20</v>
          </cell>
          <cell r="AY780" t="str">
            <v/>
          </cell>
          <cell r="AZ780">
            <v>0.25</v>
          </cell>
          <cell r="BA780">
            <v>0.25</v>
          </cell>
        </row>
        <row r="781">
          <cell r="A781" t="str">
            <v>EMMEDI DI MINORELLO ARCH S SRL</v>
          </cell>
          <cell r="D781" t="str">
            <v>VIA CATTANEO 17</v>
          </cell>
          <cell r="E781" t="str">
            <v>30030</v>
          </cell>
          <cell r="F781" t="str">
            <v>OLMO DI MARTELLAGO</v>
          </cell>
          <cell r="G781" t="str">
            <v>VE</v>
          </cell>
          <cell r="H781" t="str">
            <v>ITALIA</v>
          </cell>
          <cell r="J781" t="str">
            <v>02047000274</v>
          </cell>
          <cell r="M781" t="str">
            <v>UFFICIO ACQUISTI</v>
          </cell>
          <cell r="N781" t="str">
            <v>041 909330</v>
          </cell>
          <cell r="O781" t="str">
            <v>041 680355</v>
          </cell>
          <cell r="P781" t="str">
            <v>info@emmedims.com</v>
          </cell>
          <cell r="R781" t="str">
            <v>BONIFICO BANCARIO, ALLA DATA DELLA NOSTRA CONFERMA D'ORDINE</v>
          </cell>
          <cell r="X781">
            <v>0.25</v>
          </cell>
          <cell r="Y781">
            <v>-0.04</v>
          </cell>
          <cell r="AB781">
            <v>0.25</v>
          </cell>
          <cell r="AC781">
            <v>0.25</v>
          </cell>
          <cell r="AD781">
            <v>0.25</v>
          </cell>
          <cell r="AE781">
            <v>0.25</v>
          </cell>
          <cell r="AF781">
            <v>0.25</v>
          </cell>
          <cell r="AG781">
            <v>0.25</v>
          </cell>
          <cell r="AH781">
            <v>0.25</v>
          </cell>
          <cell r="AI781">
            <v>0.25</v>
          </cell>
          <cell r="AJ781">
            <v>0.25</v>
          </cell>
          <cell r="AK781">
            <v>0.25</v>
          </cell>
          <cell r="AL781">
            <v>0.25</v>
          </cell>
          <cell r="AM781">
            <v>0.25</v>
          </cell>
          <cell r="AN781">
            <v>0.25</v>
          </cell>
          <cell r="AO781">
            <v>0.25</v>
          </cell>
          <cell r="AP781">
            <v>0.25</v>
          </cell>
          <cell r="AQ781">
            <v>0.25</v>
          </cell>
          <cell r="AR781">
            <v>0.25</v>
          </cell>
          <cell r="AS781">
            <v>0.25</v>
          </cell>
          <cell r="AT781">
            <v>-0.04</v>
          </cell>
          <cell r="AU781">
            <v>0.92</v>
          </cell>
          <cell r="AV781">
            <v>20</v>
          </cell>
          <cell r="AY781" t="str">
            <v/>
          </cell>
          <cell r="AZ781">
            <v>0.25</v>
          </cell>
          <cell r="BA781">
            <v>0.25</v>
          </cell>
        </row>
        <row r="782">
          <cell r="A782" t="str">
            <v>EMMEDI PORTE E INFISSI DI MALAVASI DAVIDE</v>
          </cell>
          <cell r="D782" t="str">
            <v>VIA COMUNALE ROVERE, 31/L</v>
          </cell>
          <cell r="E782" t="str">
            <v>41034</v>
          </cell>
          <cell r="F782" t="str">
            <v>FINALE EMILIA</v>
          </cell>
          <cell r="G782" t="str">
            <v>MO</v>
          </cell>
          <cell r="H782" t="str">
            <v>ITALIA</v>
          </cell>
          <cell r="I782" t="str">
            <v>MLVDVD70S22F240C</v>
          </cell>
          <cell r="J782" t="str">
            <v>02061120362</v>
          </cell>
          <cell r="K782" t="str">
            <v>W7YVJK9</v>
          </cell>
          <cell r="M782" t="str">
            <v>UFFICIO ACQUISTI</v>
          </cell>
          <cell r="N782" t="str">
            <v>0535 90659</v>
          </cell>
          <cell r="O782" t="str">
            <v>393 5919378</v>
          </cell>
          <cell r="P782" t="str">
            <v>emmedi_malavasi@tiscali.it</v>
          </cell>
          <cell r="R782" t="str">
            <v>BONIFICO BANCARIO, ALLA DATA DELLA NOSTRA CONFERMA D'ORDINE</v>
          </cell>
          <cell r="X782">
            <v>0.25</v>
          </cell>
          <cell r="Y782">
            <v>-0.04</v>
          </cell>
          <cell r="AB782">
            <v>0.25</v>
          </cell>
          <cell r="AC782">
            <v>0.25</v>
          </cell>
          <cell r="AD782">
            <v>0.25</v>
          </cell>
          <cell r="AE782">
            <v>0.25</v>
          </cell>
          <cell r="AF782">
            <v>0.25</v>
          </cell>
          <cell r="AG782">
            <v>0.25</v>
          </cell>
          <cell r="AH782">
            <v>0.25</v>
          </cell>
          <cell r="AI782">
            <v>0.25</v>
          </cell>
          <cell r="AJ782">
            <v>0.25</v>
          </cell>
          <cell r="AK782">
            <v>0.25</v>
          </cell>
          <cell r="AL782">
            <v>0.25</v>
          </cell>
          <cell r="AM782">
            <v>0.25</v>
          </cell>
          <cell r="AN782">
            <v>0.25</v>
          </cell>
          <cell r="AO782">
            <v>0.25</v>
          </cell>
          <cell r="AP782">
            <v>0.25</v>
          </cell>
          <cell r="AQ782">
            <v>0.25</v>
          </cell>
          <cell r="AR782">
            <v>0.25</v>
          </cell>
          <cell r="AS782">
            <v>0.25</v>
          </cell>
          <cell r="AT782">
            <v>-0.04</v>
          </cell>
          <cell r="AU782">
            <v>0.92</v>
          </cell>
          <cell r="AV782">
            <v>20</v>
          </cell>
          <cell r="AY782" t="str">
            <v/>
          </cell>
          <cell r="AZ782">
            <v>0.25</v>
          </cell>
          <cell r="BA782">
            <v>0.25</v>
          </cell>
          <cell r="BF782" t="str">
            <v>CLICK RAPID con carpenteria 07/01/2021</v>
          </cell>
        </row>
        <row r="783">
          <cell r="A783" t="str">
            <v>EMMEDI SERRAMENTI SRL</v>
          </cell>
          <cell r="D783" t="str">
            <v>STRADA A, 10</v>
          </cell>
          <cell r="E783">
            <v>52100</v>
          </cell>
          <cell r="F783" t="str">
            <v>SAN ZENO</v>
          </cell>
          <cell r="G783" t="str">
            <v>AR</v>
          </cell>
          <cell r="H783" t="str">
            <v>ITALIA</v>
          </cell>
          <cell r="J783" t="str">
            <v>02066010519</v>
          </cell>
          <cell r="K783" t="str">
            <v>M5UXCR1</v>
          </cell>
          <cell r="M783" t="str">
            <v>UFFICIO ACQUISTI</v>
          </cell>
          <cell r="N783" t="str">
            <v>0575 364976</v>
          </cell>
          <cell r="P783" t="str">
            <v>mauro@emmediserramenti.it</v>
          </cell>
          <cell r="R783" t="str">
            <v>BONIFICO BANCARIO, ALLA DATA DELLA NOSTRA CONFERMA D'ORDINE</v>
          </cell>
          <cell r="X783">
            <v>0.25</v>
          </cell>
          <cell r="Y783">
            <v>-0.04</v>
          </cell>
          <cell r="AB783">
            <v>0.25</v>
          </cell>
          <cell r="AC783">
            <v>0.25</v>
          </cell>
          <cell r="AD783">
            <v>0.25</v>
          </cell>
          <cell r="AE783">
            <v>0.25</v>
          </cell>
          <cell r="AF783">
            <v>0.25</v>
          </cell>
          <cell r="AG783">
            <v>0.25</v>
          </cell>
          <cell r="AH783">
            <v>0.25</v>
          </cell>
          <cell r="AI783">
            <v>0.25</v>
          </cell>
          <cell r="AJ783">
            <v>0.25</v>
          </cell>
          <cell r="AK783">
            <v>0.25</v>
          </cell>
          <cell r="AL783">
            <v>0.25</v>
          </cell>
          <cell r="AM783">
            <v>0.25</v>
          </cell>
          <cell r="AN783">
            <v>0.25</v>
          </cell>
          <cell r="AO783">
            <v>0.25</v>
          </cell>
          <cell r="AP783">
            <v>0.25</v>
          </cell>
          <cell r="AQ783">
            <v>0.25</v>
          </cell>
          <cell r="AR783">
            <v>0.25</v>
          </cell>
          <cell r="AS783">
            <v>0.25</v>
          </cell>
          <cell r="AT783">
            <v>-0.04</v>
          </cell>
          <cell r="AU783">
            <v>0.92</v>
          </cell>
          <cell r="AV783">
            <v>20</v>
          </cell>
          <cell r="AY783" t="str">
            <v/>
          </cell>
          <cell r="AZ783">
            <v>0.25</v>
          </cell>
          <cell r="BA783">
            <v>0.25</v>
          </cell>
          <cell r="BF783" t="str">
            <v>CLICK RAPID con carpenteria 30/11/2020</v>
          </cell>
        </row>
        <row r="784">
          <cell r="A784" t="str">
            <v>EMMEG s.n.c.</v>
          </cell>
          <cell r="D784" t="str">
            <v>VIA MANEIRA, 7- BEVERA</v>
          </cell>
          <cell r="E784">
            <v>18039</v>
          </cell>
          <cell r="F784" t="str">
            <v>VENTIMIGLIA</v>
          </cell>
          <cell r="G784" t="str">
            <v>IM</v>
          </cell>
          <cell r="H784" t="str">
            <v>ITALIA</v>
          </cell>
          <cell r="J784" t="str">
            <v>00400780086</v>
          </cell>
          <cell r="M784" t="str">
            <v>UFFICIO ACQUISTI</v>
          </cell>
          <cell r="N784" t="str">
            <v>0184 210219</v>
          </cell>
          <cell r="O784" t="str">
            <v>333 8403293</v>
          </cell>
          <cell r="P784" t="str">
            <v>emmegiserramenti@libero.it</v>
          </cell>
          <cell r="R784" t="str">
            <v>BONIFICO BANCARIO, ALLA DATA DELLA NOSTRA CONFERMA D'ORDINE</v>
          </cell>
          <cell r="X784">
            <v>0.25</v>
          </cell>
          <cell r="Y784">
            <v>-0.04</v>
          </cell>
          <cell r="AB784">
            <v>0.25</v>
          </cell>
          <cell r="AC784">
            <v>0.25</v>
          </cell>
          <cell r="AD784">
            <v>0.25</v>
          </cell>
          <cell r="AE784">
            <v>0.25</v>
          </cell>
          <cell r="AF784">
            <v>0.25</v>
          </cell>
          <cell r="AG784">
            <v>0.25</v>
          </cell>
          <cell r="AH784">
            <v>0.25</v>
          </cell>
          <cell r="AI784">
            <v>0.25</v>
          </cell>
          <cell r="AJ784">
            <v>0.25</v>
          </cell>
          <cell r="AK784">
            <v>0.25</v>
          </cell>
          <cell r="AL784">
            <v>0.25</v>
          </cell>
          <cell r="AM784">
            <v>0.25</v>
          </cell>
          <cell r="AN784">
            <v>0.25</v>
          </cell>
          <cell r="AO784">
            <v>0.25</v>
          </cell>
          <cell r="AP784">
            <v>0.25</v>
          </cell>
          <cell r="AQ784">
            <v>0.25</v>
          </cell>
          <cell r="AR784">
            <v>0.25</v>
          </cell>
          <cell r="AS784">
            <v>0.25</v>
          </cell>
          <cell r="AT784">
            <v>-0.04</v>
          </cell>
          <cell r="AU784">
            <v>0.92</v>
          </cell>
          <cell r="AV784">
            <v>20</v>
          </cell>
          <cell r="AY784" t="str">
            <v/>
          </cell>
          <cell r="AZ784">
            <v>0.25</v>
          </cell>
          <cell r="BA784">
            <v>0.25</v>
          </cell>
        </row>
        <row r="785">
          <cell r="A785" t="str">
            <v>EMMEGI INFISSI</v>
          </cell>
          <cell r="B785" t="str">
            <v>INTERESSATO    PARLARE COL CAPO</v>
          </cell>
          <cell r="D785" t="str">
            <v>VIA DEI FABBRI, 18</v>
          </cell>
          <cell r="E785">
            <v>57121</v>
          </cell>
          <cell r="F785" t="str">
            <v>LIVORNO</v>
          </cell>
          <cell r="G785" t="str">
            <v>LI</v>
          </cell>
          <cell r="H785" t="str">
            <v>ITALIA</v>
          </cell>
          <cell r="J785" t="str">
            <v>01788140497</v>
          </cell>
          <cell r="M785" t="str">
            <v>UFFICIO ACQUISTI</v>
          </cell>
          <cell r="N785" t="str">
            <v>0586 429602</v>
          </cell>
          <cell r="P785" t="str">
            <v>emmeginfissi@telematicaitalia.it</v>
          </cell>
          <cell r="R785" t="str">
            <v>BONIFICO BANCARIO, ALLA DATA DELLA NOSTRA CONFERMA D'ORDINE</v>
          </cell>
          <cell r="X785">
            <v>0.25</v>
          </cell>
          <cell r="Y785">
            <v>-0.04</v>
          </cell>
          <cell r="AB785">
            <v>0.25</v>
          </cell>
          <cell r="AC785">
            <v>0.25</v>
          </cell>
          <cell r="AD785">
            <v>0.25</v>
          </cell>
          <cell r="AE785">
            <v>0.25</v>
          </cell>
          <cell r="AF785">
            <v>0.25</v>
          </cell>
          <cell r="AG785">
            <v>0.25</v>
          </cell>
          <cell r="AH785">
            <v>0.25</v>
          </cell>
          <cell r="AI785">
            <v>0.25</v>
          </cell>
          <cell r="AJ785">
            <v>0.25</v>
          </cell>
          <cell r="AK785">
            <v>0.25</v>
          </cell>
          <cell r="AL785">
            <v>0.25</v>
          </cell>
          <cell r="AM785">
            <v>0.25</v>
          </cell>
          <cell r="AN785">
            <v>0.25</v>
          </cell>
          <cell r="AO785">
            <v>0.25</v>
          </cell>
          <cell r="AP785">
            <v>0.25</v>
          </cell>
          <cell r="AQ785">
            <v>0.25</v>
          </cell>
          <cell r="AR785">
            <v>0.25</v>
          </cell>
          <cell r="AS785">
            <v>0.25</v>
          </cell>
          <cell r="AT785">
            <v>-0.04</v>
          </cell>
          <cell r="AU785">
            <v>0.92</v>
          </cell>
          <cell r="AV785">
            <v>20</v>
          </cell>
          <cell r="AZ785">
            <v>0.25</v>
          </cell>
          <cell r="BA785">
            <v>0.25</v>
          </cell>
        </row>
        <row r="786">
          <cell r="A786" t="str">
            <v>EMMEGI INFISSI DI BONADONNA PAMELA &amp; C.SNC</v>
          </cell>
          <cell r="B786" t="str">
            <v>RESP.COMM.LE SCHILLACI DAVIDE 346 3030271 davide.schillaci@i-deasolutions.com</v>
          </cell>
          <cell r="D786" t="str">
            <v>VIA DEI CIPRESSI, 10</v>
          </cell>
          <cell r="E786" t="str">
            <v>04011</v>
          </cell>
          <cell r="F786" t="str">
            <v>APRILIA</v>
          </cell>
          <cell r="G786" t="str">
            <v>LT</v>
          </cell>
          <cell r="H786" t="str">
            <v>ITALIA</v>
          </cell>
          <cell r="J786" t="str">
            <v>02773680596</v>
          </cell>
          <cell r="M786" t="str">
            <v>UFFICIO ACQUISTI</v>
          </cell>
          <cell r="N786" t="str">
            <v>06 9288647</v>
          </cell>
          <cell r="O786" t="str">
            <v>347 3363129 ROMAGNOLI MAURIZIO</v>
          </cell>
          <cell r="P786" t="str">
            <v>emmegiinfissi@tiscali.it</v>
          </cell>
          <cell r="R786" t="str">
            <v>BONIFICO BANCARIO, ALLA DATA DELLA NOSTRA CONFERMA D'ORDINE</v>
          </cell>
          <cell r="X786">
            <v>0.2</v>
          </cell>
          <cell r="Y786">
            <v>-0.04</v>
          </cell>
          <cell r="AB786">
            <v>0.2</v>
          </cell>
          <cell r="AC786">
            <v>0.2</v>
          </cell>
          <cell r="AD786">
            <v>0.2</v>
          </cell>
          <cell r="AE786">
            <v>0.2</v>
          </cell>
          <cell r="AF786">
            <v>0.2</v>
          </cell>
          <cell r="AG786">
            <v>0.2</v>
          </cell>
          <cell r="AH786">
            <v>0.2</v>
          </cell>
          <cell r="AI786">
            <v>0.2</v>
          </cell>
          <cell r="AJ786">
            <v>0.2</v>
          </cell>
          <cell r="AK786">
            <v>0.2</v>
          </cell>
          <cell r="AL786">
            <v>0.2</v>
          </cell>
          <cell r="AM786">
            <v>0.2</v>
          </cell>
          <cell r="AN786">
            <v>0.2</v>
          </cell>
          <cell r="AO786">
            <v>0.2</v>
          </cell>
          <cell r="AP786">
            <v>0.2</v>
          </cell>
          <cell r="AQ786">
            <v>0.2</v>
          </cell>
          <cell r="AR786">
            <v>0.2</v>
          </cell>
          <cell r="AS786">
            <v>0.2</v>
          </cell>
          <cell r="AT786">
            <v>-0.04</v>
          </cell>
          <cell r="AU786">
            <v>0.92</v>
          </cell>
          <cell r="AV786">
            <v>20</v>
          </cell>
          <cell r="AZ786">
            <v>0.2</v>
          </cell>
          <cell r="BA786">
            <v>0.2</v>
          </cell>
        </row>
        <row r="787">
          <cell r="A787" t="str">
            <v>EMMEGI SNC DI GIANNI MIAN</v>
          </cell>
          <cell r="D787" t="str">
            <v>RIVA SAN MARCO 5</v>
          </cell>
          <cell r="E787" t="str">
            <v>34073</v>
          </cell>
          <cell r="F787" t="str">
            <v>GRADO</v>
          </cell>
          <cell r="G787" t="str">
            <v>GO</v>
          </cell>
          <cell r="H787" t="str">
            <v>ITALIA</v>
          </cell>
          <cell r="J787" t="str">
            <v>00513450312</v>
          </cell>
          <cell r="M787" t="str">
            <v>UFFICIO ACQUISTI</v>
          </cell>
          <cell r="N787" t="str">
            <v>0431 82855</v>
          </cell>
          <cell r="P787" t="str">
            <v>gianni@emmegi-snc.it</v>
          </cell>
          <cell r="R787" t="str">
            <v>BONIFICO BANCARIO, ALLA DATA DELLA NOSTRA CONFERMA D'ORDINE</v>
          </cell>
          <cell r="X787">
            <v>0.25</v>
          </cell>
          <cell r="Y787">
            <v>-0.04</v>
          </cell>
          <cell r="AB787">
            <v>0.25</v>
          </cell>
          <cell r="AC787">
            <v>0.25</v>
          </cell>
          <cell r="AD787">
            <v>0.25</v>
          </cell>
          <cell r="AE787">
            <v>0.25</v>
          </cell>
          <cell r="AF787">
            <v>0.25</v>
          </cell>
          <cell r="AG787">
            <v>0.25</v>
          </cell>
          <cell r="AH787">
            <v>0.25</v>
          </cell>
          <cell r="AI787">
            <v>0.25</v>
          </cell>
          <cell r="AJ787">
            <v>0.25</v>
          </cell>
          <cell r="AK787">
            <v>0.25</v>
          </cell>
          <cell r="AL787">
            <v>0.25</v>
          </cell>
          <cell r="AM787">
            <v>0.25</v>
          </cell>
          <cell r="AN787">
            <v>0.25</v>
          </cell>
          <cell r="AO787">
            <v>0.25</v>
          </cell>
          <cell r="AP787">
            <v>0.25</v>
          </cell>
          <cell r="AQ787">
            <v>0.25</v>
          </cell>
          <cell r="AR787">
            <v>0.25</v>
          </cell>
          <cell r="AS787">
            <v>0.25</v>
          </cell>
          <cell r="AT787">
            <v>-0.04</v>
          </cell>
          <cell r="AU787">
            <v>0.9</v>
          </cell>
          <cell r="AV787">
            <v>20</v>
          </cell>
          <cell r="AY787" t="str">
            <v/>
          </cell>
          <cell r="AZ787">
            <v>0.25</v>
          </cell>
          <cell r="BA787">
            <v>0.25</v>
          </cell>
        </row>
        <row r="788">
          <cell r="A788" t="str">
            <v>EMMEPI TENDE</v>
          </cell>
          <cell r="D788" t="str">
            <v>VIA SAN RUFINO 71</v>
          </cell>
          <cell r="F788" t="str">
            <v>CHIAVARI</v>
          </cell>
          <cell r="G788" t="str">
            <v>GE</v>
          </cell>
          <cell r="H788" t="str">
            <v>ITALIA</v>
          </cell>
          <cell r="M788" t="str">
            <v>UFFICIO ACQUISTI</v>
          </cell>
          <cell r="O788" t="str">
            <v>347 9658183</v>
          </cell>
          <cell r="P788" t="str">
            <v>massimilianoperini77@yahoo.it</v>
          </cell>
          <cell r="R788" t="str">
            <v>BONIFICO BANCARIO, ALLA DATA DELLA NOSTRA CONFERMA D'ORDINE</v>
          </cell>
          <cell r="X788">
            <v>0.25</v>
          </cell>
          <cell r="Y788">
            <v>-0.04</v>
          </cell>
          <cell r="AB788">
            <v>0.25</v>
          </cell>
          <cell r="AC788">
            <v>0.25</v>
          </cell>
          <cell r="AD788">
            <v>0.25</v>
          </cell>
          <cell r="AE788">
            <v>0.25</v>
          </cell>
          <cell r="AF788">
            <v>0.25</v>
          </cell>
          <cell r="AG788">
            <v>0.25</v>
          </cell>
          <cell r="AH788">
            <v>0.25</v>
          </cell>
          <cell r="AI788">
            <v>0.25</v>
          </cell>
          <cell r="AJ788">
            <v>0.25</v>
          </cell>
          <cell r="AK788">
            <v>0.25</v>
          </cell>
          <cell r="AL788">
            <v>0.25</v>
          </cell>
          <cell r="AM788">
            <v>0.25</v>
          </cell>
          <cell r="AN788">
            <v>0.25</v>
          </cell>
          <cell r="AO788">
            <v>0.25</v>
          </cell>
          <cell r="AP788">
            <v>0.25</v>
          </cell>
          <cell r="AQ788">
            <v>0.25</v>
          </cell>
          <cell r="AR788">
            <v>0.25</v>
          </cell>
          <cell r="AS788">
            <v>0.25</v>
          </cell>
          <cell r="AT788">
            <v>-0.04</v>
          </cell>
          <cell r="AU788">
            <v>0.92</v>
          </cell>
          <cell r="AV788">
            <v>20</v>
          </cell>
          <cell r="AY788" t="str">
            <v/>
          </cell>
          <cell r="AZ788">
            <v>0.25</v>
          </cell>
          <cell r="BA788">
            <v>0.25</v>
          </cell>
        </row>
        <row r="789">
          <cell r="A789" t="str">
            <v>EMMEPLAST SRL</v>
          </cell>
          <cell r="B789" t="str">
            <v>ROBERTO VIA ROMA  CONOSCENZA PRODOTTI: BARRIERE - 30/03/23 DICONO CHE NON HA MAI LAVORATO LI NESSUN ROBERTO. NON SONO INTERESSATI</v>
          </cell>
          <cell r="D789" t="str">
            <v>VIA DELL'ARTIGIANO, 13/15</v>
          </cell>
          <cell r="E789" t="str">
            <v>64014</v>
          </cell>
          <cell r="F789" t="str">
            <v>MARTINSICURO</v>
          </cell>
          <cell r="G789" t="str">
            <v>TE</v>
          </cell>
          <cell r="H789" t="str">
            <v>ITALIA</v>
          </cell>
          <cell r="J789" t="str">
            <v>01464080678</v>
          </cell>
          <cell r="M789" t="str">
            <v>UFFICIO ACQUISTI</v>
          </cell>
          <cell r="N789" t="str">
            <v>0861 797808</v>
          </cell>
          <cell r="P789" t="str">
            <v>info@emmeplastsrl.it</v>
          </cell>
          <cell r="R789" t="str">
            <v>BONIFICO BANCARIO, ALLA DATA DELLA NOSTRA CONFERMA D'ORDINE</v>
          </cell>
          <cell r="X789">
            <v>0.2</v>
          </cell>
          <cell r="Y789">
            <v>-0.04</v>
          </cell>
          <cell r="AB789">
            <v>0.2</v>
          </cell>
          <cell r="AC789">
            <v>0.2</v>
          </cell>
          <cell r="AD789">
            <v>0.2</v>
          </cell>
          <cell r="AE789">
            <v>0.2</v>
          </cell>
          <cell r="AF789">
            <v>0.2</v>
          </cell>
          <cell r="AG789">
            <v>0.2</v>
          </cell>
          <cell r="AH789">
            <v>0.2</v>
          </cell>
          <cell r="AI789">
            <v>0.2</v>
          </cell>
          <cell r="AJ789">
            <v>0.2</v>
          </cell>
          <cell r="AK789">
            <v>0.2</v>
          </cell>
          <cell r="AL789">
            <v>0.2</v>
          </cell>
          <cell r="AM789">
            <v>0.2</v>
          </cell>
          <cell r="AN789">
            <v>0.2</v>
          </cell>
          <cell r="AO789">
            <v>0.2</v>
          </cell>
          <cell r="AP789">
            <v>0.2</v>
          </cell>
          <cell r="AQ789">
            <v>0.2</v>
          </cell>
          <cell r="AR789">
            <v>0.2</v>
          </cell>
          <cell r="AS789">
            <v>0.2</v>
          </cell>
          <cell r="AT789">
            <v>-0.04</v>
          </cell>
          <cell r="AU789">
            <v>0.92</v>
          </cell>
          <cell r="AV789">
            <v>20</v>
          </cell>
          <cell r="AZ789">
            <v>0.2</v>
          </cell>
          <cell r="BA789">
            <v>0.2</v>
          </cell>
        </row>
        <row r="790">
          <cell r="A790" t="str">
            <v>EMPORIO DEL COLORE DI LORENZETTI PAOLO</v>
          </cell>
          <cell r="D790" t="str">
            <v>VIA G. MARCONI, 4</v>
          </cell>
          <cell r="E790" t="str">
            <v>40059</v>
          </cell>
          <cell r="F790" t="str">
            <v>MEDICINA</v>
          </cell>
          <cell r="G790" t="str">
            <v>BO</v>
          </cell>
          <cell r="H790" t="str">
            <v>ITALIA</v>
          </cell>
          <cell r="J790" t="str">
            <v>00239861206</v>
          </cell>
          <cell r="K790" t="str">
            <v>QULXG4S</v>
          </cell>
          <cell r="M790" t="str">
            <v>UFFICIO ACQUISTI</v>
          </cell>
          <cell r="N790" t="str">
            <v>051 852488</v>
          </cell>
          <cell r="P790" t="str">
            <v>emporio-del-colore@libero.it</v>
          </cell>
          <cell r="R790" t="str">
            <v>BONIFICO BANCARIO, ALLA DATA DELLA NOSTRA CONFERMA D'ORDINE</v>
          </cell>
          <cell r="X790">
            <v>0.25</v>
          </cell>
          <cell r="Y790">
            <v>-0.04</v>
          </cell>
          <cell r="AB790">
            <v>0.25</v>
          </cell>
          <cell r="AC790">
            <v>0.25</v>
          </cell>
          <cell r="AD790">
            <v>0.25</v>
          </cell>
          <cell r="AE790">
            <v>0.25</v>
          </cell>
          <cell r="AF790">
            <v>0.25</v>
          </cell>
          <cell r="AG790">
            <v>0.25</v>
          </cell>
          <cell r="AH790">
            <v>0.25</v>
          </cell>
          <cell r="AI790">
            <v>0.25</v>
          </cell>
          <cell r="AJ790">
            <v>0.25</v>
          </cell>
          <cell r="AK790">
            <v>0.25</v>
          </cell>
          <cell r="AL790">
            <v>0.25</v>
          </cell>
          <cell r="AM790">
            <v>0.25</v>
          </cell>
          <cell r="AN790">
            <v>0.25</v>
          </cell>
          <cell r="AO790">
            <v>0.25</v>
          </cell>
          <cell r="AP790">
            <v>0.25</v>
          </cell>
          <cell r="AQ790">
            <v>0.25</v>
          </cell>
          <cell r="AR790">
            <v>0.25</v>
          </cell>
          <cell r="AS790">
            <v>0.25</v>
          </cell>
          <cell r="AT790">
            <v>-0.04</v>
          </cell>
          <cell r="AU790">
            <v>0.92</v>
          </cell>
          <cell r="AV790">
            <v>20</v>
          </cell>
          <cell r="AZ790">
            <v>0.25</v>
          </cell>
          <cell r="BA790">
            <v>0.25</v>
          </cell>
          <cell r="BF790" t="str">
            <v>CLICK RAPID con carpenteria 16/06/2021</v>
          </cell>
        </row>
        <row r="791">
          <cell r="A791" t="str">
            <v>EMPORIO FERRAMENTA EREDI MONTANARI SNC</v>
          </cell>
          <cell r="C791" t="str">
            <v xml:space="preserve">, </v>
          </cell>
          <cell r="D791" t="str">
            <v xml:space="preserve">VIA BROSETA, 93 </v>
          </cell>
          <cell r="E791" t="str">
            <v>24128</v>
          </cell>
          <cell r="F791" t="str">
            <v>BERGAMO</v>
          </cell>
          <cell r="G791" t="str">
            <v>BG</v>
          </cell>
          <cell r="H791" t="str">
            <v>ITALIA</v>
          </cell>
          <cell r="J791" t="str">
            <v>02074690161</v>
          </cell>
          <cell r="K791" t="str">
            <v>PG2QHVQ</v>
          </cell>
          <cell r="M791" t="str">
            <v>UFFICIO ACQUISTI</v>
          </cell>
          <cell r="N791" t="str">
            <v>035 250045</v>
          </cell>
          <cell r="P791" t="str">
            <v>montanari.gio@tiscali.it</v>
          </cell>
          <cell r="R791" t="str">
            <v>BONIFICO BANCARIO, ALLA DATA DELLA NOSTRA CONFERMA D'ORDINE</v>
          </cell>
          <cell r="X791">
            <v>0.2</v>
          </cell>
          <cell r="Y791">
            <v>-0.04</v>
          </cell>
          <cell r="AB791">
            <v>0.2</v>
          </cell>
          <cell r="AC791">
            <v>0.2</v>
          </cell>
          <cell r="AD791">
            <v>0.2</v>
          </cell>
          <cell r="AE791">
            <v>0.2</v>
          </cell>
          <cell r="AF791">
            <v>0.2</v>
          </cell>
          <cell r="AG791">
            <v>0.2</v>
          </cell>
          <cell r="AH791">
            <v>0.2</v>
          </cell>
          <cell r="AI791">
            <v>0.2</v>
          </cell>
          <cell r="AJ791">
            <v>0.2</v>
          </cell>
          <cell r="AK791">
            <v>0.2</v>
          </cell>
          <cell r="AL791">
            <v>0.2</v>
          </cell>
          <cell r="AM791">
            <v>0.2</v>
          </cell>
          <cell r="AN791">
            <v>0.2</v>
          </cell>
          <cell r="AO791">
            <v>0.2</v>
          </cell>
          <cell r="AP791">
            <v>0.2</v>
          </cell>
          <cell r="AQ791">
            <v>0.2</v>
          </cell>
          <cell r="AR791">
            <v>0.2</v>
          </cell>
          <cell r="AS791">
            <v>0.2</v>
          </cell>
          <cell r="AT791">
            <v>-0.04</v>
          </cell>
          <cell r="AU791">
            <v>0.92</v>
          </cell>
          <cell r="AV791">
            <v>20</v>
          </cell>
          <cell r="AZ791">
            <v>0.2</v>
          </cell>
          <cell r="BA791">
            <v>0.2</v>
          </cell>
        </row>
        <row r="792">
          <cell r="A792" t="str">
            <v>ENEA INFISSI</v>
          </cell>
          <cell r="D792" t="str">
            <v>VIA EMANUELE PALAZZOTTO, SNC</v>
          </cell>
          <cell r="F792" t="str">
            <v>PALERMO</v>
          </cell>
          <cell r="G792" t="str">
            <v>PA</v>
          </cell>
          <cell r="H792" t="str">
            <v>ITALIA</v>
          </cell>
          <cell r="M792" t="str">
            <v>UFFICIO ACQUISTI</v>
          </cell>
          <cell r="N792" t="str">
            <v>091 2732305</v>
          </cell>
          <cell r="O792" t="str">
            <v>328 9649235</v>
          </cell>
          <cell r="P792" t="str">
            <v>eneainfissi@gmail.com</v>
          </cell>
          <cell r="R792" t="str">
            <v>BONIFICO BANCARIO, ALLA DATA DELLA NOSTRA CONFERMA D'ORDINE</v>
          </cell>
          <cell r="X792">
            <v>0.25</v>
          </cell>
          <cell r="Y792">
            <v>-0.04</v>
          </cell>
          <cell r="AB792">
            <v>0.25</v>
          </cell>
          <cell r="AC792">
            <v>0.25</v>
          </cell>
          <cell r="AD792">
            <v>0.25</v>
          </cell>
          <cell r="AE792">
            <v>0.25</v>
          </cell>
          <cell r="AF792">
            <v>0.25</v>
          </cell>
          <cell r="AG792">
            <v>0.25</v>
          </cell>
          <cell r="AH792">
            <v>0.25</v>
          </cell>
          <cell r="AI792">
            <v>0.25</v>
          </cell>
          <cell r="AJ792">
            <v>0.25</v>
          </cell>
          <cell r="AK792">
            <v>0.25</v>
          </cell>
          <cell r="AL792">
            <v>0.25</v>
          </cell>
          <cell r="AM792">
            <v>0.25</v>
          </cell>
          <cell r="AN792">
            <v>0.25</v>
          </cell>
          <cell r="AO792">
            <v>0.25</v>
          </cell>
          <cell r="AP792">
            <v>0.25</v>
          </cell>
          <cell r="AQ792">
            <v>0.25</v>
          </cell>
          <cell r="AR792">
            <v>0.25</v>
          </cell>
          <cell r="AS792">
            <v>0.25</v>
          </cell>
          <cell r="AT792">
            <v>-0.04</v>
          </cell>
          <cell r="AU792">
            <v>0.92</v>
          </cell>
          <cell r="AV792">
            <v>20</v>
          </cell>
          <cell r="AY792" t="str">
            <v/>
          </cell>
          <cell r="AZ792">
            <v>0.25</v>
          </cell>
          <cell r="BA792">
            <v>0.25</v>
          </cell>
        </row>
        <row r="793">
          <cell r="A793" t="str">
            <v>ENGAZ ARTE DEL LEGNO</v>
          </cell>
          <cell r="D793" t="str">
            <v>FRAZ. CHAMPAGNE, 55</v>
          </cell>
          <cell r="E793">
            <v>11020</v>
          </cell>
          <cell r="F793" t="str">
            <v>VERRAYES</v>
          </cell>
          <cell r="G793" t="str">
            <v>AO</v>
          </cell>
          <cell r="H793" t="str">
            <v>ITALIA</v>
          </cell>
          <cell r="M793" t="str">
            <v>UFFICIO ACQUISTI</v>
          </cell>
          <cell r="N793" t="str">
            <v>0166 546802</v>
          </cell>
          <cell r="P793" t="str">
            <v>info@engaz.com</v>
          </cell>
          <cell r="R793" t="str">
            <v>BONIFICO BANCARIO, ALLA DATA DELLA NOSTRA CONFERMA D'ORDINE</v>
          </cell>
          <cell r="X793">
            <v>0.25</v>
          </cell>
          <cell r="Y793">
            <v>-0.04</v>
          </cell>
          <cell r="AB793">
            <v>0.25</v>
          </cell>
          <cell r="AC793">
            <v>0.25</v>
          </cell>
          <cell r="AD793">
            <v>0.25</v>
          </cell>
          <cell r="AE793">
            <v>0.25</v>
          </cell>
          <cell r="AF793">
            <v>0.25</v>
          </cell>
          <cell r="AG793">
            <v>0.25</v>
          </cell>
          <cell r="AH793">
            <v>0.25</v>
          </cell>
          <cell r="AI793">
            <v>0.25</v>
          </cell>
          <cell r="AJ793">
            <v>0.25</v>
          </cell>
          <cell r="AK793">
            <v>0.25</v>
          </cell>
          <cell r="AL793">
            <v>0.25</v>
          </cell>
          <cell r="AM793">
            <v>0.25</v>
          </cell>
          <cell r="AN793">
            <v>0.25</v>
          </cell>
          <cell r="AO793">
            <v>0.25</v>
          </cell>
          <cell r="AP793">
            <v>0.25</v>
          </cell>
          <cell r="AQ793">
            <v>0.25</v>
          </cell>
          <cell r="AR793">
            <v>0.25</v>
          </cell>
          <cell r="AS793">
            <v>0.25</v>
          </cell>
          <cell r="AT793">
            <v>-0.04</v>
          </cell>
          <cell r="AU793">
            <v>0.92</v>
          </cell>
          <cell r="AV793">
            <v>20</v>
          </cell>
          <cell r="AZ793">
            <v>0.25</v>
          </cell>
          <cell r="BA793">
            <v>0.25</v>
          </cell>
        </row>
        <row r="794">
          <cell r="A794" t="str">
            <v>ENI.GE SRL</v>
          </cell>
          <cell r="D794" t="str">
            <v>VIA DON GIOVANNI VERITA', 8R</v>
          </cell>
          <cell r="E794">
            <v>16158</v>
          </cell>
          <cell r="F794" t="str">
            <v>VOLTRI</v>
          </cell>
          <cell r="G794" t="str">
            <v>GE</v>
          </cell>
          <cell r="H794" t="str">
            <v>ITALIA</v>
          </cell>
          <cell r="J794" t="str">
            <v>02496690997</v>
          </cell>
          <cell r="K794" t="str">
            <v>KRRH6B9</v>
          </cell>
          <cell r="M794" t="str">
            <v>UFFICIO ACQUISTI</v>
          </cell>
          <cell r="N794" t="str">
            <v>010 0996070</v>
          </cell>
          <cell r="P794" t="str">
            <v>giuseppe.mazzamati@gmail.com</v>
          </cell>
          <cell r="R794" t="str">
            <v>BONIFICO BANCARIO, ALLA DATA DELLA NOSTRA CONFERMA D'ORDINE</v>
          </cell>
          <cell r="X794">
            <v>0.25</v>
          </cell>
          <cell r="Y794">
            <v>-0.04</v>
          </cell>
          <cell r="AB794">
            <v>0.25</v>
          </cell>
          <cell r="AC794">
            <v>0.25</v>
          </cell>
          <cell r="AD794">
            <v>0.25</v>
          </cell>
          <cell r="AE794">
            <v>0.25</v>
          </cell>
          <cell r="AF794">
            <v>0.25</v>
          </cell>
          <cell r="AG794">
            <v>0.25</v>
          </cell>
          <cell r="AH794">
            <v>0.25</v>
          </cell>
          <cell r="AI794">
            <v>0.25</v>
          </cell>
          <cell r="AJ794">
            <v>0.25</v>
          </cell>
          <cell r="AK794">
            <v>0.25</v>
          </cell>
          <cell r="AL794">
            <v>0.25</v>
          </cell>
          <cell r="AM794">
            <v>0.25</v>
          </cell>
          <cell r="AN794">
            <v>0.25</v>
          </cell>
          <cell r="AO794">
            <v>0.25</v>
          </cell>
          <cell r="AP794">
            <v>0.25</v>
          </cell>
          <cell r="AQ794">
            <v>0.25</v>
          </cell>
          <cell r="AR794">
            <v>0.25</v>
          </cell>
          <cell r="AS794">
            <v>0.25</v>
          </cell>
          <cell r="AT794">
            <v>-0.04</v>
          </cell>
          <cell r="AU794">
            <v>0.92</v>
          </cell>
          <cell r="AV794">
            <v>20</v>
          </cell>
          <cell r="AY794" t="str">
            <v/>
          </cell>
          <cell r="AZ794">
            <v>0.25</v>
          </cell>
          <cell r="BA794">
            <v>0.25</v>
          </cell>
        </row>
        <row r="795">
          <cell r="A795" t="str">
            <v>ENNETRE FENESTER</v>
          </cell>
          <cell r="D795" t="str">
            <v>C.SO LARGO NAZARIO SAURO, 18</v>
          </cell>
          <cell r="E795">
            <v>38121</v>
          </cell>
          <cell r="F795" t="str">
            <v>TRENTO</v>
          </cell>
          <cell r="G795" t="str">
            <v>TN</v>
          </cell>
          <cell r="H795" t="str">
            <v>ITALIA</v>
          </cell>
          <cell r="M795" t="str">
            <v>UFFICIO ACQUISTI</v>
          </cell>
          <cell r="N795" t="str">
            <v>0461 984585</v>
          </cell>
          <cell r="P795" t="str">
            <v>info@ennetrefenester.com</v>
          </cell>
          <cell r="R795" t="str">
            <v>BONIFICO BANCARIO, ALLA DATA DELLA NOSTRA CONFERMA D'ORDINE</v>
          </cell>
          <cell r="X795">
            <v>0.25</v>
          </cell>
          <cell r="Y795">
            <v>-0.04</v>
          </cell>
          <cell r="AB795">
            <v>0.25</v>
          </cell>
          <cell r="AC795">
            <v>0.25</v>
          </cell>
          <cell r="AD795">
            <v>0.25</v>
          </cell>
          <cell r="AE795">
            <v>0.25</v>
          </cell>
          <cell r="AF795">
            <v>0.25</v>
          </cell>
          <cell r="AG795">
            <v>0.25</v>
          </cell>
          <cell r="AH795">
            <v>0.25</v>
          </cell>
          <cell r="AI795">
            <v>0.25</v>
          </cell>
          <cell r="AJ795">
            <v>0.25</v>
          </cell>
          <cell r="AK795">
            <v>0.25</v>
          </cell>
          <cell r="AL795">
            <v>0.25</v>
          </cell>
          <cell r="AM795">
            <v>0.25</v>
          </cell>
          <cell r="AN795">
            <v>0.25</v>
          </cell>
          <cell r="AO795">
            <v>0.25</v>
          </cell>
          <cell r="AP795">
            <v>0.25</v>
          </cell>
          <cell r="AQ795">
            <v>0.25</v>
          </cell>
          <cell r="AR795">
            <v>0.25</v>
          </cell>
          <cell r="AS795">
            <v>0.25</v>
          </cell>
          <cell r="AT795">
            <v>-0.04</v>
          </cell>
          <cell r="AU795">
            <v>0.92</v>
          </cell>
          <cell r="AV795">
            <v>20</v>
          </cell>
          <cell r="AY795" t="str">
            <v/>
          </cell>
          <cell r="AZ795">
            <v>0.25</v>
          </cell>
          <cell r="BA795">
            <v>0.25</v>
          </cell>
        </row>
        <row r="796">
          <cell r="A796" t="str">
            <v>ERCO VARESE</v>
          </cell>
          <cell r="D796" t="str">
            <v>VIA DANDOLO ANG.VIA CAVOUR</v>
          </cell>
          <cell r="E796">
            <v>21100</v>
          </cell>
          <cell r="F796" t="str">
            <v>VARESE</v>
          </cell>
          <cell r="G796" t="str">
            <v>VA</v>
          </cell>
          <cell r="H796" t="str">
            <v>ITALIA</v>
          </cell>
          <cell r="M796" t="str">
            <v>UFFICIO ACQUISTI</v>
          </cell>
          <cell r="N796" t="str">
            <v>033 2283440</v>
          </cell>
          <cell r="P796" t="str">
            <v>varese@ercofinestre.it</v>
          </cell>
          <cell r="R796" t="str">
            <v>BONIFICO BANCARIO, ALLA DATA DELLA NOSTRA CONFERMA D'ORDINE</v>
          </cell>
          <cell r="X796">
            <v>0.25</v>
          </cell>
          <cell r="Y796">
            <v>-0.04</v>
          </cell>
          <cell r="AB796">
            <v>0.25</v>
          </cell>
          <cell r="AC796">
            <v>0.25</v>
          </cell>
          <cell r="AD796">
            <v>0.25</v>
          </cell>
          <cell r="AE796">
            <v>0.25</v>
          </cell>
          <cell r="AF796">
            <v>0.25</v>
          </cell>
          <cell r="AG796">
            <v>0.25</v>
          </cell>
          <cell r="AH796">
            <v>0.25</v>
          </cell>
          <cell r="AI796">
            <v>0.25</v>
          </cell>
          <cell r="AJ796">
            <v>0.25</v>
          </cell>
          <cell r="AK796">
            <v>0.25</v>
          </cell>
          <cell r="AL796">
            <v>0.25</v>
          </cell>
          <cell r="AM796">
            <v>0.25</v>
          </cell>
          <cell r="AN796">
            <v>0.25</v>
          </cell>
          <cell r="AO796">
            <v>0.25</v>
          </cell>
          <cell r="AP796">
            <v>0.25</v>
          </cell>
          <cell r="AQ796">
            <v>0.25</v>
          </cell>
          <cell r="AR796">
            <v>0.25</v>
          </cell>
          <cell r="AS796">
            <v>0.25</v>
          </cell>
          <cell r="AT796">
            <v>-0.04</v>
          </cell>
          <cell r="AU796">
            <v>0.92</v>
          </cell>
          <cell r="AV796">
            <v>20</v>
          </cell>
          <cell r="AY796" t="str">
            <v/>
          </cell>
          <cell r="AZ796">
            <v>0.25</v>
          </cell>
          <cell r="BA796">
            <v>0.25</v>
          </cell>
        </row>
        <row r="797">
          <cell r="A797" t="str">
            <v>ERCOLE SRL</v>
          </cell>
          <cell r="D797" t="str">
            <v>VIALE DEL LAVORO, 19 A</v>
          </cell>
          <cell r="E797">
            <v>37036</v>
          </cell>
          <cell r="F797" t="str">
            <v>S.MARTINO B.A.</v>
          </cell>
          <cell r="G797" t="str">
            <v>VR</v>
          </cell>
          <cell r="H797" t="str">
            <v>ITALIA</v>
          </cell>
          <cell r="J797" t="str">
            <v>03051520231</v>
          </cell>
          <cell r="M797" t="str">
            <v>UFFICIO ACQUISTI</v>
          </cell>
          <cell r="N797" t="str">
            <v>045 8781070</v>
          </cell>
          <cell r="P797" t="str">
            <v>info@ercolesicurezza.com</v>
          </cell>
          <cell r="R797" t="str">
            <v>BONIFICO BANCARIO, ALLA DATA DELLA NOSTRA CONFERMA D'ORDINE</v>
          </cell>
          <cell r="X797">
            <v>0.25</v>
          </cell>
          <cell r="Y797">
            <v>-0.04</v>
          </cell>
          <cell r="AB797">
            <v>0.25</v>
          </cell>
          <cell r="AC797">
            <v>0.25</v>
          </cell>
          <cell r="AD797">
            <v>0.25</v>
          </cell>
          <cell r="AE797">
            <v>0.25</v>
          </cell>
          <cell r="AF797">
            <v>0.25</v>
          </cell>
          <cell r="AG797">
            <v>0.25</v>
          </cell>
          <cell r="AH797">
            <v>0.25</v>
          </cell>
          <cell r="AI797">
            <v>0.25</v>
          </cell>
          <cell r="AJ797">
            <v>0.25</v>
          </cell>
          <cell r="AK797">
            <v>0.25</v>
          </cell>
          <cell r="AL797">
            <v>0.25</v>
          </cell>
          <cell r="AM797">
            <v>0.25</v>
          </cell>
          <cell r="AN797">
            <v>0.25</v>
          </cell>
          <cell r="AO797">
            <v>0.25</v>
          </cell>
          <cell r="AP797">
            <v>0.25</v>
          </cell>
          <cell r="AQ797">
            <v>0.25</v>
          </cell>
          <cell r="AR797">
            <v>0.25</v>
          </cell>
          <cell r="AS797">
            <v>0.25</v>
          </cell>
          <cell r="AT797">
            <v>-0.04</v>
          </cell>
          <cell r="AU797">
            <v>0.92</v>
          </cell>
          <cell r="AV797">
            <v>20</v>
          </cell>
          <cell r="AY797" t="str">
            <v/>
          </cell>
          <cell r="AZ797">
            <v>0.25</v>
          </cell>
          <cell r="BA797">
            <v>0.25</v>
          </cell>
        </row>
        <row r="798">
          <cell r="A798" t="str">
            <v>EREDI BAIRE FELICE SNC</v>
          </cell>
          <cell r="B798" t="str">
            <v>SOLO BIGLIETTO DA VISITA</v>
          </cell>
          <cell r="D798" t="str">
            <v>VIA A.DIAZ, 144</v>
          </cell>
          <cell r="E798" t="str">
            <v>09012</v>
          </cell>
          <cell r="F798" t="str">
            <v>CAPOTERRA</v>
          </cell>
          <cell r="G798" t="str">
            <v>CA</v>
          </cell>
          <cell r="H798" t="str">
            <v>ITALIA</v>
          </cell>
          <cell r="J798" t="str">
            <v>03719110920</v>
          </cell>
          <cell r="M798" t="str">
            <v>UFFICIO ACQUISTI</v>
          </cell>
          <cell r="N798" t="str">
            <v>070 720243</v>
          </cell>
          <cell r="P798" t="str">
            <v>felicebaire@gmail.com</v>
          </cell>
          <cell r="R798" t="str">
            <v>BONIFICO BANCARIO, ALLA DATA DELLA NOSTRA CONFERMA D'ORDINE</v>
          </cell>
          <cell r="X798">
            <v>0.25</v>
          </cell>
          <cell r="Y798">
            <v>-0.04</v>
          </cell>
          <cell r="AB798">
            <v>0.25</v>
          </cell>
          <cell r="AC798">
            <v>0.25</v>
          </cell>
          <cell r="AD798">
            <v>0.25</v>
          </cell>
          <cell r="AE798">
            <v>0.25</v>
          </cell>
          <cell r="AF798">
            <v>0.25</v>
          </cell>
          <cell r="AG798">
            <v>0.25</v>
          </cell>
          <cell r="AH798">
            <v>0.25</v>
          </cell>
          <cell r="AI798">
            <v>0.25</v>
          </cell>
          <cell r="AJ798">
            <v>0.25</v>
          </cell>
          <cell r="AK798">
            <v>0.25</v>
          </cell>
          <cell r="AL798">
            <v>0.25</v>
          </cell>
          <cell r="AM798">
            <v>0.25</v>
          </cell>
          <cell r="AN798">
            <v>0.25</v>
          </cell>
          <cell r="AO798">
            <v>0.25</v>
          </cell>
          <cell r="AP798">
            <v>0.25</v>
          </cell>
          <cell r="AQ798">
            <v>0.25</v>
          </cell>
          <cell r="AR798">
            <v>0.25</v>
          </cell>
          <cell r="AS798">
            <v>0.25</v>
          </cell>
          <cell r="AT798">
            <v>-0.04</v>
          </cell>
          <cell r="AU798">
            <v>0.92</v>
          </cell>
          <cell r="AV798">
            <v>20</v>
          </cell>
          <cell r="AZ798">
            <v>0.25</v>
          </cell>
          <cell r="BA798">
            <v>0.25</v>
          </cell>
        </row>
        <row r="799">
          <cell r="A799" t="str">
            <v>EREDI DI CERNECCA CARLO TECNOFERRAMENTA</v>
          </cell>
          <cell r="D799" t="str">
            <v>VIA FLAVIA, 7</v>
          </cell>
          <cell r="E799" t="str">
            <v>34148</v>
          </cell>
          <cell r="F799" t="str">
            <v>TRIESTE</v>
          </cell>
          <cell r="G799" t="str">
            <v>TS</v>
          </cell>
          <cell r="H799" t="str">
            <v>ITALIA</v>
          </cell>
          <cell r="J799" t="str">
            <v>01353150327</v>
          </cell>
          <cell r="K799" t="str">
            <v>WP7SE2Q</v>
          </cell>
          <cell r="M799" t="str">
            <v>UFFICIO ACQUISTI</v>
          </cell>
          <cell r="N799" t="str">
            <v>040 811294</v>
          </cell>
          <cell r="P799" t="str">
            <v>info@cipiesse.com</v>
          </cell>
          <cell r="R799" t="str">
            <v>BONIFICO BANCARIO, ALLA DATA DELLA NOSTRA CONFERMA D'ORDINE</v>
          </cell>
          <cell r="X799">
            <v>0.2</v>
          </cell>
          <cell r="Y799">
            <v>-0.04</v>
          </cell>
          <cell r="AB799">
            <v>0.2</v>
          </cell>
          <cell r="AC799">
            <v>0.2</v>
          </cell>
          <cell r="AD799">
            <v>0.2</v>
          </cell>
          <cell r="AE799">
            <v>0.2</v>
          </cell>
          <cell r="AF799">
            <v>0.2</v>
          </cell>
          <cell r="AG799">
            <v>0.2</v>
          </cell>
          <cell r="AH799">
            <v>0.2</v>
          </cell>
          <cell r="AI799">
            <v>0.2</v>
          </cell>
          <cell r="AJ799">
            <v>0.2</v>
          </cell>
          <cell r="AK799">
            <v>0.2</v>
          </cell>
          <cell r="AL799">
            <v>0.2</v>
          </cell>
          <cell r="AM799">
            <v>0.2</v>
          </cell>
          <cell r="AN799">
            <v>0.2</v>
          </cell>
          <cell r="AO799">
            <v>0.2</v>
          </cell>
          <cell r="AP799">
            <v>0.2</v>
          </cell>
          <cell r="AQ799">
            <v>0.2</v>
          </cell>
          <cell r="AR799">
            <v>0.2</v>
          </cell>
          <cell r="AS799">
            <v>0.2</v>
          </cell>
          <cell r="AT799">
            <v>-0.04</v>
          </cell>
          <cell r="AU799">
            <v>0.9</v>
          </cell>
          <cell r="AV799">
            <v>20</v>
          </cell>
        </row>
        <row r="800">
          <cell r="A800" t="str">
            <v>EREDI RONDI CAV. CESARE SNC</v>
          </cell>
          <cell r="D800" t="str">
            <v>VIA PRATO, 19</v>
          </cell>
          <cell r="E800" t="str">
            <v>25036</v>
          </cell>
          <cell r="F800" t="str">
            <v>PALAZZOLO SULL'OGLIO</v>
          </cell>
          <cell r="G800" t="str">
            <v>BS</v>
          </cell>
          <cell r="H800" t="str">
            <v>ITALIA</v>
          </cell>
          <cell r="J800" t="str">
            <v>00674880984</v>
          </cell>
          <cell r="M800" t="str">
            <v>UFFICIO ACQUISTI</v>
          </cell>
          <cell r="N800" t="str">
            <v>030 731090</v>
          </cell>
          <cell r="P800" t="str">
            <v>eredirondi@libero.it</v>
          </cell>
          <cell r="R800" t="str">
            <v>BONIFICO BANCARIO, ALLA DATA DELLA NOSTRA CONFERMA D'ORDINE</v>
          </cell>
          <cell r="Y800">
            <v>-0.04</v>
          </cell>
          <cell r="AT800">
            <v>-0.04</v>
          </cell>
          <cell r="AV800">
            <v>20</v>
          </cell>
          <cell r="AZ800">
            <v>0</v>
          </cell>
          <cell r="BA800">
            <v>0</v>
          </cell>
        </row>
        <row r="801">
          <cell r="A801" t="str">
            <v>ERG SERRAMENTI</v>
          </cell>
          <cell r="D801" t="str">
            <v>VIA LAZAZZERA 23</v>
          </cell>
          <cell r="E801" t="str">
            <v>75100</v>
          </cell>
          <cell r="F801" t="str">
            <v xml:space="preserve">MATERA </v>
          </cell>
          <cell r="G801" t="str">
            <v>MT</v>
          </cell>
          <cell r="H801" t="str">
            <v>ITALIA</v>
          </cell>
          <cell r="J801" t="str">
            <v>01252170772</v>
          </cell>
          <cell r="M801" t="str">
            <v>UFFICIO ACQUISTI</v>
          </cell>
          <cell r="N801" t="str">
            <v>0835 263805</v>
          </cell>
          <cell r="O801" t="str">
            <v>327 2245884</v>
          </cell>
          <cell r="P801" t="str">
            <v>ergserramenti@libero.it - ergserramenti@gmail.com</v>
          </cell>
          <cell r="R801" t="str">
            <v>BONIFICO BANCARIO, ALLA DATA DELLA NOSTRA CONFERMA D'ORDINE</v>
          </cell>
          <cell r="X801">
            <v>0.25</v>
          </cell>
          <cell r="Y801">
            <v>-0.04</v>
          </cell>
          <cell r="AB801">
            <v>0.25</v>
          </cell>
          <cell r="AC801">
            <v>0.25</v>
          </cell>
          <cell r="AD801">
            <v>0.25</v>
          </cell>
          <cell r="AE801">
            <v>0.25</v>
          </cell>
          <cell r="AF801">
            <v>0.25</v>
          </cell>
          <cell r="AG801">
            <v>0.25</v>
          </cell>
          <cell r="AH801">
            <v>0.25</v>
          </cell>
          <cell r="AI801">
            <v>0.25</v>
          </cell>
          <cell r="AJ801">
            <v>0.25</v>
          </cell>
          <cell r="AK801">
            <v>0.25</v>
          </cell>
          <cell r="AL801">
            <v>0.25</v>
          </cell>
          <cell r="AM801">
            <v>0.25</v>
          </cell>
          <cell r="AN801">
            <v>0.25</v>
          </cell>
          <cell r="AO801">
            <v>0.25</v>
          </cell>
          <cell r="AP801">
            <v>0.25</v>
          </cell>
          <cell r="AQ801">
            <v>0.25</v>
          </cell>
          <cell r="AR801">
            <v>0.25</v>
          </cell>
          <cell r="AS801">
            <v>0.25</v>
          </cell>
          <cell r="AT801">
            <v>-0.04</v>
          </cell>
          <cell r="AU801">
            <v>0.92</v>
          </cell>
          <cell r="AV801">
            <v>20</v>
          </cell>
          <cell r="AZ801">
            <v>0.25</v>
          </cell>
          <cell r="BA801">
            <v>0.25</v>
          </cell>
        </row>
        <row r="802">
          <cell r="A802" t="str">
            <v>ERMADOORS SNC</v>
          </cell>
          <cell r="D802" t="str">
            <v>VIA VENEZIA, 15</v>
          </cell>
          <cell r="E802" t="str">
            <v>33052</v>
          </cell>
          <cell r="F802" t="str">
            <v>CERVIGNANO DEL FRIULI</v>
          </cell>
          <cell r="G802" t="str">
            <v>UD</v>
          </cell>
          <cell r="H802" t="str">
            <v>ITALIA</v>
          </cell>
          <cell r="J802" t="str">
            <v>02812730308</v>
          </cell>
          <cell r="M802" t="str">
            <v>UFFICIO ACQUISTI</v>
          </cell>
          <cell r="N802" t="str">
            <v>329 2499486</v>
          </cell>
          <cell r="O802" t="str">
            <v>328 6429203</v>
          </cell>
          <cell r="P802" t="str">
            <v>ermadoors@yahoo.com</v>
          </cell>
          <cell r="R802" t="str">
            <v>BONIFICO BANCARIO, ALLA DATA DELLA NOSTRA CONFERMA D'ORDINE</v>
          </cell>
          <cell r="X802">
            <v>0.25</v>
          </cell>
          <cell r="Y802">
            <v>-0.04</v>
          </cell>
          <cell r="AB802">
            <v>0.25</v>
          </cell>
          <cell r="AC802">
            <v>0.25</v>
          </cell>
          <cell r="AD802">
            <v>0.25</v>
          </cell>
          <cell r="AE802">
            <v>0.25</v>
          </cell>
          <cell r="AF802">
            <v>0.25</v>
          </cell>
          <cell r="AG802">
            <v>0.25</v>
          </cell>
          <cell r="AH802">
            <v>0.25</v>
          </cell>
          <cell r="AI802">
            <v>0.25</v>
          </cell>
          <cell r="AJ802">
            <v>0.25</v>
          </cell>
          <cell r="AK802">
            <v>0.25</v>
          </cell>
          <cell r="AL802">
            <v>0.25</v>
          </cell>
          <cell r="AM802">
            <v>0.25</v>
          </cell>
          <cell r="AN802">
            <v>0.25</v>
          </cell>
          <cell r="AO802">
            <v>0.25</v>
          </cell>
          <cell r="AP802">
            <v>0.25</v>
          </cell>
          <cell r="AQ802">
            <v>0.25</v>
          </cell>
          <cell r="AR802">
            <v>0.25</v>
          </cell>
          <cell r="AS802">
            <v>0.25</v>
          </cell>
          <cell r="AT802">
            <v>-0.04</v>
          </cell>
          <cell r="AU802">
            <v>0.92</v>
          </cell>
          <cell r="AV802">
            <v>20</v>
          </cell>
          <cell r="AY802" t="str">
            <v/>
          </cell>
          <cell r="AZ802">
            <v>0.25</v>
          </cell>
          <cell r="BA802">
            <v>0.25</v>
          </cell>
        </row>
        <row r="803">
          <cell r="A803" t="str">
            <v>ERMETICA</v>
          </cell>
          <cell r="D803" t="str">
            <v xml:space="preserve">VIA MOLISE, 11 A B </v>
          </cell>
          <cell r="E803">
            <v>88100</v>
          </cell>
          <cell r="F803" t="str">
            <v>S.MARIA DI CATANZARO</v>
          </cell>
          <cell r="G803" t="str">
            <v>CZ</v>
          </cell>
          <cell r="H803" t="str">
            <v>ITALIA</v>
          </cell>
          <cell r="J803" t="str">
            <v>02141510798</v>
          </cell>
          <cell r="M803" t="str">
            <v>UFFICIO ACQUISTI</v>
          </cell>
          <cell r="N803" t="str">
            <v>0961 62398</v>
          </cell>
          <cell r="O803" t="str">
            <v>335 5220681</v>
          </cell>
          <cell r="R803" t="str">
            <v>BONIFICO BANCARIO, ALLA DATA DELLA NOSTRA CONFERMA D'ORDINE</v>
          </cell>
          <cell r="X803">
            <v>0.25</v>
          </cell>
          <cell r="Y803">
            <v>-0.04</v>
          </cell>
          <cell r="AB803">
            <v>0.25</v>
          </cell>
          <cell r="AC803">
            <v>0.25</v>
          </cell>
          <cell r="AD803">
            <v>0.25</v>
          </cell>
          <cell r="AE803">
            <v>0.25</v>
          </cell>
          <cell r="AF803">
            <v>0.25</v>
          </cell>
          <cell r="AG803">
            <v>0.25</v>
          </cell>
          <cell r="AH803">
            <v>0.25</v>
          </cell>
          <cell r="AI803">
            <v>0.25</v>
          </cell>
          <cell r="AJ803">
            <v>0.25</v>
          </cell>
          <cell r="AK803">
            <v>0.25</v>
          </cell>
          <cell r="AL803">
            <v>0.25</v>
          </cell>
          <cell r="AM803">
            <v>0.25</v>
          </cell>
          <cell r="AN803">
            <v>0.25</v>
          </cell>
          <cell r="AO803">
            <v>0.25</v>
          </cell>
          <cell r="AP803">
            <v>0.25</v>
          </cell>
          <cell r="AQ803">
            <v>0.25</v>
          </cell>
          <cell r="AR803">
            <v>0.25</v>
          </cell>
          <cell r="AS803">
            <v>0.25</v>
          </cell>
          <cell r="AT803">
            <v>-0.04</v>
          </cell>
          <cell r="AU803">
            <v>0.92</v>
          </cell>
          <cell r="AV803">
            <v>20</v>
          </cell>
          <cell r="AW803" t="str">
            <v>PIETRO OLIVADOTI</v>
          </cell>
          <cell r="AX803">
            <v>0.95</v>
          </cell>
          <cell r="AY803" t="str">
            <v/>
          </cell>
          <cell r="AZ803">
            <v>0.25</v>
          </cell>
          <cell r="BA803">
            <v>0.25</v>
          </cell>
        </row>
        <row r="804">
          <cell r="A804" t="str">
            <v>ERRE DI SERRAMENTI</v>
          </cell>
          <cell r="D804" t="str">
            <v>VIA PER POSSACCIO, 48</v>
          </cell>
          <cell r="E804">
            <v>28923</v>
          </cell>
          <cell r="F804" t="str">
            <v>VERBANIA</v>
          </cell>
          <cell r="G804" t="str">
            <v>VB</v>
          </cell>
          <cell r="H804" t="str">
            <v>ITALIA</v>
          </cell>
          <cell r="M804" t="str">
            <v>UFFICIO ACQUISTI</v>
          </cell>
          <cell r="N804" t="str">
            <v>0323 405622</v>
          </cell>
          <cell r="O804" t="str">
            <v>Claudio 347 6159741</v>
          </cell>
          <cell r="P804" t="str">
            <v>info@errediserramenti.it</v>
          </cell>
          <cell r="R804" t="str">
            <v>BONIFICO BANCARIO, ALLA DATA DELLA NOSTRA CONFERMA D'ORDINE</v>
          </cell>
          <cell r="X804">
            <v>0.25</v>
          </cell>
          <cell r="Y804">
            <v>-0.04</v>
          </cell>
          <cell r="AB804">
            <v>0.25</v>
          </cell>
          <cell r="AC804">
            <v>0.25</v>
          </cell>
          <cell r="AD804">
            <v>0.25</v>
          </cell>
          <cell r="AE804">
            <v>0.25</v>
          </cell>
          <cell r="AF804">
            <v>0.25</v>
          </cell>
          <cell r="AG804">
            <v>0.25</v>
          </cell>
          <cell r="AH804">
            <v>0.25</v>
          </cell>
          <cell r="AI804">
            <v>0.25</v>
          </cell>
          <cell r="AJ804">
            <v>0.25</v>
          </cell>
          <cell r="AK804">
            <v>0.25</v>
          </cell>
          <cell r="AL804">
            <v>0.25</v>
          </cell>
          <cell r="AM804">
            <v>0.25</v>
          </cell>
          <cell r="AN804">
            <v>0.25</v>
          </cell>
          <cell r="AO804">
            <v>0.25</v>
          </cell>
          <cell r="AP804">
            <v>0.25</v>
          </cell>
          <cell r="AQ804">
            <v>0.25</v>
          </cell>
          <cell r="AR804">
            <v>0.25</v>
          </cell>
          <cell r="AS804">
            <v>0.25</v>
          </cell>
          <cell r="AT804">
            <v>-0.04</v>
          </cell>
          <cell r="AU804">
            <v>0.92</v>
          </cell>
          <cell r="AV804">
            <v>20</v>
          </cell>
          <cell r="AZ804">
            <v>0.25</v>
          </cell>
          <cell r="BA804">
            <v>0.25</v>
          </cell>
        </row>
        <row r="805">
          <cell r="A805" t="str">
            <v>ERREBI SERRAMENTI DI BERTOLI R S &amp; C SAS</v>
          </cell>
          <cell r="B805" t="str">
            <v>RIVENDITORE ACQUASTOP 05/12 RESPOSANBILE UFFICIO ACQUISTI NON DISPONIBILE. CHIAMARE NEL POME 14/12 VENDONO ACQUASTOP MA ROBERTA UFFICIO ACQUISTI CURIOSA. MANDO MAIL E POI CI RISENTIAMO. AGGIORNAME MAIL FILE</v>
          </cell>
          <cell r="D805" t="str">
            <v>VIA AURELIA 338</v>
          </cell>
          <cell r="E805" t="str">
            <v>57016</v>
          </cell>
          <cell r="F805" t="str">
            <v>ROSIGNANO SOLVAY</v>
          </cell>
          <cell r="G805" t="str">
            <v>LI</v>
          </cell>
          <cell r="H805" t="str">
            <v>ITALIA</v>
          </cell>
          <cell r="J805" t="str">
            <v>01525840490</v>
          </cell>
          <cell r="M805" t="str">
            <v>UFFICIO ACQUISTI</v>
          </cell>
          <cell r="N805" t="str">
            <v>0586 792242</v>
          </cell>
          <cell r="O805" t="str">
            <v>335852157</v>
          </cell>
          <cell r="P805" t="str">
            <v>info@bertoliserramenti.it</v>
          </cell>
          <cell r="R805" t="str">
            <v>BONIFICO BANCARIO, ALLA DATA DELLA NOSTRA CONFERMA D'ORDINE</v>
          </cell>
          <cell r="X805">
            <v>0.25</v>
          </cell>
          <cell r="Y805">
            <v>-0.04</v>
          </cell>
          <cell r="AB805">
            <v>0.25</v>
          </cell>
          <cell r="AC805">
            <v>0.25</v>
          </cell>
          <cell r="AD805">
            <v>0.25</v>
          </cell>
          <cell r="AE805">
            <v>0.25</v>
          </cell>
          <cell r="AF805">
            <v>0.25</v>
          </cell>
          <cell r="AG805">
            <v>0.25</v>
          </cell>
          <cell r="AH805">
            <v>0.25</v>
          </cell>
          <cell r="AI805">
            <v>0.25</v>
          </cell>
          <cell r="AJ805">
            <v>0.25</v>
          </cell>
          <cell r="AK805">
            <v>0.25</v>
          </cell>
          <cell r="AL805">
            <v>0.25</v>
          </cell>
          <cell r="AM805">
            <v>0.25</v>
          </cell>
          <cell r="AN805">
            <v>0.25</v>
          </cell>
          <cell r="AO805">
            <v>0.25</v>
          </cell>
          <cell r="AP805">
            <v>0.25</v>
          </cell>
          <cell r="AQ805">
            <v>0.25</v>
          </cell>
          <cell r="AR805">
            <v>0.25</v>
          </cell>
          <cell r="AS805">
            <v>0.25</v>
          </cell>
          <cell r="AT805">
            <v>-0.04</v>
          </cell>
          <cell r="AU805">
            <v>0.92</v>
          </cell>
          <cell r="AV805">
            <v>20</v>
          </cell>
          <cell r="AY805" t="str">
            <v/>
          </cell>
          <cell r="AZ805">
            <v>0.25</v>
          </cell>
          <cell r="BA805">
            <v>0.25</v>
          </cell>
        </row>
        <row r="806">
          <cell r="A806" t="str">
            <v>ERREDI DI RENATO URRU</v>
          </cell>
          <cell r="D806" t="str">
            <v>VIA D.MANIN, 42</v>
          </cell>
          <cell r="E806" t="str">
            <v>09045</v>
          </cell>
          <cell r="F806" t="str">
            <v>QUARTU SANT'ELENA</v>
          </cell>
          <cell r="G806" t="str">
            <v>CA</v>
          </cell>
          <cell r="H806" t="str">
            <v>ITALIA</v>
          </cell>
          <cell r="J806" t="str">
            <v>02013110925</v>
          </cell>
          <cell r="M806" t="str">
            <v>UFFICIO ACQUISTI</v>
          </cell>
          <cell r="N806" t="str">
            <v>070 883535</v>
          </cell>
          <cell r="O806" t="str">
            <v>338 9017013</v>
          </cell>
          <cell r="P806" t="str">
            <v xml:space="preserve">danielapisano72@libero.it </v>
          </cell>
          <cell r="R806" t="str">
            <v>BONIFICO BANCARIO, ALLA DATA DELLA NOSTRA CONFERMA D'ORDINE</v>
          </cell>
          <cell r="X806">
            <v>0.2</v>
          </cell>
          <cell r="Y806">
            <v>-0.04</v>
          </cell>
          <cell r="AB806">
            <v>0.2</v>
          </cell>
          <cell r="AC806">
            <v>0.2</v>
          </cell>
          <cell r="AD806">
            <v>0.2</v>
          </cell>
          <cell r="AE806">
            <v>0.2</v>
          </cell>
          <cell r="AF806">
            <v>0.2</v>
          </cell>
          <cell r="AG806">
            <v>0.2</v>
          </cell>
          <cell r="AH806">
            <v>0.2</v>
          </cell>
          <cell r="AI806">
            <v>0.2</v>
          </cell>
          <cell r="AJ806">
            <v>0.2</v>
          </cell>
          <cell r="AK806">
            <v>0.2</v>
          </cell>
          <cell r="AL806">
            <v>0.2</v>
          </cell>
          <cell r="AM806">
            <v>0.2</v>
          </cell>
          <cell r="AN806">
            <v>0.2</v>
          </cell>
          <cell r="AO806">
            <v>0.2</v>
          </cell>
          <cell r="AP806">
            <v>0.2</v>
          </cell>
          <cell r="AQ806">
            <v>0.2</v>
          </cell>
          <cell r="AR806">
            <v>0.2</v>
          </cell>
          <cell r="AS806">
            <v>0.2</v>
          </cell>
          <cell r="AT806">
            <v>-0.04</v>
          </cell>
          <cell r="AU806">
            <v>0.92</v>
          </cell>
          <cell r="AV806">
            <v>20</v>
          </cell>
          <cell r="AZ806">
            <v>0.2</v>
          </cell>
          <cell r="BA806">
            <v>0.2</v>
          </cell>
        </row>
        <row r="807">
          <cell r="A807" t="str">
            <v>ERREDI SERRAMENTI S.N.C. DI LAZZARINI RENZO &amp; ZANELLA DIEGO</v>
          </cell>
          <cell r="C807" t="str">
            <v>VE2</v>
          </cell>
          <cell r="D807" t="str">
            <v>VIA DEL VETRAIO, 13</v>
          </cell>
          <cell r="E807">
            <v>30013</v>
          </cell>
          <cell r="F807" t="str">
            <v>CAVALLINO-TREPORTI</v>
          </cell>
          <cell r="G807" t="str">
            <v>VE</v>
          </cell>
          <cell r="H807" t="str">
            <v>ITALIA</v>
          </cell>
          <cell r="J807" t="str">
            <v>04417310275</v>
          </cell>
          <cell r="M807" t="str">
            <v>UFFICIO ACQUISTI</v>
          </cell>
          <cell r="N807" t="str">
            <v>041 658955</v>
          </cell>
          <cell r="P807" t="str">
            <v>ERREDISERRAMENTI@VIRGILIO.IT</v>
          </cell>
          <cell r="R807" t="str">
            <v>BONIFICO BANCARIO, ALLA DATA DELLA NOSTRA CONFERMA D'ORDINE</v>
          </cell>
          <cell r="X807">
            <v>0.25</v>
          </cell>
          <cell r="Y807">
            <v>-0.04</v>
          </cell>
          <cell r="AB807">
            <v>0.25</v>
          </cell>
          <cell r="AC807">
            <v>0.25</v>
          </cell>
          <cell r="AD807">
            <v>0.25</v>
          </cell>
          <cell r="AE807">
            <v>0.25</v>
          </cell>
          <cell r="AF807">
            <v>0.25</v>
          </cell>
          <cell r="AG807">
            <v>0.25</v>
          </cell>
          <cell r="AH807">
            <v>0.25</v>
          </cell>
          <cell r="AI807">
            <v>0.25</v>
          </cell>
          <cell r="AJ807">
            <v>0.25</v>
          </cell>
          <cell r="AK807">
            <v>0.25</v>
          </cell>
          <cell r="AL807">
            <v>0.25</v>
          </cell>
          <cell r="AM807">
            <v>0.25</v>
          </cell>
          <cell r="AN807">
            <v>0.25</v>
          </cell>
          <cell r="AO807">
            <v>0.25</v>
          </cell>
          <cell r="AP807">
            <v>0.25</v>
          </cell>
          <cell r="AQ807">
            <v>0.25</v>
          </cell>
          <cell r="AR807">
            <v>0.25</v>
          </cell>
          <cell r="AS807">
            <v>0.25</v>
          </cell>
          <cell r="AT807">
            <v>-0.04</v>
          </cell>
          <cell r="AU807">
            <v>0.92</v>
          </cell>
          <cell r="AV807">
            <v>20</v>
          </cell>
          <cell r="AY807" t="str">
            <v/>
          </cell>
          <cell r="AZ807">
            <v>0.25</v>
          </cell>
          <cell r="BA807">
            <v>0.25</v>
          </cell>
        </row>
        <row r="808">
          <cell r="A808" t="str">
            <v>ERREDI TENDE SNC DI ZAMBELLI &amp; CAVALLI</v>
          </cell>
          <cell r="D808" t="str">
            <v>VIA SANGALETTI, SNC</v>
          </cell>
          <cell r="E808" t="str">
            <v>24043</v>
          </cell>
          <cell r="F808" t="str">
            <v>CARAVAGGIO</v>
          </cell>
          <cell r="G808" t="str">
            <v>BG</v>
          </cell>
          <cell r="H808" t="str">
            <v>ITALIA</v>
          </cell>
          <cell r="J808" t="str">
            <v>02760740163</v>
          </cell>
          <cell r="M808" t="str">
            <v>UFFICIO ACQUISTI</v>
          </cell>
          <cell r="N808" t="str">
            <v>0363 351172</v>
          </cell>
          <cell r="O808" t="str">
            <v>339 6324471    335 6665441</v>
          </cell>
          <cell r="P808" t="str">
            <v>info@erreditende.it</v>
          </cell>
          <cell r="R808" t="str">
            <v>BONIFICO BANCARIO, ALLA DATA DELLA NOSTRA CONFERMA D'ORDINE</v>
          </cell>
          <cell r="X808">
            <v>0.2</v>
          </cell>
          <cell r="Y808">
            <v>-0.04</v>
          </cell>
          <cell r="AB808">
            <v>0.2</v>
          </cell>
          <cell r="AC808">
            <v>0.2</v>
          </cell>
          <cell r="AD808">
            <v>0.2</v>
          </cell>
          <cell r="AE808">
            <v>0.2</v>
          </cell>
          <cell r="AF808">
            <v>0.2</v>
          </cell>
          <cell r="AG808">
            <v>0.2</v>
          </cell>
          <cell r="AH808">
            <v>0.2</v>
          </cell>
          <cell r="AI808">
            <v>0.2</v>
          </cell>
          <cell r="AJ808">
            <v>0.2</v>
          </cell>
          <cell r="AK808">
            <v>0.2</v>
          </cell>
          <cell r="AL808">
            <v>0.2</v>
          </cell>
          <cell r="AM808">
            <v>0.2</v>
          </cell>
          <cell r="AN808">
            <v>0.2</v>
          </cell>
          <cell r="AO808">
            <v>0.2</v>
          </cell>
          <cell r="AP808">
            <v>0.2</v>
          </cell>
          <cell r="AQ808">
            <v>0.2</v>
          </cell>
          <cell r="AR808">
            <v>0.2</v>
          </cell>
          <cell r="AS808">
            <v>0.2</v>
          </cell>
          <cell r="AT808">
            <v>-0.04</v>
          </cell>
          <cell r="AU808">
            <v>0.92</v>
          </cell>
          <cell r="AV808">
            <v>20</v>
          </cell>
          <cell r="AZ808">
            <v>0.2</v>
          </cell>
          <cell r="BA808">
            <v>0.2</v>
          </cell>
        </row>
        <row r="809">
          <cell r="A809" t="str">
            <v>ERREEMME DI MATTOLA GEOM. GIANCARLO &amp; C SAS</v>
          </cell>
          <cell r="D809" t="str">
            <v>PIAZZA CESARE BATTISTI 66</v>
          </cell>
          <cell r="E809" t="str">
            <v>15060</v>
          </cell>
          <cell r="F809" t="str">
            <v>SILVANO D'ORBA</v>
          </cell>
          <cell r="G809" t="str">
            <v>AL</v>
          </cell>
          <cell r="H809" t="str">
            <v>ITALIA</v>
          </cell>
          <cell r="J809" t="str">
            <v>01656680061</v>
          </cell>
          <cell r="M809" t="str">
            <v>UFFICIO ACQUISTI</v>
          </cell>
          <cell r="N809" t="str">
            <v>0143 841278</v>
          </cell>
          <cell r="O809" t="str">
            <v>335 5646785</v>
          </cell>
          <cell r="P809" t="str">
            <v>erreeserramenti@libero.it</v>
          </cell>
          <cell r="R809" t="str">
            <v>BONIFICO BANCARIO, ALLA DATA DELLA NOSTRA CONFERMA D'ORDINE</v>
          </cell>
          <cell r="X809">
            <v>0.25</v>
          </cell>
          <cell r="Y809">
            <v>-0.04</v>
          </cell>
          <cell r="AB809">
            <v>0.25</v>
          </cell>
          <cell r="AC809">
            <v>0.25</v>
          </cell>
          <cell r="AD809">
            <v>0.25</v>
          </cell>
          <cell r="AE809">
            <v>0.25</v>
          </cell>
          <cell r="AF809">
            <v>0.25</v>
          </cell>
          <cell r="AG809">
            <v>0.25</v>
          </cell>
          <cell r="AH809">
            <v>0.25</v>
          </cell>
          <cell r="AI809">
            <v>0.25</v>
          </cell>
          <cell r="AJ809">
            <v>0.25</v>
          </cell>
          <cell r="AK809">
            <v>0.25</v>
          </cell>
          <cell r="AL809">
            <v>0.25</v>
          </cell>
          <cell r="AM809">
            <v>0.25</v>
          </cell>
          <cell r="AN809">
            <v>0.25</v>
          </cell>
          <cell r="AO809">
            <v>0.25</v>
          </cell>
          <cell r="AP809">
            <v>0.25</v>
          </cell>
          <cell r="AQ809">
            <v>0.25</v>
          </cell>
          <cell r="AR809">
            <v>0.25</v>
          </cell>
          <cell r="AS809">
            <v>0.25</v>
          </cell>
          <cell r="AT809">
            <v>-0.04</v>
          </cell>
          <cell r="AU809">
            <v>0.92</v>
          </cell>
          <cell r="AV809">
            <v>20</v>
          </cell>
          <cell r="AY809" t="str">
            <v/>
          </cell>
          <cell r="AZ809">
            <v>0.25</v>
          </cell>
          <cell r="BA809">
            <v>0.25</v>
          </cell>
        </row>
        <row r="810">
          <cell r="A810" t="str">
            <v>ERREEMME SRL</v>
          </cell>
          <cell r="B810" t="str">
            <v xml:space="preserve">SHOOW ROOM:  VIA MANZONI, 30 - FOGGIA  </v>
          </cell>
          <cell r="D810" t="str">
            <v>VIA MANFREDONIA, KM.3</v>
          </cell>
          <cell r="E810" t="str">
            <v>71121</v>
          </cell>
          <cell r="F810" t="str">
            <v>FOGGIA</v>
          </cell>
          <cell r="G810" t="str">
            <v>FG</v>
          </cell>
          <cell r="H810" t="str">
            <v>ITALIA</v>
          </cell>
          <cell r="J810" t="str">
            <v>03265930713</v>
          </cell>
          <cell r="L810" t="str">
            <v>VIA DI S.GIULIANO, 49 - FOGGIA</v>
          </cell>
          <cell r="M810" t="str">
            <v>UFFICIO ACQUISTI</v>
          </cell>
          <cell r="N810" t="str">
            <v>0881 776903</v>
          </cell>
          <cell r="P810" t="str">
            <v>rmlegno@rmlegno.it</v>
          </cell>
          <cell r="R810" t="str">
            <v>BONIFICO BANCARIO, ALLA DATA DELLA NOSTRA CONFERMA D'ORDINE</v>
          </cell>
          <cell r="X810">
            <v>0.2</v>
          </cell>
          <cell r="Y810">
            <v>-0.04</v>
          </cell>
          <cell r="AB810">
            <v>0.2</v>
          </cell>
          <cell r="AC810">
            <v>0.2</v>
          </cell>
          <cell r="AD810">
            <v>0.2</v>
          </cell>
          <cell r="AE810">
            <v>0.2</v>
          </cell>
          <cell r="AF810">
            <v>0.2</v>
          </cell>
          <cell r="AG810">
            <v>0.2</v>
          </cell>
          <cell r="AH810">
            <v>0.2</v>
          </cell>
          <cell r="AI810">
            <v>0.2</v>
          </cell>
          <cell r="AJ810">
            <v>0.2</v>
          </cell>
          <cell r="AK810">
            <v>0.2</v>
          </cell>
          <cell r="AL810">
            <v>0.2</v>
          </cell>
          <cell r="AM810">
            <v>0.2</v>
          </cell>
          <cell r="AN810">
            <v>0.2</v>
          </cell>
          <cell r="AO810">
            <v>0.2</v>
          </cell>
          <cell r="AP810">
            <v>0.2</v>
          </cell>
          <cell r="AQ810">
            <v>0.2</v>
          </cell>
          <cell r="AR810">
            <v>0.2</v>
          </cell>
          <cell r="AS810">
            <v>0.2</v>
          </cell>
          <cell r="AT810">
            <v>-0.04</v>
          </cell>
          <cell r="AU810">
            <v>0.92</v>
          </cell>
          <cell r="AV810">
            <v>20</v>
          </cell>
          <cell r="AZ810">
            <v>0.2</v>
          </cell>
          <cell r="BA810">
            <v>0.2</v>
          </cell>
        </row>
        <row r="811">
          <cell r="A811" t="str">
            <v>ERREGI METAL DI MARTINELLI FRANCESCO</v>
          </cell>
          <cell r="D811" t="str">
            <v>VIA GALILEO GALILEI, 37</v>
          </cell>
          <cell r="E811" t="str">
            <v>41015</v>
          </cell>
          <cell r="F811" t="str">
            <v>NONANTOLA</v>
          </cell>
          <cell r="G811" t="str">
            <v>MO</v>
          </cell>
          <cell r="H811" t="str">
            <v>ITALIA</v>
          </cell>
          <cell r="J811" t="str">
            <v>03252060367</v>
          </cell>
          <cell r="K811" t="str">
            <v>W7YYVJK9</v>
          </cell>
          <cell r="M811" t="str">
            <v>UFFICIO ACQUISTI</v>
          </cell>
          <cell r="N811" t="str">
            <v>0595 49730</v>
          </cell>
          <cell r="P811" t="str">
            <v>info@erregimetal.it</v>
          </cell>
          <cell r="R811" t="str">
            <v>BONIFICO BANCARIO, ALLA DATA DELLA NOSTRA CONFERMA D'ORDINE</v>
          </cell>
          <cell r="X811">
            <v>0.2</v>
          </cell>
          <cell r="Y811">
            <v>-0.04</v>
          </cell>
          <cell r="AB811">
            <v>0.2</v>
          </cell>
          <cell r="AC811">
            <v>0.2</v>
          </cell>
          <cell r="AD811">
            <v>0.2</v>
          </cell>
          <cell r="AE811">
            <v>0.2</v>
          </cell>
          <cell r="AF811">
            <v>0.2</v>
          </cell>
          <cell r="AG811">
            <v>0.2</v>
          </cell>
          <cell r="AH811">
            <v>0.2</v>
          </cell>
          <cell r="AI811">
            <v>0.2</v>
          </cell>
          <cell r="AJ811">
            <v>0.2</v>
          </cell>
          <cell r="AK811">
            <v>0.2</v>
          </cell>
          <cell r="AL811">
            <v>0.2</v>
          </cell>
          <cell r="AM811">
            <v>0.2</v>
          </cell>
          <cell r="AN811">
            <v>0.2</v>
          </cell>
          <cell r="AO811">
            <v>0.2</v>
          </cell>
          <cell r="AP811">
            <v>0.2</v>
          </cell>
          <cell r="AQ811">
            <v>0.2</v>
          </cell>
          <cell r="AR811">
            <v>0.2</v>
          </cell>
          <cell r="AS811">
            <v>0.2</v>
          </cell>
          <cell r="AT811">
            <v>-0.04</v>
          </cell>
          <cell r="AU811">
            <v>0.92</v>
          </cell>
          <cell r="AV811">
            <v>20</v>
          </cell>
          <cell r="AZ811">
            <v>0.2</v>
          </cell>
          <cell r="BA811">
            <v>0.2</v>
          </cell>
        </row>
        <row r="812">
          <cell r="A812" t="str">
            <v>ERRESSE INFISSI DI SANFILIPPO ROBERTO</v>
          </cell>
          <cell r="D812" t="str">
            <v>VIA P. FABBRI 24/B</v>
          </cell>
          <cell r="E812" t="str">
            <v>40013</v>
          </cell>
          <cell r="F812" t="str">
            <v>CASTEL MAGGIORE</v>
          </cell>
          <cell r="G812" t="str">
            <v>BO</v>
          </cell>
          <cell r="H812" t="str">
            <v>ITALIA</v>
          </cell>
          <cell r="J812" t="str">
            <v>02460001205</v>
          </cell>
          <cell r="M812" t="str">
            <v>UFFICIO ACQUISTI</v>
          </cell>
          <cell r="N812" t="str">
            <v>051 702572</v>
          </cell>
          <cell r="P812" t="str">
            <v>info@erresseinfissi.it</v>
          </cell>
          <cell r="R812" t="str">
            <v>BONIFICO BANCARIO, ALLA DATA DELLA NOSTRA CONFERMA D'ORDINE</v>
          </cell>
          <cell r="X812">
            <v>0.25</v>
          </cell>
          <cell r="Y812">
            <v>-0.04</v>
          </cell>
          <cell r="AB812">
            <v>0.25</v>
          </cell>
          <cell r="AC812">
            <v>0.25</v>
          </cell>
          <cell r="AD812">
            <v>0.25</v>
          </cell>
          <cell r="AE812">
            <v>0.25</v>
          </cell>
          <cell r="AF812">
            <v>0.25</v>
          </cell>
          <cell r="AG812">
            <v>0.25</v>
          </cell>
          <cell r="AH812">
            <v>0.25</v>
          </cell>
          <cell r="AI812">
            <v>0.25</v>
          </cell>
          <cell r="AJ812">
            <v>0.25</v>
          </cell>
          <cell r="AK812">
            <v>0.25</v>
          </cell>
          <cell r="AL812">
            <v>0.25</v>
          </cell>
          <cell r="AM812">
            <v>0.25</v>
          </cell>
          <cell r="AN812">
            <v>0.25</v>
          </cell>
          <cell r="AO812">
            <v>0.25</v>
          </cell>
          <cell r="AP812">
            <v>0.25</v>
          </cell>
          <cell r="AQ812">
            <v>0.25</v>
          </cell>
          <cell r="AR812">
            <v>0.25</v>
          </cell>
          <cell r="AS812">
            <v>0.25</v>
          </cell>
          <cell r="AT812">
            <v>-0.04</v>
          </cell>
          <cell r="AU812">
            <v>0.92</v>
          </cell>
          <cell r="AV812">
            <v>20</v>
          </cell>
          <cell r="AZ812">
            <v>0.25</v>
          </cell>
          <cell r="BA812">
            <v>0.25</v>
          </cell>
        </row>
        <row r="813">
          <cell r="A813" t="str">
            <v>ERRE-TI</v>
          </cell>
          <cell r="D813" t="str">
            <v>VIA ARETINA 179</v>
          </cell>
          <cell r="E813" t="str">
            <v>50136</v>
          </cell>
          <cell r="F813" t="str">
            <v>FIRENZE</v>
          </cell>
          <cell r="G813" t="str">
            <v>FI</v>
          </cell>
          <cell r="H813" t="str">
            <v>ITALIA</v>
          </cell>
          <cell r="M813" t="str">
            <v>UFFICIO ACQUISTI</v>
          </cell>
          <cell r="N813" t="str">
            <v>055 6504664</v>
          </cell>
          <cell r="O813" t="str">
            <v>339 4610136</v>
          </cell>
          <cell r="P813" t="str">
            <v>erretiserramenti@gmail.com</v>
          </cell>
          <cell r="R813" t="str">
            <v>BONIFICO BANCARIO, ALLA DATA DELLA NOSTRA CONFERMA D'ORDINE</v>
          </cell>
          <cell r="X813">
            <v>0.25</v>
          </cell>
          <cell r="Y813">
            <v>-0.04</v>
          </cell>
          <cell r="AB813">
            <v>0.25</v>
          </cell>
          <cell r="AC813">
            <v>0.25</v>
          </cell>
          <cell r="AD813">
            <v>0.25</v>
          </cell>
          <cell r="AE813">
            <v>0.25</v>
          </cell>
          <cell r="AF813">
            <v>0.25</v>
          </cell>
          <cell r="AG813">
            <v>0.25</v>
          </cell>
          <cell r="AH813">
            <v>0.25</v>
          </cell>
          <cell r="AI813">
            <v>0.25</v>
          </cell>
          <cell r="AJ813">
            <v>0.25</v>
          </cell>
          <cell r="AK813">
            <v>0.25</v>
          </cell>
          <cell r="AL813">
            <v>0.25</v>
          </cell>
          <cell r="AM813">
            <v>0.25</v>
          </cell>
          <cell r="AN813">
            <v>0.25</v>
          </cell>
          <cell r="AO813">
            <v>0.25</v>
          </cell>
          <cell r="AP813">
            <v>0.25</v>
          </cell>
          <cell r="AQ813">
            <v>0.25</v>
          </cell>
          <cell r="AR813">
            <v>0.25</v>
          </cell>
          <cell r="AS813">
            <v>0.25</v>
          </cell>
          <cell r="AT813">
            <v>-0.04</v>
          </cell>
          <cell r="AU813">
            <v>0.92</v>
          </cell>
          <cell r="AV813">
            <v>20</v>
          </cell>
          <cell r="AY813" t="str">
            <v/>
          </cell>
          <cell r="AZ813">
            <v>0.25</v>
          </cell>
          <cell r="BA813">
            <v>0.25</v>
          </cell>
        </row>
        <row r="814">
          <cell r="A814" t="str">
            <v>ERRE-TI SERRAMENTI &amp; SISTEMI</v>
          </cell>
          <cell r="D814" t="str">
            <v>VIA DEL LASCA 30/R</v>
          </cell>
          <cell r="E814" t="str">
            <v>50133</v>
          </cell>
          <cell r="F814" t="str">
            <v>FIRENZA</v>
          </cell>
          <cell r="G814" t="str">
            <v>FI</v>
          </cell>
          <cell r="H814" t="str">
            <v>ITALIA</v>
          </cell>
          <cell r="J814" t="str">
            <v>06204200486</v>
          </cell>
          <cell r="M814" t="str">
            <v>UFFICIO ACQUISTI</v>
          </cell>
          <cell r="N814" t="str">
            <v>055 6504664</v>
          </cell>
          <cell r="R814" t="str">
            <v>BONIFICO BANCARIO, ALLA DATA DELLA NOSTRA CONFERMA D'ORDINE</v>
          </cell>
          <cell r="X814">
            <v>0.25</v>
          </cell>
          <cell r="Y814">
            <v>-0.04</v>
          </cell>
          <cell r="AB814">
            <v>0.25</v>
          </cell>
          <cell r="AC814">
            <v>0.25</v>
          </cell>
          <cell r="AD814">
            <v>0.25</v>
          </cell>
          <cell r="AE814">
            <v>0.25</v>
          </cell>
          <cell r="AF814">
            <v>0.25</v>
          </cell>
          <cell r="AG814">
            <v>0.25</v>
          </cell>
          <cell r="AH814">
            <v>0.25</v>
          </cell>
          <cell r="AI814">
            <v>0.25</v>
          </cell>
          <cell r="AJ814">
            <v>0.25</v>
          </cell>
          <cell r="AK814">
            <v>0.25</v>
          </cell>
          <cell r="AL814">
            <v>0.25</v>
          </cell>
          <cell r="AM814">
            <v>0.25</v>
          </cell>
          <cell r="AN814">
            <v>0.25</v>
          </cell>
          <cell r="AO814">
            <v>0.25</v>
          </cell>
          <cell r="AP814">
            <v>0.25</v>
          </cell>
          <cell r="AQ814">
            <v>0.25</v>
          </cell>
          <cell r="AR814">
            <v>0.25</v>
          </cell>
          <cell r="AS814">
            <v>0.25</v>
          </cell>
          <cell r="AT814">
            <v>-0.04</v>
          </cell>
          <cell r="AU814">
            <v>0.92</v>
          </cell>
          <cell r="AV814">
            <v>20</v>
          </cell>
          <cell r="AY814" t="str">
            <v/>
          </cell>
          <cell r="AZ814">
            <v>0.25</v>
          </cell>
          <cell r="BA814">
            <v>0.25</v>
          </cell>
        </row>
        <row r="815">
          <cell r="A815" t="str">
            <v>ERRIU DI FABRIZIO</v>
          </cell>
          <cell r="B815" t="str">
            <v>TRITONE MI MANDA I CONTATTI</v>
          </cell>
          <cell r="D815" t="str">
            <v>VIA CARMINE, 205</v>
          </cell>
          <cell r="E815" t="str">
            <v>09032</v>
          </cell>
          <cell r="F815" t="str">
            <v>ASSEMINI</v>
          </cell>
          <cell r="G815" t="str">
            <v>CA</v>
          </cell>
          <cell r="H815" t="str">
            <v>ITALIA</v>
          </cell>
          <cell r="M815" t="str">
            <v>UFFICIO ACQUISTI</v>
          </cell>
          <cell r="N815" t="str">
            <v>070 942520</v>
          </cell>
          <cell r="O815" t="str">
            <v>345 3771573</v>
          </cell>
          <cell r="P815" t="str">
            <v>info@dittaerriu.it</v>
          </cell>
          <cell r="R815" t="str">
            <v>BONIFICO BANCARIO, ALLA DATA DELLA NOSTRA CONFERMA D'ORDINE</v>
          </cell>
          <cell r="X815">
            <v>0.15</v>
          </cell>
          <cell r="Y815">
            <v>-0.04</v>
          </cell>
          <cell r="AB815">
            <v>0.15</v>
          </cell>
          <cell r="AC815">
            <v>0.15</v>
          </cell>
          <cell r="AD815">
            <v>0.15</v>
          </cell>
          <cell r="AE815">
            <v>0.15</v>
          </cell>
          <cell r="AF815">
            <v>0.15</v>
          </cell>
          <cell r="AG815">
            <v>0.15</v>
          </cell>
          <cell r="AH815">
            <v>0.15</v>
          </cell>
          <cell r="AI815">
            <v>0.15</v>
          </cell>
          <cell r="AJ815">
            <v>0.15</v>
          </cell>
          <cell r="AK815">
            <v>0.15</v>
          </cell>
          <cell r="AL815">
            <v>0.15</v>
          </cell>
          <cell r="AM815">
            <v>0.15</v>
          </cell>
          <cell r="AN815">
            <v>0.15</v>
          </cell>
          <cell r="AO815">
            <v>0.15</v>
          </cell>
          <cell r="AP815">
            <v>0.15</v>
          </cell>
          <cell r="AQ815">
            <v>0.15</v>
          </cell>
          <cell r="AR815">
            <v>0.15</v>
          </cell>
          <cell r="AS815">
            <v>0.15</v>
          </cell>
          <cell r="AT815">
            <v>-0.04</v>
          </cell>
          <cell r="AU815">
            <v>0.92</v>
          </cell>
          <cell r="AV815">
            <v>20</v>
          </cell>
          <cell r="AZ815">
            <v>0.15</v>
          </cell>
          <cell r="BA815">
            <v>0.15</v>
          </cell>
        </row>
        <row r="816">
          <cell r="A816" t="str">
            <v>ESA AUTOMAZIONI</v>
          </cell>
          <cell r="D816" t="str">
            <v>VIA ROMA, 113</v>
          </cell>
          <cell r="E816">
            <v>23808</v>
          </cell>
          <cell r="F816" t="str">
            <v>VERCURAGO</v>
          </cell>
          <cell r="G816" t="str">
            <v>LC</v>
          </cell>
          <cell r="H816" t="str">
            <v>ITALIA</v>
          </cell>
          <cell r="I816" t="str">
            <v>02749730137</v>
          </cell>
          <cell r="J816" t="str">
            <v>02749730137</v>
          </cell>
          <cell r="M816" t="str">
            <v>UFFICIO ACQUISTI</v>
          </cell>
          <cell r="N816" t="str">
            <v>0341 422300</v>
          </cell>
          <cell r="O816" t="str">
            <v>Elisa 347 4417620 Luce 328 8432752</v>
          </cell>
          <cell r="P816" t="str">
            <v>info@esa-automazioni.it</v>
          </cell>
          <cell r="R816" t="str">
            <v>BONIFICO BANCARIO, ALLA DATA DELLA NOSTRA CONFERMA D'ORDINE</v>
          </cell>
          <cell r="X816">
            <v>0.25</v>
          </cell>
          <cell r="Y816">
            <v>-0.04</v>
          </cell>
          <cell r="AB816">
            <v>0.25</v>
          </cell>
          <cell r="AC816">
            <v>0.25</v>
          </cell>
          <cell r="AD816">
            <v>0.25</v>
          </cell>
          <cell r="AE816">
            <v>0.25</v>
          </cell>
          <cell r="AF816">
            <v>0.25</v>
          </cell>
          <cell r="AG816">
            <v>0.25</v>
          </cell>
          <cell r="AH816">
            <v>0.25</v>
          </cell>
          <cell r="AI816">
            <v>0.25</v>
          </cell>
          <cell r="AJ816">
            <v>0.25</v>
          </cell>
          <cell r="AK816">
            <v>0.25</v>
          </cell>
          <cell r="AL816">
            <v>0.25</v>
          </cell>
          <cell r="AM816">
            <v>0.25</v>
          </cell>
          <cell r="AN816">
            <v>0.25</v>
          </cell>
          <cell r="AO816">
            <v>0.25</v>
          </cell>
          <cell r="AP816">
            <v>0.25</v>
          </cell>
          <cell r="AQ816">
            <v>0.25</v>
          </cell>
          <cell r="AR816">
            <v>0.25</v>
          </cell>
          <cell r="AS816">
            <v>0.25</v>
          </cell>
          <cell r="AT816">
            <v>-0.04</v>
          </cell>
          <cell r="AU816">
            <v>0.92</v>
          </cell>
          <cell r="AV816">
            <v>20</v>
          </cell>
          <cell r="AZ816">
            <v>0.25</v>
          </cell>
          <cell r="BA816">
            <v>0.25</v>
          </cell>
        </row>
        <row r="817">
          <cell r="A817" t="str">
            <v>ESSE EMME SERRAMENTI METALLICI</v>
          </cell>
          <cell r="D817" t="str">
            <v>C.SO AMEDEO, 273</v>
          </cell>
          <cell r="E817">
            <v>57125</v>
          </cell>
          <cell r="F817" t="str">
            <v>LIVORNO</v>
          </cell>
          <cell r="G817" t="str">
            <v>LI</v>
          </cell>
          <cell r="H817" t="str">
            <v>ITALIA</v>
          </cell>
          <cell r="M817" t="str">
            <v>UFFICIO ACQUISTI</v>
          </cell>
          <cell r="N817" t="str">
            <v>0586 828967</v>
          </cell>
          <cell r="P817" t="str">
            <v>esseemme@esseemmelivorno.it</v>
          </cell>
          <cell r="R817" t="str">
            <v>BONIFICO BANCARIO, ALLA DATA DELLA NOSTRA CONFERMA D'ORDINE</v>
          </cell>
          <cell r="X817">
            <v>0.25</v>
          </cell>
          <cell r="Y817">
            <v>-0.04</v>
          </cell>
          <cell r="AB817">
            <v>0.25</v>
          </cell>
          <cell r="AC817">
            <v>0.25</v>
          </cell>
          <cell r="AD817">
            <v>0.25</v>
          </cell>
          <cell r="AE817">
            <v>0.25</v>
          </cell>
          <cell r="AF817">
            <v>0.25</v>
          </cell>
          <cell r="AG817">
            <v>0.25</v>
          </cell>
          <cell r="AH817">
            <v>0.25</v>
          </cell>
          <cell r="AI817">
            <v>0.25</v>
          </cell>
          <cell r="AJ817">
            <v>0.25</v>
          </cell>
          <cell r="AK817">
            <v>0.25</v>
          </cell>
          <cell r="AL817">
            <v>0.25</v>
          </cell>
          <cell r="AM817">
            <v>0.25</v>
          </cell>
          <cell r="AN817">
            <v>0.25</v>
          </cell>
          <cell r="AO817">
            <v>0.25</v>
          </cell>
          <cell r="AP817">
            <v>0.25</v>
          </cell>
          <cell r="AQ817">
            <v>0.25</v>
          </cell>
          <cell r="AR817">
            <v>0.25</v>
          </cell>
          <cell r="AS817">
            <v>0.25</v>
          </cell>
          <cell r="AT817">
            <v>-0.04</v>
          </cell>
          <cell r="AU817">
            <v>0.92</v>
          </cell>
          <cell r="AV817">
            <v>20</v>
          </cell>
          <cell r="AY817" t="str">
            <v/>
          </cell>
          <cell r="AZ817">
            <v>0.25</v>
          </cell>
          <cell r="BA817">
            <v>0.25</v>
          </cell>
        </row>
        <row r="818">
          <cell r="A818" t="str">
            <v>ESSECI SRL</v>
          </cell>
          <cell r="B818" t="str">
            <v>EMILIANO E CHRISTIAN</v>
          </cell>
          <cell r="D818" t="str">
            <v>VIA XXIV MAGGIO, 50</v>
          </cell>
          <cell r="E818" t="str">
            <v>07010</v>
          </cell>
          <cell r="F818" t="str">
            <v>TULA</v>
          </cell>
          <cell r="G818" t="str">
            <v>SS</v>
          </cell>
          <cell r="H818" t="str">
            <v>ITALIA</v>
          </cell>
          <cell r="J818" t="str">
            <v>01653280997</v>
          </cell>
          <cell r="L818" t="str">
            <v>ZONA IND.LE SETT.6 - OLBIA 0789 565036</v>
          </cell>
          <cell r="M818" t="str">
            <v>UFFICIO ACQUISTI</v>
          </cell>
          <cell r="N818" t="str">
            <v>079 718383</v>
          </cell>
          <cell r="P818" t="str">
            <v>campesi.tula@alice.it</v>
          </cell>
          <cell r="R818" t="str">
            <v>BONIFICO BANCARIO, ALLA DATA DELLA NOSTRA CONFERMA D'ORDINE</v>
          </cell>
          <cell r="X818">
            <v>0.2</v>
          </cell>
          <cell r="Y818">
            <v>-0.04</v>
          </cell>
          <cell r="AB818">
            <v>0.2</v>
          </cell>
          <cell r="AC818">
            <v>0.2</v>
          </cell>
          <cell r="AD818">
            <v>0.2</v>
          </cell>
          <cell r="AE818">
            <v>0.2</v>
          </cell>
          <cell r="AF818">
            <v>0.2</v>
          </cell>
          <cell r="AG818">
            <v>0.2</v>
          </cell>
          <cell r="AH818">
            <v>0.2</v>
          </cell>
          <cell r="AI818">
            <v>0.2</v>
          </cell>
          <cell r="AJ818">
            <v>0.2</v>
          </cell>
          <cell r="AK818">
            <v>0.2</v>
          </cell>
          <cell r="AL818">
            <v>0.2</v>
          </cell>
          <cell r="AM818">
            <v>0.2</v>
          </cell>
          <cell r="AN818">
            <v>0.2</v>
          </cell>
          <cell r="AO818">
            <v>0.2</v>
          </cell>
          <cell r="AP818">
            <v>0.2</v>
          </cell>
          <cell r="AQ818">
            <v>0.2</v>
          </cell>
          <cell r="AR818">
            <v>0.2</v>
          </cell>
          <cell r="AS818">
            <v>0.2</v>
          </cell>
          <cell r="AT818">
            <v>-0.04</v>
          </cell>
          <cell r="AU818">
            <v>0.92</v>
          </cell>
          <cell r="AV818">
            <v>20</v>
          </cell>
          <cell r="AZ818">
            <v>0.2</v>
          </cell>
          <cell r="BA818">
            <v>0.2</v>
          </cell>
        </row>
        <row r="819">
          <cell r="A819" t="str">
            <v>ESSEDI INFISSI SRL UNIPERSONALE</v>
          </cell>
          <cell r="D819" t="str">
            <v>VIA ENZO TOMMASETTI, 4</v>
          </cell>
          <cell r="E819" t="str">
            <v>60012</v>
          </cell>
          <cell r="F819" t="str">
            <v>TRECASTELLI</v>
          </cell>
          <cell r="G819" t="str">
            <v>AN</v>
          </cell>
          <cell r="H819" t="str">
            <v>ITALIA</v>
          </cell>
          <cell r="J819" t="str">
            <v>02142910419</v>
          </cell>
          <cell r="K819" t="str">
            <v>J6URRTW</v>
          </cell>
          <cell r="M819" t="str">
            <v>UFFICIO ACQUISTI</v>
          </cell>
          <cell r="N819" t="str">
            <v>071 6871024</v>
          </cell>
          <cell r="P819" t="str">
            <v>g.ciaramicoli@essediinfissisrl.it</v>
          </cell>
          <cell r="R819" t="str">
            <v>BONIFICO BANCARIO, ALLA DATA DELLA NOSTRA CONFERMA D'ORDINE</v>
          </cell>
          <cell r="X819">
            <v>0.25</v>
          </cell>
          <cell r="Y819">
            <v>-0.04</v>
          </cell>
          <cell r="AB819">
            <v>0.25</v>
          </cell>
          <cell r="AC819">
            <v>0.25</v>
          </cell>
          <cell r="AD819">
            <v>0.25</v>
          </cell>
          <cell r="AE819">
            <v>0.25</v>
          </cell>
          <cell r="AF819">
            <v>0.25</v>
          </cell>
          <cell r="AG819">
            <v>0.25</v>
          </cell>
          <cell r="AH819">
            <v>0.25</v>
          </cell>
          <cell r="AI819">
            <v>0.25</v>
          </cell>
          <cell r="AJ819">
            <v>0.25</v>
          </cell>
          <cell r="AK819">
            <v>0.25</v>
          </cell>
          <cell r="AL819">
            <v>0.25</v>
          </cell>
          <cell r="AM819">
            <v>0.25</v>
          </cell>
          <cell r="AN819">
            <v>0.25</v>
          </cell>
          <cell r="AO819">
            <v>0.25</v>
          </cell>
          <cell r="AP819">
            <v>0.25</v>
          </cell>
          <cell r="AQ819">
            <v>0.25</v>
          </cell>
          <cell r="AR819">
            <v>0.25</v>
          </cell>
          <cell r="AS819">
            <v>0.25</v>
          </cell>
          <cell r="AT819">
            <v>-0.04</v>
          </cell>
          <cell r="AU819">
            <v>0.88</v>
          </cell>
          <cell r="AV819">
            <v>20</v>
          </cell>
          <cell r="AZ819">
            <v>0.25</v>
          </cell>
          <cell r="BA819">
            <v>0.25</v>
          </cell>
        </row>
        <row r="820">
          <cell r="A820" t="str">
            <v>ESSEMME S.R.L.</v>
          </cell>
          <cell r="D820" t="str">
            <v>LOC.VILLABELLA S.S. 11, 24  E</v>
          </cell>
          <cell r="E820">
            <v>37047</v>
          </cell>
          <cell r="F820" t="str">
            <v xml:space="preserve">SAN BONIFACIO </v>
          </cell>
          <cell r="G820" t="str">
            <v>VR</v>
          </cell>
          <cell r="H820" t="str">
            <v>ITALIA</v>
          </cell>
          <cell r="J820" t="str">
            <v>04484360237</v>
          </cell>
          <cell r="K820" t="str">
            <v>T04ZHR3</v>
          </cell>
          <cell r="M820" t="str">
            <v>UFFICIO ACQUISTI</v>
          </cell>
          <cell r="N820" t="str">
            <v>045 6104974</v>
          </cell>
          <cell r="P820" t="str">
            <v>info@essemmeinfissi.it</v>
          </cell>
          <cell r="R820" t="str">
            <v>BONIFICO BANCARIO, ALLA DATA DELLA NOSTRA CONFERMA D'ORDINE</v>
          </cell>
          <cell r="X820">
            <v>0.25</v>
          </cell>
          <cell r="Y820">
            <v>-0.04</v>
          </cell>
          <cell r="AB820">
            <v>0.25</v>
          </cell>
          <cell r="AC820">
            <v>0.25</v>
          </cell>
          <cell r="AD820">
            <v>0.25</v>
          </cell>
          <cell r="AE820">
            <v>0.25</v>
          </cell>
          <cell r="AF820">
            <v>0.25</v>
          </cell>
          <cell r="AG820">
            <v>0.25</v>
          </cell>
          <cell r="AH820">
            <v>0.25</v>
          </cell>
          <cell r="AI820">
            <v>0.25</v>
          </cell>
          <cell r="AJ820">
            <v>0.25</v>
          </cell>
          <cell r="AK820">
            <v>0.25</v>
          </cell>
          <cell r="AL820">
            <v>0.25</v>
          </cell>
          <cell r="AM820">
            <v>0.25</v>
          </cell>
          <cell r="AN820">
            <v>0.25</v>
          </cell>
          <cell r="AO820">
            <v>0.25</v>
          </cell>
          <cell r="AP820">
            <v>0.25</v>
          </cell>
          <cell r="AQ820">
            <v>0.25</v>
          </cell>
          <cell r="AR820">
            <v>0.25</v>
          </cell>
          <cell r="AS820">
            <v>0.25</v>
          </cell>
          <cell r="AT820">
            <v>-0.04</v>
          </cell>
          <cell r="AU820">
            <v>0.92</v>
          </cell>
          <cell r="AV820">
            <v>20</v>
          </cell>
          <cell r="AZ820">
            <v>0.25</v>
          </cell>
          <cell r="BA820">
            <v>0.25</v>
          </cell>
        </row>
        <row r="821">
          <cell r="A821" t="str">
            <v>ESSEPI Di Parrini Simona</v>
          </cell>
          <cell r="D821" t="str">
            <v>VIA NICCOLO' COPERNICO, 25</v>
          </cell>
          <cell r="E821">
            <v>50063</v>
          </cell>
          <cell r="F821" t="str">
            <v>FIGLINE E INCISA V.NO</v>
          </cell>
          <cell r="G821" t="str">
            <v>FI</v>
          </cell>
          <cell r="H821" t="str">
            <v>ITALIA</v>
          </cell>
          <cell r="I821" t="str">
            <v>PRRSMN70B59D612O</v>
          </cell>
          <cell r="J821" t="str">
            <v>06018890480</v>
          </cell>
          <cell r="M821" t="str">
            <v>UFFICIO ACQUISTI</v>
          </cell>
          <cell r="N821" t="str">
            <v>055 0501858</v>
          </cell>
          <cell r="O821" t="str">
            <v>392 5037451</v>
          </cell>
          <cell r="P821" t="str">
            <v xml:space="preserve"> info@infissiessepi.it  </v>
          </cell>
          <cell r="R821" t="str">
            <v>BONIFICO BANCARIO, ALLA DATA DELLA NOSTRA CONFERMA D'ORDINE</v>
          </cell>
          <cell r="X821">
            <v>0.25</v>
          </cell>
          <cell r="Y821">
            <v>-0.04</v>
          </cell>
          <cell r="AB821">
            <v>0.25</v>
          </cell>
          <cell r="AC821">
            <v>0.25</v>
          </cell>
          <cell r="AD821">
            <v>0.25</v>
          </cell>
          <cell r="AE821">
            <v>0.25</v>
          </cell>
          <cell r="AF821">
            <v>0.25</v>
          </cell>
          <cell r="AG821">
            <v>0.25</v>
          </cell>
          <cell r="AH821">
            <v>0.25</v>
          </cell>
          <cell r="AI821">
            <v>0.25</v>
          </cell>
          <cell r="AJ821">
            <v>0.25</v>
          </cell>
          <cell r="AK821">
            <v>0.25</v>
          </cell>
          <cell r="AL821">
            <v>0.25</v>
          </cell>
          <cell r="AM821">
            <v>0.25</v>
          </cell>
          <cell r="AN821">
            <v>0.25</v>
          </cell>
          <cell r="AO821">
            <v>0.25</v>
          </cell>
          <cell r="AP821">
            <v>0.25</v>
          </cell>
          <cell r="AQ821">
            <v>0.25</v>
          </cell>
          <cell r="AR821">
            <v>0.25</v>
          </cell>
          <cell r="AS821">
            <v>0.25</v>
          </cell>
          <cell r="AT821">
            <v>-0.04</v>
          </cell>
          <cell r="AU821">
            <v>0.92</v>
          </cell>
          <cell r="AV821">
            <v>20</v>
          </cell>
          <cell r="AZ821">
            <v>0.25</v>
          </cell>
          <cell r="BA821">
            <v>0.25</v>
          </cell>
        </row>
        <row r="822">
          <cell r="A822" t="str">
            <v>ESSSETRE SERRAMENTI</v>
          </cell>
          <cell r="D822" t="str">
            <v>VIA ALESSANDRIA, 51 R</v>
          </cell>
          <cell r="E822">
            <v>17011</v>
          </cell>
          <cell r="F822" t="str">
            <v>ALBISOLA SUPERIORE</v>
          </cell>
          <cell r="G822" t="str">
            <v>SV</v>
          </cell>
          <cell r="H822" t="str">
            <v>ITALIA</v>
          </cell>
          <cell r="M822" t="str">
            <v>UFFICIO ACQUISTI</v>
          </cell>
          <cell r="N822" t="str">
            <v>019 9200446</v>
          </cell>
          <cell r="P822" t="str">
            <v>essetreserramenti@gmail.com</v>
          </cell>
          <cell r="R822" t="str">
            <v>BONIFICO BANCARIO, ALLA DATA DELLA NOSTRA CONFERMA D'ORDINE</v>
          </cell>
          <cell r="X822">
            <v>0.25</v>
          </cell>
          <cell r="Y822">
            <v>-0.04</v>
          </cell>
          <cell r="AB822">
            <v>0.25</v>
          </cell>
          <cell r="AC822">
            <v>0.25</v>
          </cell>
          <cell r="AD822">
            <v>0.25</v>
          </cell>
          <cell r="AE822">
            <v>0.25</v>
          </cell>
          <cell r="AF822">
            <v>0.25</v>
          </cell>
          <cell r="AG822">
            <v>0.25</v>
          </cell>
          <cell r="AH822">
            <v>0.25</v>
          </cell>
          <cell r="AI822">
            <v>0.25</v>
          </cell>
          <cell r="AJ822">
            <v>0.25</v>
          </cell>
          <cell r="AK822">
            <v>0.25</v>
          </cell>
          <cell r="AL822">
            <v>0.25</v>
          </cell>
          <cell r="AM822">
            <v>0.25</v>
          </cell>
          <cell r="AN822">
            <v>0.25</v>
          </cell>
          <cell r="AO822">
            <v>0.25</v>
          </cell>
          <cell r="AP822">
            <v>0.25</v>
          </cell>
          <cell r="AQ822">
            <v>0.25</v>
          </cell>
          <cell r="AR822">
            <v>0.25</v>
          </cell>
          <cell r="AS822">
            <v>0.25</v>
          </cell>
          <cell r="AT822">
            <v>-0.04</v>
          </cell>
          <cell r="AU822">
            <v>0.92</v>
          </cell>
          <cell r="AV822">
            <v>20</v>
          </cell>
          <cell r="AY822" t="str">
            <v/>
          </cell>
          <cell r="AZ822">
            <v>0.25</v>
          </cell>
          <cell r="BA822">
            <v>0.25</v>
          </cell>
        </row>
        <row r="823">
          <cell r="A823" t="str">
            <v>ESTETIC FER STYLE</v>
          </cell>
          <cell r="B823" t="str">
            <v>ACQUASTOP 05/12 BECCARI STEFANO, TITOLARE. PARLATO CON SEGRETARIA, ERICA (CHE SI OCCUPA DIRETTAMENTE DEI PREVENTIVI BARRIERE). DICE DI MANDARE MAIL. CONFERMA CHE USANO ACQUASTOP MA VOGLIONO DOCUMENTARSI E VEDERE SE C'E' DI MEGLIO. 17/03/23 VISITA RIZZOLI. VOGLIONO CAMBIARE FORNITORE PER MILLE E UN MOTIVO. VEDIAMO CHE SUCCEDE</v>
          </cell>
          <cell r="D823" t="str">
            <v>VIA DELL'ARTIGIANATO 25</v>
          </cell>
          <cell r="E823" t="str">
            <v>44020</v>
          </cell>
          <cell r="F823" t="str">
            <v>SAN GIUSEPPE COMACCHIO</v>
          </cell>
          <cell r="G823" t="str">
            <v>FE</v>
          </cell>
          <cell r="H823" t="str">
            <v>ITALIA</v>
          </cell>
          <cell r="J823" t="str">
            <v>01066150382</v>
          </cell>
          <cell r="M823" t="str">
            <v>UFFICIO ACQUISTI</v>
          </cell>
          <cell r="N823" t="str">
            <v>0533 380090</v>
          </cell>
          <cell r="O823" t="str">
            <v>348 302451</v>
          </cell>
          <cell r="P823" t="str">
            <v>info@ferstyle.it</v>
          </cell>
          <cell r="R823" t="str">
            <v>BONIFICO BANCARIO, ALLA DATA DELLA NOSTRA CONFERMA D'ORDINE</v>
          </cell>
          <cell r="X823">
            <v>0.2</v>
          </cell>
          <cell r="Y823">
            <v>-0.04</v>
          </cell>
          <cell r="AB823">
            <v>0.2</v>
          </cell>
          <cell r="AC823">
            <v>0.2</v>
          </cell>
          <cell r="AD823">
            <v>0.2</v>
          </cell>
          <cell r="AE823">
            <v>0.2</v>
          </cell>
          <cell r="AF823">
            <v>0.2</v>
          </cell>
          <cell r="AG823">
            <v>0.2</v>
          </cell>
          <cell r="AH823">
            <v>0.2</v>
          </cell>
          <cell r="AI823">
            <v>0.2</v>
          </cell>
          <cell r="AJ823">
            <v>0.2</v>
          </cell>
          <cell r="AK823">
            <v>0.2</v>
          </cell>
          <cell r="AL823">
            <v>0.2</v>
          </cell>
          <cell r="AM823">
            <v>0.2</v>
          </cell>
          <cell r="AN823">
            <v>0.2</v>
          </cell>
          <cell r="AO823">
            <v>0.2</v>
          </cell>
          <cell r="AP823">
            <v>0.2</v>
          </cell>
          <cell r="AQ823">
            <v>0.2</v>
          </cell>
          <cell r="AR823">
            <v>0.2</v>
          </cell>
          <cell r="AS823">
            <v>0.2</v>
          </cell>
          <cell r="AT823">
            <v>-0.04</v>
          </cell>
          <cell r="AU823">
            <v>0.92</v>
          </cell>
          <cell r="AV823">
            <v>20</v>
          </cell>
          <cell r="AY823" t="str">
            <v/>
          </cell>
          <cell r="AZ823">
            <v>0.2</v>
          </cell>
          <cell r="BA823">
            <v>0.2</v>
          </cell>
        </row>
        <row r="824">
          <cell r="A824" t="str">
            <v>EUREKA INFISSI</v>
          </cell>
          <cell r="B824" t="str">
            <v>NOSTRO RIVENDITORE</v>
          </cell>
          <cell r="D824" t="str">
            <v>VIA LIVIO BASSI, 43</v>
          </cell>
          <cell r="E824" t="str">
            <v xml:space="preserve">91100 </v>
          </cell>
          <cell r="F824" t="str">
            <v>TRAPANI</v>
          </cell>
          <cell r="G824" t="str">
            <v>TP</v>
          </cell>
          <cell r="H824" t="str">
            <v>ITALIA</v>
          </cell>
          <cell r="J824" t="str">
            <v>02612500815</v>
          </cell>
          <cell r="K824" t="str">
            <v>SU9YNJA</v>
          </cell>
          <cell r="M824" t="str">
            <v>UFFICIO ACQUISTI</v>
          </cell>
          <cell r="N824" t="str">
            <v>0923 1892604</v>
          </cell>
          <cell r="O824" t="str">
            <v>393 9167447</v>
          </cell>
          <cell r="P824" t="str">
            <v>info@eurekainfissi.it</v>
          </cell>
          <cell r="R824" t="str">
            <v>BONIFICO BANCARIO, ALLA DATA DELLA NOSTRA CONFERMA D'ORDINE</v>
          </cell>
          <cell r="X824">
            <v>0.25</v>
          </cell>
          <cell r="Y824">
            <v>-0.04</v>
          </cell>
          <cell r="AB824">
            <v>0.25</v>
          </cell>
          <cell r="AC824">
            <v>0.25</v>
          </cell>
          <cell r="AD824">
            <v>0.25</v>
          </cell>
          <cell r="AE824">
            <v>0.25</v>
          </cell>
          <cell r="AF824">
            <v>0.25</v>
          </cell>
          <cell r="AG824">
            <v>0.25</v>
          </cell>
          <cell r="AH824">
            <v>0.25</v>
          </cell>
          <cell r="AI824">
            <v>0.25</v>
          </cell>
          <cell r="AJ824">
            <v>0.25</v>
          </cell>
          <cell r="AK824">
            <v>0.25</v>
          </cell>
          <cell r="AL824">
            <v>0.25</v>
          </cell>
          <cell r="AM824">
            <v>0.25</v>
          </cell>
          <cell r="AN824">
            <v>0.25</v>
          </cell>
          <cell r="AO824">
            <v>0.25</v>
          </cell>
          <cell r="AP824">
            <v>0.25</v>
          </cell>
          <cell r="AQ824">
            <v>0.25</v>
          </cell>
          <cell r="AR824">
            <v>0.25</v>
          </cell>
          <cell r="AS824">
            <v>0.25</v>
          </cell>
          <cell r="AT824">
            <v>-0.04</v>
          </cell>
          <cell r="AU824">
            <v>0.88</v>
          </cell>
          <cell r="AV824">
            <v>20</v>
          </cell>
          <cell r="AY824" t="str">
            <v/>
          </cell>
          <cell r="AZ824">
            <v>0.25</v>
          </cell>
          <cell r="BA824">
            <v>0.25</v>
          </cell>
        </row>
        <row r="825">
          <cell r="A825" t="str">
            <v>EURO INFISSI</v>
          </cell>
          <cell r="D825" t="str">
            <v>VIA S GIOACCHINO 68 PARCO DEI PINI</v>
          </cell>
          <cell r="E825" t="str">
            <v>80011</v>
          </cell>
          <cell r="F825" t="str">
            <v>ACERRA</v>
          </cell>
          <cell r="G825" t="str">
            <v>NA</v>
          </cell>
          <cell r="H825" t="str">
            <v>ITALIA</v>
          </cell>
          <cell r="M825" t="str">
            <v>UFFICIO ACQUISTI</v>
          </cell>
          <cell r="N825" t="str">
            <v>081 5200240</v>
          </cell>
          <cell r="O825" t="str">
            <v>339 3214247- 339 3133130</v>
          </cell>
          <cell r="P825" t="str">
            <v>info@euroinfissiacerra.it</v>
          </cell>
          <cell r="R825" t="str">
            <v>BONIFICO BANCARIO, ALLA DATA DELLA NOSTRA CONFERMA D'ORDINE</v>
          </cell>
          <cell r="X825">
            <v>0.25</v>
          </cell>
          <cell r="Y825">
            <v>-0.04</v>
          </cell>
          <cell r="AB825">
            <v>0.25</v>
          </cell>
          <cell r="AC825">
            <v>0.25</v>
          </cell>
          <cell r="AD825">
            <v>0.25</v>
          </cell>
          <cell r="AE825">
            <v>0.25</v>
          </cell>
          <cell r="AF825">
            <v>0.25</v>
          </cell>
          <cell r="AG825">
            <v>0.25</v>
          </cell>
          <cell r="AH825">
            <v>0.25</v>
          </cell>
          <cell r="AI825">
            <v>0.25</v>
          </cell>
          <cell r="AJ825">
            <v>0.25</v>
          </cell>
          <cell r="AK825">
            <v>0.25</v>
          </cell>
          <cell r="AL825">
            <v>0.25</v>
          </cell>
          <cell r="AM825">
            <v>0.25</v>
          </cell>
          <cell r="AN825">
            <v>0.25</v>
          </cell>
          <cell r="AO825">
            <v>0.25</v>
          </cell>
          <cell r="AP825">
            <v>0.25</v>
          </cell>
          <cell r="AQ825">
            <v>0.25</v>
          </cell>
          <cell r="AR825">
            <v>0.25</v>
          </cell>
          <cell r="AS825">
            <v>0.25</v>
          </cell>
          <cell r="AT825">
            <v>-0.04</v>
          </cell>
          <cell r="AU825">
            <v>0.92</v>
          </cell>
          <cell r="AV825">
            <v>20</v>
          </cell>
          <cell r="AY825" t="str">
            <v/>
          </cell>
          <cell r="AZ825">
            <v>0.25</v>
          </cell>
          <cell r="BA825">
            <v>0.25</v>
          </cell>
        </row>
        <row r="826">
          <cell r="A826" t="str">
            <v>EURO INFISSI DI BAGNATO GIOVANNI</v>
          </cell>
          <cell r="D826" t="str">
            <v>C.DA PROFANIA, SNC</v>
          </cell>
          <cell r="E826" t="str">
            <v>89015</v>
          </cell>
          <cell r="F826" t="str">
            <v>PALMI</v>
          </cell>
          <cell r="G826" t="str">
            <v>RC</v>
          </cell>
          <cell r="H826" t="str">
            <v>ITALIA</v>
          </cell>
          <cell r="I826" t="str">
            <v>BGNGNN82D11G288C</v>
          </cell>
          <cell r="J826" t="str">
            <v>02911390801</v>
          </cell>
          <cell r="K826" t="str">
            <v>SKUA8Y6</v>
          </cell>
          <cell r="M826" t="str">
            <v>UFFICIO ACQUISTI</v>
          </cell>
          <cell r="N826" t="str">
            <v>0966 379212</v>
          </cell>
          <cell r="P826" t="str">
            <v>euroinfissi_2013@libero.it</v>
          </cell>
          <cell r="R826" t="str">
            <v>BONIFICO BANCARIO, ALLA DATA DELLA NOSTRA CONFERMA D'ORDINE</v>
          </cell>
          <cell r="X826">
            <v>0.25</v>
          </cell>
          <cell r="Y826">
            <v>-0.04</v>
          </cell>
          <cell r="AB826">
            <v>0.25</v>
          </cell>
          <cell r="AC826">
            <v>0.25</v>
          </cell>
          <cell r="AD826">
            <v>0.25</v>
          </cell>
          <cell r="AE826">
            <v>0.25</v>
          </cell>
          <cell r="AF826">
            <v>0.25</v>
          </cell>
          <cell r="AG826">
            <v>0.25</v>
          </cell>
          <cell r="AH826">
            <v>0.25</v>
          </cell>
          <cell r="AI826">
            <v>0.25</v>
          </cell>
          <cell r="AJ826">
            <v>0.25</v>
          </cell>
          <cell r="AK826">
            <v>0.25</v>
          </cell>
          <cell r="AL826">
            <v>0.25</v>
          </cell>
          <cell r="AM826">
            <v>0.25</v>
          </cell>
          <cell r="AN826">
            <v>0.25</v>
          </cell>
          <cell r="AO826">
            <v>0.25</v>
          </cell>
          <cell r="AP826">
            <v>0.25</v>
          </cell>
          <cell r="AQ826">
            <v>0.25</v>
          </cell>
          <cell r="AR826">
            <v>0.25</v>
          </cell>
          <cell r="AS826">
            <v>0.25</v>
          </cell>
          <cell r="AT826">
            <v>-0.04</v>
          </cell>
          <cell r="AU826">
            <v>0.92</v>
          </cell>
          <cell r="AV826">
            <v>20</v>
          </cell>
          <cell r="AW826" t="str">
            <v>PIETRO OLIVADOTI</v>
          </cell>
          <cell r="AX826">
            <v>0.95</v>
          </cell>
          <cell r="AZ826">
            <v>0.25</v>
          </cell>
          <cell r="BA826">
            <v>0.25</v>
          </cell>
        </row>
        <row r="827">
          <cell r="A827" t="str">
            <v>EURO INFISSI GENOVA</v>
          </cell>
          <cell r="B827" t="str">
            <v>LASCIATO POSTER 04\12\2020 MP</v>
          </cell>
          <cell r="D827" t="str">
            <v>VIA GIUDITTA TAVANI, 10</v>
          </cell>
          <cell r="E827">
            <v>16100</v>
          </cell>
          <cell r="F827" t="str">
            <v>GENOVA</v>
          </cell>
          <cell r="G827" t="str">
            <v>GE</v>
          </cell>
          <cell r="H827" t="str">
            <v>ITALIA</v>
          </cell>
          <cell r="M827" t="str">
            <v>UFFICIO ACQUISTI</v>
          </cell>
          <cell r="O827" t="str">
            <v>380 7989027</v>
          </cell>
          <cell r="P827" t="str">
            <v>euroinfissi.genova@gmail.com</v>
          </cell>
          <cell r="R827" t="str">
            <v>BONIFICO BANCARIO, ALLA DATA DELLA NOSTRA CONFERMA D'ORDINE</v>
          </cell>
          <cell r="X827">
            <v>0.25</v>
          </cell>
          <cell r="Y827">
            <v>-0.04</v>
          </cell>
          <cell r="AB827">
            <v>0.25</v>
          </cell>
          <cell r="AC827">
            <v>0.25</v>
          </cell>
          <cell r="AD827">
            <v>0.25</v>
          </cell>
          <cell r="AE827">
            <v>0.25</v>
          </cell>
          <cell r="AF827">
            <v>0.25</v>
          </cell>
          <cell r="AG827">
            <v>0.25</v>
          </cell>
          <cell r="AH827">
            <v>0.25</v>
          </cell>
          <cell r="AI827">
            <v>0.25</v>
          </cell>
          <cell r="AJ827">
            <v>0.25</v>
          </cell>
          <cell r="AK827">
            <v>0.25</v>
          </cell>
          <cell r="AL827">
            <v>0.25</v>
          </cell>
          <cell r="AM827">
            <v>0.25</v>
          </cell>
          <cell r="AN827">
            <v>0.25</v>
          </cell>
          <cell r="AO827">
            <v>0.25</v>
          </cell>
          <cell r="AP827">
            <v>0.25</v>
          </cell>
          <cell r="AQ827">
            <v>0.25</v>
          </cell>
          <cell r="AR827">
            <v>0.25</v>
          </cell>
          <cell r="AS827">
            <v>0.25</v>
          </cell>
          <cell r="AT827">
            <v>-0.04</v>
          </cell>
          <cell r="AU827">
            <v>0.92</v>
          </cell>
          <cell r="AV827">
            <v>20</v>
          </cell>
          <cell r="AZ827">
            <v>0.25</v>
          </cell>
          <cell r="BA827">
            <v>0.25</v>
          </cell>
        </row>
        <row r="828">
          <cell r="A828" t="str">
            <v>EURO INFISSI S.A.S. DI BELLINA VINCENZO &amp; C.</v>
          </cell>
          <cell r="D828" t="str">
            <v>VIA CERCA, 1 A</v>
          </cell>
          <cell r="E828" t="str">
            <v>20049</v>
          </cell>
          <cell r="F828" t="str">
            <v>CALEPPIO</v>
          </cell>
          <cell r="G828" t="str">
            <v>MI</v>
          </cell>
          <cell r="H828" t="str">
            <v>ITALIA</v>
          </cell>
          <cell r="M828" t="str">
            <v>UFFICIO ACQUISTI</v>
          </cell>
          <cell r="N828" t="str">
            <v>02 9589147</v>
          </cell>
          <cell r="R828" t="str">
            <v>BONIFICO BANCARIO, ALLA DATA DELLA NOSTRA CONFERMA D'ORDINE</v>
          </cell>
          <cell r="X828">
            <v>0.25</v>
          </cell>
          <cell r="Y828">
            <v>-0.04</v>
          </cell>
          <cell r="AB828">
            <v>0.25</v>
          </cell>
          <cell r="AC828">
            <v>0.25</v>
          </cell>
          <cell r="AD828">
            <v>0.25</v>
          </cell>
          <cell r="AE828">
            <v>0.25</v>
          </cell>
          <cell r="AF828">
            <v>0.25</v>
          </cell>
          <cell r="AG828">
            <v>0.25</v>
          </cell>
          <cell r="AH828">
            <v>0.25</v>
          </cell>
          <cell r="AI828">
            <v>0.25</v>
          </cell>
          <cell r="AJ828">
            <v>0.25</v>
          </cell>
          <cell r="AK828">
            <v>0.25</v>
          </cell>
          <cell r="AL828">
            <v>0.25</v>
          </cell>
          <cell r="AM828">
            <v>0.25</v>
          </cell>
          <cell r="AN828">
            <v>0.25</v>
          </cell>
          <cell r="AO828">
            <v>0.25</v>
          </cell>
          <cell r="AP828">
            <v>0.25</v>
          </cell>
          <cell r="AQ828">
            <v>0.25</v>
          </cell>
          <cell r="AR828">
            <v>0.25</v>
          </cell>
          <cell r="AS828">
            <v>0.25</v>
          </cell>
          <cell r="AT828">
            <v>-0.04</v>
          </cell>
          <cell r="AU828">
            <v>0.92</v>
          </cell>
          <cell r="AV828">
            <v>20</v>
          </cell>
          <cell r="AZ828">
            <v>0.25</v>
          </cell>
          <cell r="BA828">
            <v>0.25</v>
          </cell>
        </row>
        <row r="829">
          <cell r="A829" t="str">
            <v xml:space="preserve">EURO INFISSI SAS DI BELLINA VINCENZO E C. </v>
          </cell>
          <cell r="D829" t="str">
            <v>VIA CERCA 1/A</v>
          </cell>
          <cell r="E829" t="str">
            <v>20090</v>
          </cell>
          <cell r="F829" t="str">
            <v>CALEPPIO DI SETTALA</v>
          </cell>
          <cell r="G829" t="str">
            <v>MI</v>
          </cell>
          <cell r="H829" t="str">
            <v>ITALIA</v>
          </cell>
          <cell r="J829" t="str">
            <v>06717210964</v>
          </cell>
          <cell r="M829" t="str">
            <v>UFFICIO ACQUISTI</v>
          </cell>
          <cell r="N829" t="str">
            <v>02 9589147</v>
          </cell>
          <cell r="O829" t="str">
            <v>338 4009158</v>
          </cell>
          <cell r="R829" t="str">
            <v>BONIFICO BANCARIO, ALLA DATA DELLA NOSTRA CONFERMA D'ORDINE</v>
          </cell>
          <cell r="X829">
            <v>0.25</v>
          </cell>
          <cell r="Y829">
            <v>-0.04</v>
          </cell>
          <cell r="AB829">
            <v>0.25</v>
          </cell>
          <cell r="AC829">
            <v>0.25</v>
          </cell>
          <cell r="AD829">
            <v>0.25</v>
          </cell>
          <cell r="AE829">
            <v>0.25</v>
          </cell>
          <cell r="AF829">
            <v>0.25</v>
          </cell>
          <cell r="AG829">
            <v>0.25</v>
          </cell>
          <cell r="AH829">
            <v>0.25</v>
          </cell>
          <cell r="AI829">
            <v>0.25</v>
          </cell>
          <cell r="AJ829">
            <v>0.25</v>
          </cell>
          <cell r="AK829">
            <v>0.25</v>
          </cell>
          <cell r="AL829">
            <v>0.25</v>
          </cell>
          <cell r="AM829">
            <v>0.25</v>
          </cell>
          <cell r="AN829">
            <v>0.25</v>
          </cell>
          <cell r="AO829">
            <v>0.25</v>
          </cell>
          <cell r="AP829">
            <v>0.25</v>
          </cell>
          <cell r="AQ829">
            <v>0.25</v>
          </cell>
          <cell r="AR829">
            <v>0.25</v>
          </cell>
          <cell r="AS829">
            <v>0.25</v>
          </cell>
          <cell r="AT829">
            <v>-0.04</v>
          </cell>
          <cell r="AU829">
            <v>0.92</v>
          </cell>
          <cell r="AV829">
            <v>20</v>
          </cell>
          <cell r="AY829" t="str">
            <v/>
          </cell>
          <cell r="AZ829">
            <v>0.25</v>
          </cell>
          <cell r="BA829">
            <v>0.25</v>
          </cell>
        </row>
        <row r="830">
          <cell r="A830" t="str">
            <v>EURO INFISSI SRL</v>
          </cell>
          <cell r="D830" t="str">
            <v>VIA C. DRAGONI, 28</v>
          </cell>
          <cell r="E830">
            <v>52037</v>
          </cell>
          <cell r="F830" t="str">
            <v>SANSEPOLCRO</v>
          </cell>
          <cell r="G830" t="str">
            <v>AR</v>
          </cell>
          <cell r="H830" t="str">
            <v>ITALIA</v>
          </cell>
          <cell r="I830" t="str">
            <v>01105080517</v>
          </cell>
          <cell r="J830" t="str">
            <v>01105080517</v>
          </cell>
          <cell r="M830" t="str">
            <v>UFFICIO ACQUISTI</v>
          </cell>
          <cell r="N830" t="str">
            <v>0575 7200139</v>
          </cell>
          <cell r="P830" t="str">
            <v>info@euroinfissisrl.it</v>
          </cell>
          <cell r="R830" t="str">
            <v>BONIFICO BANCARIO, ALLA DATA DELLA NOSTRA CONFERMA D'ORDINE</v>
          </cell>
          <cell r="X830">
            <v>0.25</v>
          </cell>
          <cell r="Y830">
            <v>-0.04</v>
          </cell>
          <cell r="AB830">
            <v>0.25</v>
          </cell>
          <cell r="AC830">
            <v>0.25</v>
          </cell>
          <cell r="AD830">
            <v>0.25</v>
          </cell>
          <cell r="AE830">
            <v>0.25</v>
          </cell>
          <cell r="AF830">
            <v>0.25</v>
          </cell>
          <cell r="AG830">
            <v>0.25</v>
          </cell>
          <cell r="AH830">
            <v>0.25</v>
          </cell>
          <cell r="AI830">
            <v>0.25</v>
          </cell>
          <cell r="AJ830">
            <v>0.25</v>
          </cell>
          <cell r="AK830">
            <v>0.25</v>
          </cell>
          <cell r="AL830">
            <v>0.25</v>
          </cell>
          <cell r="AM830">
            <v>0.25</v>
          </cell>
          <cell r="AN830">
            <v>0.25</v>
          </cell>
          <cell r="AO830">
            <v>0.25</v>
          </cell>
          <cell r="AP830">
            <v>0.25</v>
          </cell>
          <cell r="AQ830">
            <v>0.25</v>
          </cell>
          <cell r="AR830">
            <v>0.25</v>
          </cell>
          <cell r="AS830">
            <v>0.25</v>
          </cell>
          <cell r="AT830">
            <v>-0.04</v>
          </cell>
          <cell r="AU830">
            <v>0.92</v>
          </cell>
          <cell r="AV830">
            <v>20</v>
          </cell>
          <cell r="AZ830">
            <v>0.25</v>
          </cell>
          <cell r="BA830">
            <v>0.25</v>
          </cell>
        </row>
        <row r="831">
          <cell r="A831" t="str">
            <v>EURO SERRAMENTI</v>
          </cell>
          <cell r="D831" t="str">
            <v>VIA BORGONATO, 3</v>
          </cell>
          <cell r="E831">
            <v>25050</v>
          </cell>
          <cell r="F831" t="str">
            <v>PROVAGLIO D'ISEO</v>
          </cell>
          <cell r="G831" t="str">
            <v>BS</v>
          </cell>
          <cell r="H831" t="str">
            <v>ITALIA</v>
          </cell>
          <cell r="M831" t="str">
            <v>UFFICIO ACQUISTI</v>
          </cell>
          <cell r="N831" t="str">
            <v>030 983109</v>
          </cell>
          <cell r="O831" t="str">
            <v>Marco Righini 333 9593639</v>
          </cell>
          <cell r="P831" t="str">
            <v>info@euroserramentipvcbrescia.it</v>
          </cell>
          <cell r="R831" t="str">
            <v>BONIFICO BANCARIO, ALLA DATA DELLA NOSTRA CONFERMA D'ORDINE</v>
          </cell>
          <cell r="X831">
            <v>0.25</v>
          </cell>
          <cell r="Y831">
            <v>-0.04</v>
          </cell>
          <cell r="AB831">
            <v>0.25</v>
          </cell>
          <cell r="AC831">
            <v>0.25</v>
          </cell>
          <cell r="AD831">
            <v>0.25</v>
          </cell>
          <cell r="AE831">
            <v>0.25</v>
          </cell>
          <cell r="AF831">
            <v>0.25</v>
          </cell>
          <cell r="AG831">
            <v>0.25</v>
          </cell>
          <cell r="AH831">
            <v>0.25</v>
          </cell>
          <cell r="AI831">
            <v>0.25</v>
          </cell>
          <cell r="AJ831">
            <v>0.25</v>
          </cell>
          <cell r="AK831">
            <v>0.25</v>
          </cell>
          <cell r="AL831">
            <v>0.25</v>
          </cell>
          <cell r="AM831">
            <v>0.25</v>
          </cell>
          <cell r="AN831">
            <v>0.25</v>
          </cell>
          <cell r="AO831">
            <v>0.25</v>
          </cell>
          <cell r="AP831">
            <v>0.25</v>
          </cell>
          <cell r="AQ831">
            <v>0.25</v>
          </cell>
          <cell r="AR831">
            <v>0.25</v>
          </cell>
          <cell r="AS831">
            <v>0.25</v>
          </cell>
          <cell r="AT831">
            <v>-0.04</v>
          </cell>
          <cell r="AU831">
            <v>0.92</v>
          </cell>
          <cell r="AV831">
            <v>20</v>
          </cell>
          <cell r="AZ831">
            <v>0.25</v>
          </cell>
          <cell r="BA831">
            <v>0.25</v>
          </cell>
        </row>
        <row r="832">
          <cell r="A832" t="str">
            <v>EURO SERRAMENTI S.A.S. DI SAVIN M.P. &amp; C.</v>
          </cell>
          <cell r="B832" t="str">
            <v>NON VORREBBERO IL TRASPORTO CON BRT MA PREFERISCONO IL FERMODEPOSITO CON GLS 22/12/19 MP</v>
          </cell>
          <cell r="C832" t="str">
            <v>AL3</v>
          </cell>
          <cell r="D832" t="str">
            <v>Via Don Giuseppe Giovine, 17</v>
          </cell>
          <cell r="E832">
            <v>15121</v>
          </cell>
          <cell r="F832" t="str">
            <v>ALESSANDRIA</v>
          </cell>
          <cell r="G832" t="str">
            <v>AL</v>
          </cell>
          <cell r="H832" t="str">
            <v>ITALIA</v>
          </cell>
          <cell r="I832" t="str">
            <v>02383150063</v>
          </cell>
          <cell r="J832" t="str">
            <v>02383150063</v>
          </cell>
          <cell r="K832" t="str">
            <v>M5UXCR1</v>
          </cell>
          <cell r="M832" t="str">
            <v>UFFICIO ACQUISTI</v>
          </cell>
          <cell r="N832" t="str">
            <v>0131 481309</v>
          </cell>
          <cell r="O832" t="str">
            <v>366 9521742</v>
          </cell>
          <cell r="P832" t="str">
            <v>info@euroserramential.it</v>
          </cell>
          <cell r="R832" t="str">
            <v>BONIFICO BANCARIO, ALLA DATA DELLA NOSTRA CONFERMA D'ORDINE</v>
          </cell>
          <cell r="X832">
            <v>0.25</v>
          </cell>
          <cell r="Y832">
            <v>-0.04</v>
          </cell>
          <cell r="AB832">
            <v>0.25</v>
          </cell>
          <cell r="AC832">
            <v>0.25</v>
          </cell>
          <cell r="AD832">
            <v>0.25</v>
          </cell>
          <cell r="AE832">
            <v>0.25</v>
          </cell>
          <cell r="AF832">
            <v>0.25</v>
          </cell>
          <cell r="AG832">
            <v>0.25</v>
          </cell>
          <cell r="AH832">
            <v>0.25</v>
          </cell>
          <cell r="AI832">
            <v>0.25</v>
          </cell>
          <cell r="AJ832">
            <v>0.25</v>
          </cell>
          <cell r="AK832">
            <v>0.25</v>
          </cell>
          <cell r="AL832">
            <v>0.25</v>
          </cell>
          <cell r="AM832">
            <v>0.25</v>
          </cell>
          <cell r="AN832">
            <v>0.25</v>
          </cell>
          <cell r="AO832">
            <v>0.25</v>
          </cell>
          <cell r="AP832">
            <v>0.25</v>
          </cell>
          <cell r="AQ832">
            <v>0.25</v>
          </cell>
          <cell r="AR832">
            <v>0.25</v>
          </cell>
          <cell r="AS832">
            <v>0.25</v>
          </cell>
          <cell r="AT832">
            <v>-0.04</v>
          </cell>
          <cell r="AU832">
            <v>0.92</v>
          </cell>
          <cell r="AV832">
            <v>20</v>
          </cell>
          <cell r="AY832" t="str">
            <v/>
          </cell>
          <cell r="AZ832">
            <v>0.25</v>
          </cell>
          <cell r="BA832">
            <v>0.25</v>
          </cell>
          <cell r="BF832" t="str">
            <v>CLICK RAPID con carpenteria 20/01/2020</v>
          </cell>
        </row>
        <row r="833">
          <cell r="A833" t="str">
            <v>EURO SERRAMENTI SRL</v>
          </cell>
          <cell r="D833" t="str">
            <v>VIA DON MINZONI, 145-7-9</v>
          </cell>
          <cell r="E833">
            <v>41125</v>
          </cell>
          <cell r="F833" t="str">
            <v>MODENA</v>
          </cell>
          <cell r="G833" t="str">
            <v>MO</v>
          </cell>
          <cell r="H833" t="str">
            <v>ITALIA</v>
          </cell>
          <cell r="M833" t="str">
            <v>UFFICIO ACQUISTI</v>
          </cell>
          <cell r="N833" t="str">
            <v>059 395002</v>
          </cell>
          <cell r="R833" t="str">
            <v>BONIFICO BANCARIO, ALLA DATA DELLA NOSTRA CONFERMA D'ORDINE</v>
          </cell>
          <cell r="X833">
            <v>0.25</v>
          </cell>
          <cell r="Y833">
            <v>-0.04</v>
          </cell>
          <cell r="AB833">
            <v>0.25</v>
          </cell>
          <cell r="AC833">
            <v>0.25</v>
          </cell>
          <cell r="AD833">
            <v>0.25</v>
          </cell>
          <cell r="AE833">
            <v>0.25</v>
          </cell>
          <cell r="AF833">
            <v>0.25</v>
          </cell>
          <cell r="AG833">
            <v>0.25</v>
          </cell>
          <cell r="AH833">
            <v>0.25</v>
          </cell>
          <cell r="AI833">
            <v>0.25</v>
          </cell>
          <cell r="AJ833">
            <v>0.25</v>
          </cell>
          <cell r="AK833">
            <v>0.25</v>
          </cell>
          <cell r="AL833">
            <v>0.25</v>
          </cell>
          <cell r="AM833">
            <v>0.25</v>
          </cell>
          <cell r="AN833">
            <v>0.25</v>
          </cell>
          <cell r="AO833">
            <v>0.25</v>
          </cell>
          <cell r="AP833">
            <v>0.25</v>
          </cell>
          <cell r="AQ833">
            <v>0.25</v>
          </cell>
          <cell r="AR833">
            <v>0.25</v>
          </cell>
          <cell r="AS833">
            <v>0.25</v>
          </cell>
          <cell r="AT833">
            <v>-0.04</v>
          </cell>
          <cell r="AU833">
            <v>0.92</v>
          </cell>
          <cell r="AV833">
            <v>20</v>
          </cell>
          <cell r="AY833" t="str">
            <v/>
          </cell>
          <cell r="AZ833">
            <v>0.25</v>
          </cell>
          <cell r="BA833">
            <v>0.25</v>
          </cell>
        </row>
        <row r="834">
          <cell r="A834" t="str">
            <v>EURO WINDOWS srl</v>
          </cell>
          <cell r="D834" t="str">
            <v>VIA ANTONIO CANTORE, 60</v>
          </cell>
          <cell r="E834">
            <v>16149</v>
          </cell>
          <cell r="F834" t="str">
            <v>GENOVA</v>
          </cell>
          <cell r="G834" t="str">
            <v>GE</v>
          </cell>
          <cell r="H834" t="str">
            <v>ITALIA</v>
          </cell>
          <cell r="M834" t="str">
            <v>UFFICIO ACQUISTI</v>
          </cell>
          <cell r="O834" t="str">
            <v>346 0118832</v>
          </cell>
          <cell r="P834" t="str">
            <v>eurowindows.ge@gmail.com</v>
          </cell>
          <cell r="R834" t="str">
            <v>BONIFICO BANCARIO, ALLA DATA DELLA NOSTRA CONFERMA D'ORDINE</v>
          </cell>
          <cell r="X834">
            <v>0.25</v>
          </cell>
          <cell r="Y834">
            <v>-0.04</v>
          </cell>
          <cell r="AB834">
            <v>0.25</v>
          </cell>
          <cell r="AC834">
            <v>0.25</v>
          </cell>
          <cell r="AD834">
            <v>0.25</v>
          </cell>
          <cell r="AE834">
            <v>0.25</v>
          </cell>
          <cell r="AF834">
            <v>0.25</v>
          </cell>
          <cell r="AG834">
            <v>0.25</v>
          </cell>
          <cell r="AH834">
            <v>0.25</v>
          </cell>
          <cell r="AI834">
            <v>0.25</v>
          </cell>
          <cell r="AJ834">
            <v>0.25</v>
          </cell>
          <cell r="AK834">
            <v>0.25</v>
          </cell>
          <cell r="AL834">
            <v>0.25</v>
          </cell>
          <cell r="AM834">
            <v>0.25</v>
          </cell>
          <cell r="AN834">
            <v>0.25</v>
          </cell>
          <cell r="AO834">
            <v>0.25</v>
          </cell>
          <cell r="AP834">
            <v>0.25</v>
          </cell>
          <cell r="AQ834">
            <v>0.25</v>
          </cell>
          <cell r="AR834">
            <v>0.25</v>
          </cell>
          <cell r="AS834">
            <v>0.25</v>
          </cell>
          <cell r="AT834">
            <v>-0.04</v>
          </cell>
          <cell r="AU834">
            <v>0.92</v>
          </cell>
          <cell r="AV834">
            <v>20</v>
          </cell>
          <cell r="AZ834">
            <v>0.25</v>
          </cell>
          <cell r="BA834">
            <v>0.25</v>
          </cell>
        </row>
        <row r="835">
          <cell r="A835" t="str">
            <v>EUROFER L'ARTE DEL FERRO</v>
          </cell>
          <cell r="D835" t="str">
            <v>VIA DELL'ARTIGIANATO, 1</v>
          </cell>
          <cell r="E835" t="str">
            <v>44022</v>
          </cell>
          <cell r="F835" t="str">
            <v>SAN GIUSEPPE</v>
          </cell>
          <cell r="G835" t="str">
            <v>FE</v>
          </cell>
          <cell r="H835" t="str">
            <v>ITALIA</v>
          </cell>
          <cell r="M835" t="str">
            <v>UFFICIO ACQUISTI</v>
          </cell>
          <cell r="N835" t="str">
            <v>0533 380057</v>
          </cell>
          <cell r="O835" t="str">
            <v>338 2791996</v>
          </cell>
          <cell r="P835" t="str">
            <v>eurofersnc@libero.it</v>
          </cell>
          <cell r="R835" t="str">
            <v>BONIFICO BANCARIO, ALLA DATA DELLA NOSTRA CONFERMA D'ORDINE</v>
          </cell>
          <cell r="X835">
            <v>0.25</v>
          </cell>
          <cell r="Y835">
            <v>-0.04</v>
          </cell>
          <cell r="AB835">
            <v>0.25</v>
          </cell>
          <cell r="AC835">
            <v>0.25</v>
          </cell>
          <cell r="AD835">
            <v>0.25</v>
          </cell>
          <cell r="AE835">
            <v>0.25</v>
          </cell>
          <cell r="AF835">
            <v>0.25</v>
          </cell>
          <cell r="AG835">
            <v>0.25</v>
          </cell>
          <cell r="AH835">
            <v>0.25</v>
          </cell>
          <cell r="AI835">
            <v>0.25</v>
          </cell>
          <cell r="AJ835">
            <v>0.25</v>
          </cell>
          <cell r="AK835">
            <v>0.25</v>
          </cell>
          <cell r="AL835">
            <v>0.25</v>
          </cell>
          <cell r="AM835">
            <v>0.25</v>
          </cell>
          <cell r="AN835">
            <v>0.25</v>
          </cell>
          <cell r="AO835">
            <v>0.25</v>
          </cell>
          <cell r="AP835">
            <v>0.25</v>
          </cell>
          <cell r="AQ835">
            <v>0.25</v>
          </cell>
          <cell r="AR835">
            <v>0.25</v>
          </cell>
          <cell r="AS835">
            <v>0.25</v>
          </cell>
          <cell r="AT835">
            <v>-0.04</v>
          </cell>
          <cell r="AU835">
            <v>0.92</v>
          </cell>
          <cell r="AV835">
            <v>20</v>
          </cell>
          <cell r="AZ835">
            <v>0.25</v>
          </cell>
          <cell r="BA835">
            <v>0.25</v>
          </cell>
        </row>
        <row r="836">
          <cell r="A836" t="str">
            <v>EUROFINESTRA GROUP</v>
          </cell>
          <cell r="B836" t="str">
            <v>MICHELE VALLINO</v>
          </cell>
          <cell r="D836" t="str">
            <v>S.S. OSTIGLIESE, 95  1</v>
          </cell>
          <cell r="E836">
            <v>46037</v>
          </cell>
          <cell r="F836" t="str">
            <v>GOVERNOLO</v>
          </cell>
          <cell r="G836" t="str">
            <v>MN</v>
          </cell>
          <cell r="H836" t="str">
            <v>ITALIA</v>
          </cell>
          <cell r="I836" t="str">
            <v>02400680209</v>
          </cell>
          <cell r="J836" t="str">
            <v>02400680209</v>
          </cell>
          <cell r="M836" t="str">
            <v>UFFICIO ACQUISTI</v>
          </cell>
          <cell r="N836" t="str">
            <v>0376 668028</v>
          </cell>
          <cell r="P836" t="str">
            <v>eurofinestrasas@legalmail.it</v>
          </cell>
          <cell r="R836" t="str">
            <v>BONIFICO BANCARIO, ALLA DATA DELLA NOSTRA CONFERMA D'ORDINE</v>
          </cell>
          <cell r="X836">
            <v>0.25</v>
          </cell>
          <cell r="Y836">
            <v>-0.04</v>
          </cell>
          <cell r="AB836">
            <v>0.25</v>
          </cell>
          <cell r="AC836">
            <v>0.25</v>
          </cell>
          <cell r="AD836">
            <v>0.25</v>
          </cell>
          <cell r="AE836">
            <v>0.25</v>
          </cell>
          <cell r="AF836">
            <v>0.25</v>
          </cell>
          <cell r="AG836">
            <v>0.25</v>
          </cell>
          <cell r="AH836">
            <v>0.25</v>
          </cell>
          <cell r="AI836">
            <v>0.25</v>
          </cell>
          <cell r="AJ836">
            <v>0.25</v>
          </cell>
          <cell r="AK836">
            <v>0.25</v>
          </cell>
          <cell r="AL836">
            <v>0.25</v>
          </cell>
          <cell r="AM836">
            <v>0.25</v>
          </cell>
          <cell r="AN836">
            <v>0.25</v>
          </cell>
          <cell r="AO836">
            <v>0.25</v>
          </cell>
          <cell r="AP836">
            <v>0.25</v>
          </cell>
          <cell r="AQ836">
            <v>0.25</v>
          </cell>
          <cell r="AR836">
            <v>0.25</v>
          </cell>
          <cell r="AS836">
            <v>0.25</v>
          </cell>
          <cell r="AT836">
            <v>-0.04</v>
          </cell>
          <cell r="AU836">
            <v>0.92</v>
          </cell>
          <cell r="AV836">
            <v>20</v>
          </cell>
          <cell r="AY836" t="str">
            <v/>
          </cell>
          <cell r="AZ836">
            <v>0.25</v>
          </cell>
          <cell r="BA836">
            <v>0.25</v>
          </cell>
        </row>
        <row r="837">
          <cell r="A837" t="str">
            <v>EUROFINESTRE SRL</v>
          </cell>
          <cell r="B837" t="str">
            <v>PASSA IL LISTINO ALLA SEDE , NON HA RICHIESTE</v>
          </cell>
          <cell r="D837" t="str">
            <v>VIALE DELLA CIRCONVALLAZIONE, 37 L</v>
          </cell>
          <cell r="E837" t="str">
            <v>47922</v>
          </cell>
          <cell r="F837" t="str">
            <v>RIMINI</v>
          </cell>
          <cell r="G837" t="str">
            <v>RN</v>
          </cell>
          <cell r="H837" t="str">
            <v>ITALIA</v>
          </cell>
          <cell r="M837" t="str">
            <v>UFFICIO ACQUISTI</v>
          </cell>
          <cell r="O837" t="str">
            <v>366 9780578</v>
          </cell>
          <cell r="P837" t="str">
            <v>stefano.segoni@eurofinestre.it</v>
          </cell>
          <cell r="R837" t="str">
            <v>BONIFICO BANCARIO, ALLA DATA DELLA NOSTRA CONFERMA D'ORDINE</v>
          </cell>
          <cell r="X837">
            <v>0.15</v>
          </cell>
          <cell r="Y837">
            <v>-0.04</v>
          </cell>
          <cell r="AB837">
            <v>0.15</v>
          </cell>
          <cell r="AC837">
            <v>0.15</v>
          </cell>
          <cell r="AD837">
            <v>0.15</v>
          </cell>
          <cell r="AE837">
            <v>0.15</v>
          </cell>
          <cell r="AF837">
            <v>0.15</v>
          </cell>
          <cell r="AG837">
            <v>0.15</v>
          </cell>
          <cell r="AH837">
            <v>0.15</v>
          </cell>
          <cell r="AI837">
            <v>0.15</v>
          </cell>
          <cell r="AJ837">
            <v>0.15</v>
          </cell>
          <cell r="AK837">
            <v>0.15</v>
          </cell>
          <cell r="AL837">
            <v>0.15</v>
          </cell>
          <cell r="AM837">
            <v>0.15</v>
          </cell>
          <cell r="AN837">
            <v>0.15</v>
          </cell>
          <cell r="AO837">
            <v>0.15</v>
          </cell>
          <cell r="AP837">
            <v>0.15</v>
          </cell>
          <cell r="AQ837">
            <v>0.15</v>
          </cell>
          <cell r="AR837">
            <v>0.15</v>
          </cell>
          <cell r="AS837">
            <v>0.15</v>
          </cell>
          <cell r="AT837">
            <v>-0.04</v>
          </cell>
          <cell r="AU837">
            <v>0.92</v>
          </cell>
          <cell r="AV837">
            <v>20</v>
          </cell>
          <cell r="AZ837">
            <v>0.15</v>
          </cell>
          <cell r="BA837">
            <v>0.15</v>
          </cell>
        </row>
        <row r="838">
          <cell r="A838" t="str">
            <v xml:space="preserve">EUROINFISSI DI ARONA RAFFAELE </v>
          </cell>
          <cell r="B838" t="str">
            <v>ELEANDRO ARONA, CAMPIONE SCONTO 30%</v>
          </cell>
          <cell r="D838" t="str">
            <v>VIA CAVOUR 30 A</v>
          </cell>
          <cell r="F838" t="str">
            <v>PORTO SANT'ELPIDIO</v>
          </cell>
          <cell r="G838" t="str">
            <v>FM</v>
          </cell>
          <cell r="H838" t="str">
            <v>ITALIA</v>
          </cell>
          <cell r="M838" t="str">
            <v>UFFICIO ACQUISTI</v>
          </cell>
          <cell r="O838" t="str">
            <v>320 1574301</v>
          </cell>
          <cell r="P838" t="str">
            <v>euroinfissief@libero.it</v>
          </cell>
          <cell r="R838" t="str">
            <v>BONIFICO BANCARIO, ALLA DATA DELLA NOSTRA CONFERMA D'ORDINE</v>
          </cell>
          <cell r="X838">
            <v>0.25</v>
          </cell>
          <cell r="Y838">
            <v>-0.04</v>
          </cell>
          <cell r="AB838">
            <v>0.25</v>
          </cell>
          <cell r="AC838">
            <v>0.25</v>
          </cell>
          <cell r="AD838">
            <v>0.25</v>
          </cell>
          <cell r="AE838">
            <v>0.25</v>
          </cell>
          <cell r="AF838">
            <v>0.25</v>
          </cell>
          <cell r="AG838">
            <v>0.25</v>
          </cell>
          <cell r="AH838">
            <v>0.25</v>
          </cell>
          <cell r="AI838">
            <v>0.25</v>
          </cell>
          <cell r="AJ838">
            <v>0.25</v>
          </cell>
          <cell r="AK838">
            <v>0.25</v>
          </cell>
          <cell r="AL838">
            <v>0.25</v>
          </cell>
          <cell r="AM838">
            <v>0.25</v>
          </cell>
          <cell r="AN838">
            <v>0.25</v>
          </cell>
          <cell r="AO838">
            <v>0.25</v>
          </cell>
          <cell r="AP838">
            <v>0.25</v>
          </cell>
          <cell r="AQ838">
            <v>0.25</v>
          </cell>
          <cell r="AR838">
            <v>0.25</v>
          </cell>
          <cell r="AS838">
            <v>0.25</v>
          </cell>
          <cell r="AT838">
            <v>-0.04</v>
          </cell>
          <cell r="AU838">
            <v>0.92</v>
          </cell>
          <cell r="AV838">
            <v>20</v>
          </cell>
          <cell r="AY838" t="str">
            <v/>
          </cell>
          <cell r="AZ838">
            <v>0.25</v>
          </cell>
          <cell r="BA838">
            <v>0.25</v>
          </cell>
        </row>
        <row r="839">
          <cell r="A839" t="str">
            <v xml:space="preserve">EUROINFISSI SIRACUSA </v>
          </cell>
          <cell r="D839" t="str">
            <v>VIA FRANCICANAVA, 12 14</v>
          </cell>
          <cell r="E839">
            <v>96100</v>
          </cell>
          <cell r="F839" t="str">
            <v>SIRACUSA</v>
          </cell>
          <cell r="G839" t="str">
            <v>SR</v>
          </cell>
          <cell r="H839" t="str">
            <v>ITALIA</v>
          </cell>
          <cell r="J839" t="str">
            <v>01595860899</v>
          </cell>
          <cell r="M839" t="str">
            <v>UFFICIO ACQUISTI</v>
          </cell>
          <cell r="N839" t="str">
            <v>0931 702529</v>
          </cell>
          <cell r="P839" t="str">
            <v>euroinfissisiracusa.it</v>
          </cell>
          <cell r="R839" t="str">
            <v>BONIFICO BANCARIO, ALLA DATA DELLA NOSTRA CONFERMA D'ORDINE</v>
          </cell>
          <cell r="X839">
            <v>0.25</v>
          </cell>
          <cell r="Y839">
            <v>-0.04</v>
          </cell>
          <cell r="AB839">
            <v>0.25</v>
          </cell>
          <cell r="AC839">
            <v>0.25</v>
          </cell>
          <cell r="AD839">
            <v>0.25</v>
          </cell>
          <cell r="AE839">
            <v>0.25</v>
          </cell>
          <cell r="AF839">
            <v>0.25</v>
          </cell>
          <cell r="AG839">
            <v>0.25</v>
          </cell>
          <cell r="AH839">
            <v>0.25</v>
          </cell>
          <cell r="AI839">
            <v>0.25</v>
          </cell>
          <cell r="AJ839">
            <v>0.25</v>
          </cell>
          <cell r="AK839">
            <v>0.25</v>
          </cell>
          <cell r="AL839">
            <v>0.25</v>
          </cell>
          <cell r="AM839">
            <v>0.25</v>
          </cell>
          <cell r="AN839">
            <v>0.25</v>
          </cell>
          <cell r="AO839">
            <v>0.25</v>
          </cell>
          <cell r="AP839">
            <v>0.25</v>
          </cell>
          <cell r="AQ839">
            <v>0.25</v>
          </cell>
          <cell r="AR839">
            <v>0.25</v>
          </cell>
          <cell r="AS839">
            <v>0.25</v>
          </cell>
          <cell r="AT839">
            <v>-0.04</v>
          </cell>
          <cell r="AU839">
            <v>0.92</v>
          </cell>
          <cell r="AV839">
            <v>20</v>
          </cell>
          <cell r="AY839" t="str">
            <v/>
          </cell>
          <cell r="AZ839">
            <v>0.25</v>
          </cell>
          <cell r="BA839">
            <v>0.25</v>
          </cell>
        </row>
        <row r="840">
          <cell r="A840" t="str">
            <v>EUROINFISSI SRL</v>
          </cell>
          <cell r="D840" t="str">
            <v>VIA MONTE GRAPPA, 35</v>
          </cell>
          <cell r="E840">
            <v>72100</v>
          </cell>
          <cell r="F840" t="str">
            <v>BRINDISI</v>
          </cell>
          <cell r="G840" t="str">
            <v>BR</v>
          </cell>
          <cell r="H840" t="str">
            <v>ITALIA</v>
          </cell>
          <cell r="M840" t="str">
            <v>UFFICIO ACQUISTI</v>
          </cell>
          <cell r="N840" t="str">
            <v>0831 521322</v>
          </cell>
          <cell r="P840" t="str">
            <v>info@euroinfissisrl.net</v>
          </cell>
          <cell r="R840" t="str">
            <v>BONIFICO BANCARIO, ALLA DATA DELLA NOSTRA CONFERMA D'ORDINE</v>
          </cell>
          <cell r="X840">
            <v>0.25</v>
          </cell>
          <cell r="Y840">
            <v>-0.04</v>
          </cell>
          <cell r="AB840">
            <v>0.25</v>
          </cell>
          <cell r="AC840">
            <v>0.25</v>
          </cell>
          <cell r="AD840">
            <v>0.25</v>
          </cell>
          <cell r="AE840">
            <v>0.25</v>
          </cell>
          <cell r="AF840">
            <v>0.25</v>
          </cell>
          <cell r="AG840">
            <v>0.25</v>
          </cell>
          <cell r="AH840">
            <v>0.25</v>
          </cell>
          <cell r="AI840">
            <v>0.25</v>
          </cell>
          <cell r="AJ840">
            <v>0.25</v>
          </cell>
          <cell r="AK840">
            <v>0.25</v>
          </cell>
          <cell r="AL840">
            <v>0.25</v>
          </cell>
          <cell r="AM840">
            <v>0.25</v>
          </cell>
          <cell r="AN840">
            <v>0.25</v>
          </cell>
          <cell r="AO840">
            <v>0.25</v>
          </cell>
          <cell r="AP840">
            <v>0.25</v>
          </cell>
          <cell r="AQ840">
            <v>0.25</v>
          </cell>
          <cell r="AR840">
            <v>0.25</v>
          </cell>
          <cell r="AS840">
            <v>0.25</v>
          </cell>
          <cell r="AT840">
            <v>-0.04</v>
          </cell>
          <cell r="AU840">
            <v>0.92</v>
          </cell>
          <cell r="AV840">
            <v>20</v>
          </cell>
          <cell r="AZ840">
            <v>0.25</v>
          </cell>
          <cell r="BA840">
            <v>0.25</v>
          </cell>
        </row>
        <row r="841">
          <cell r="A841" t="str">
            <v>EUROLEADER INFISSI DI FORTEZZA</v>
          </cell>
          <cell r="B841" t="str">
            <v>SOLO BIGLIETTO DA VISITA</v>
          </cell>
          <cell r="D841" t="str">
            <v>VIA P.MASTINO, 1</v>
          </cell>
          <cell r="E841" t="str">
            <v>08100</v>
          </cell>
          <cell r="F841" t="str">
            <v>NUORO</v>
          </cell>
          <cell r="G841" t="str">
            <v>NU</v>
          </cell>
          <cell r="H841" t="str">
            <v>ITALIA</v>
          </cell>
          <cell r="J841" t="str">
            <v>01066480912</v>
          </cell>
          <cell r="M841" t="str">
            <v>UFFICIO ACQUISTI</v>
          </cell>
          <cell r="N841" t="str">
            <v>0784 33913</v>
          </cell>
          <cell r="O841" t="str">
            <v>320 6610611   377 20441092</v>
          </cell>
          <cell r="P841" t="str">
            <v>euroleader.infissi@alice.it</v>
          </cell>
          <cell r="R841" t="str">
            <v>BONIFICO BANCARIO, ALLA DATA DELLA NOSTRA CONFERMA D'ORDINE</v>
          </cell>
          <cell r="X841">
            <v>0.25</v>
          </cell>
          <cell r="Y841">
            <v>-0.04</v>
          </cell>
          <cell r="AB841">
            <v>0.25</v>
          </cell>
          <cell r="AC841">
            <v>0.25</v>
          </cell>
          <cell r="AD841">
            <v>0.25</v>
          </cell>
          <cell r="AE841">
            <v>0.25</v>
          </cell>
          <cell r="AF841">
            <v>0.25</v>
          </cell>
          <cell r="AG841">
            <v>0.25</v>
          </cell>
          <cell r="AH841">
            <v>0.25</v>
          </cell>
          <cell r="AI841">
            <v>0.25</v>
          </cell>
          <cell r="AJ841">
            <v>0.25</v>
          </cell>
          <cell r="AK841">
            <v>0.25</v>
          </cell>
          <cell r="AL841">
            <v>0.25</v>
          </cell>
          <cell r="AM841">
            <v>0.25</v>
          </cell>
          <cell r="AN841">
            <v>0.25</v>
          </cell>
          <cell r="AO841">
            <v>0.25</v>
          </cell>
          <cell r="AP841">
            <v>0.25</v>
          </cell>
          <cell r="AQ841">
            <v>0.25</v>
          </cell>
          <cell r="AR841">
            <v>0.25</v>
          </cell>
          <cell r="AS841">
            <v>0.25</v>
          </cell>
          <cell r="AT841">
            <v>-0.04</v>
          </cell>
          <cell r="AU841">
            <v>0.92</v>
          </cell>
          <cell r="AV841">
            <v>20</v>
          </cell>
          <cell r="AZ841">
            <v>0.25</v>
          </cell>
          <cell r="BA841">
            <v>0.25</v>
          </cell>
        </row>
        <row r="842">
          <cell r="A842" t="str">
            <v>EUROMETAL S.N.C. F.LLI CURTARELLI</v>
          </cell>
          <cell r="D842" t="str">
            <v>VIA EINAUDI, 2</v>
          </cell>
          <cell r="E842">
            <v>26845</v>
          </cell>
          <cell r="F842" t="str">
            <v>CODOGNO</v>
          </cell>
          <cell r="G842" t="str">
            <v>LO</v>
          </cell>
          <cell r="H842" t="str">
            <v>ITALIA</v>
          </cell>
          <cell r="I842" t="str">
            <v>08564050154</v>
          </cell>
          <cell r="J842" t="str">
            <v>08564050154</v>
          </cell>
          <cell r="M842" t="str">
            <v>UFFICIO ACQUISTI</v>
          </cell>
          <cell r="N842" t="str">
            <v>0377 37448</v>
          </cell>
          <cell r="O842" t="str">
            <v>Marco 335 7168220 Giuseppe 335 7168180</v>
          </cell>
          <cell r="P842" t="str">
            <v>eurometalsnc@gmail.com</v>
          </cell>
          <cell r="R842" t="str">
            <v>BONIFICO BANCARIO, ALLA DATA DELLA NOSTRA CONFERMA D'ORDINE</v>
          </cell>
          <cell r="X842">
            <v>0.25</v>
          </cell>
          <cell r="Y842">
            <v>-0.04</v>
          </cell>
          <cell r="AB842">
            <v>0.25</v>
          </cell>
          <cell r="AC842">
            <v>0.25</v>
          </cell>
          <cell r="AD842">
            <v>0.25</v>
          </cell>
          <cell r="AE842">
            <v>0.25</v>
          </cell>
          <cell r="AF842">
            <v>0.25</v>
          </cell>
          <cell r="AG842">
            <v>0.25</v>
          </cell>
          <cell r="AH842">
            <v>0.25</v>
          </cell>
          <cell r="AI842">
            <v>0.25</v>
          </cell>
          <cell r="AJ842">
            <v>0.25</v>
          </cell>
          <cell r="AK842">
            <v>0.25</v>
          </cell>
          <cell r="AL842">
            <v>0.25</v>
          </cell>
          <cell r="AM842">
            <v>0.25</v>
          </cell>
          <cell r="AN842">
            <v>0.25</v>
          </cell>
          <cell r="AO842">
            <v>0.25</v>
          </cell>
          <cell r="AP842">
            <v>0.25</v>
          </cell>
          <cell r="AQ842">
            <v>0.25</v>
          </cell>
          <cell r="AR842">
            <v>0.25</v>
          </cell>
          <cell r="AS842">
            <v>0.25</v>
          </cell>
          <cell r="AT842">
            <v>-0.04</v>
          </cell>
          <cell r="AU842">
            <v>0.92</v>
          </cell>
          <cell r="AV842">
            <v>20</v>
          </cell>
          <cell r="AY842" t="str">
            <v/>
          </cell>
          <cell r="AZ842">
            <v>0.25</v>
          </cell>
          <cell r="BA842">
            <v>0.25</v>
          </cell>
        </row>
        <row r="843">
          <cell r="A843" t="str">
            <v>EUROMETAL SNC</v>
          </cell>
          <cell r="D843" t="str">
            <v>V.LE ENNIO, 25/27</v>
          </cell>
          <cell r="E843" t="str">
            <v>70124</v>
          </cell>
          <cell r="F843" t="str">
            <v>BARI</v>
          </cell>
          <cell r="G843" t="str">
            <v>BA</v>
          </cell>
          <cell r="H843" t="str">
            <v>ITALIA</v>
          </cell>
          <cell r="M843" t="str">
            <v>UFFICIO ACQUISTI</v>
          </cell>
          <cell r="N843" t="str">
            <v>080 5566702</v>
          </cell>
          <cell r="P843" t="str">
            <v>giuseppe@eurometalsnc.it</v>
          </cell>
          <cell r="R843" t="str">
            <v>BONIFICO BANCARIO, ALLA DATA DELLA NOSTRA CONFERMA D'ORDINE</v>
          </cell>
          <cell r="X843">
            <v>0.2</v>
          </cell>
          <cell r="Y843">
            <v>-0.04</v>
          </cell>
          <cell r="AB843">
            <v>0.2</v>
          </cell>
          <cell r="AC843">
            <v>0.2</v>
          </cell>
          <cell r="AD843">
            <v>0.2</v>
          </cell>
          <cell r="AE843">
            <v>0.2</v>
          </cell>
          <cell r="AF843">
            <v>0.2</v>
          </cell>
          <cell r="AG843">
            <v>0.2</v>
          </cell>
          <cell r="AH843">
            <v>0.2</v>
          </cell>
          <cell r="AI843">
            <v>0.2</v>
          </cell>
          <cell r="AJ843">
            <v>0.2</v>
          </cell>
          <cell r="AK843">
            <v>0.2</v>
          </cell>
          <cell r="AL843">
            <v>0.2</v>
          </cell>
          <cell r="AM843">
            <v>0.2</v>
          </cell>
          <cell r="AN843">
            <v>0.2</v>
          </cell>
          <cell r="AO843">
            <v>0.2</v>
          </cell>
          <cell r="AP843">
            <v>0.2</v>
          </cell>
          <cell r="AQ843">
            <v>0.2</v>
          </cell>
          <cell r="AR843">
            <v>0.2</v>
          </cell>
          <cell r="AS843">
            <v>0.2</v>
          </cell>
          <cell r="AT843">
            <v>-0.04</v>
          </cell>
          <cell r="AU843">
            <v>0.92</v>
          </cell>
          <cell r="AV843">
            <v>20</v>
          </cell>
          <cell r="AZ843">
            <v>0.2</v>
          </cell>
          <cell r="BA843">
            <v>0.2</v>
          </cell>
        </row>
        <row r="844">
          <cell r="A844" t="str">
            <v>EUROMETALLI DI BRAICO ANDREA</v>
          </cell>
          <cell r="B844" t="str">
            <v>GLIELE CHIEDONO, MI FARA' SAPERE</v>
          </cell>
          <cell r="D844" t="str">
            <v>VIA PETRONIO, 4 - ZI NOGHERE</v>
          </cell>
          <cell r="E844" t="str">
            <v>34015</v>
          </cell>
          <cell r="F844" t="str">
            <v>MUGGIA</v>
          </cell>
          <cell r="G844" t="str">
            <v>TS</v>
          </cell>
          <cell r="H844" t="str">
            <v>ITALIA</v>
          </cell>
          <cell r="J844" t="str">
            <v>01247590324</v>
          </cell>
          <cell r="M844" t="str">
            <v>UFFICIO ACQUISTI</v>
          </cell>
          <cell r="N844" t="str">
            <v>040 824719</v>
          </cell>
          <cell r="P844" t="str">
            <v>eurometalli@interfree.it</v>
          </cell>
          <cell r="R844" t="str">
            <v>BONIFICO BANCARIO, ALLA DATA DELLA NOSTRA CONFERMA D'ORDINE</v>
          </cell>
          <cell r="X844">
            <v>0.25</v>
          </cell>
          <cell r="Y844">
            <v>-0.04</v>
          </cell>
          <cell r="AB844">
            <v>0.25</v>
          </cell>
          <cell r="AC844">
            <v>0.25</v>
          </cell>
          <cell r="AD844">
            <v>0.25</v>
          </cell>
          <cell r="AE844">
            <v>0.25</v>
          </cell>
          <cell r="AF844">
            <v>0.25</v>
          </cell>
          <cell r="AG844">
            <v>0.25</v>
          </cell>
          <cell r="AH844">
            <v>0.25</v>
          </cell>
          <cell r="AI844">
            <v>0.25</v>
          </cell>
          <cell r="AJ844">
            <v>0.25</v>
          </cell>
          <cell r="AK844">
            <v>0.25</v>
          </cell>
          <cell r="AL844">
            <v>0.25</v>
          </cell>
          <cell r="AM844">
            <v>0.25</v>
          </cell>
          <cell r="AN844">
            <v>0.25</v>
          </cell>
          <cell r="AO844">
            <v>0.25</v>
          </cell>
          <cell r="AP844">
            <v>0.25</v>
          </cell>
          <cell r="AQ844">
            <v>0.25</v>
          </cell>
          <cell r="AR844">
            <v>0.25</v>
          </cell>
          <cell r="AS844">
            <v>0.25</v>
          </cell>
          <cell r="AT844">
            <v>-0.04</v>
          </cell>
          <cell r="AU844">
            <v>0.92</v>
          </cell>
          <cell r="AV844">
            <v>20</v>
          </cell>
          <cell r="AY844" t="str">
            <v/>
          </cell>
          <cell r="AZ844">
            <v>0.25</v>
          </cell>
          <cell r="BA844">
            <v>0.25</v>
          </cell>
        </row>
        <row r="845">
          <cell r="A845" t="str">
            <v>EUROMETALLI DI DE VIVO GIUSEPPE</v>
          </cell>
          <cell r="D845" t="str">
            <v>VIA NUOVA VAR 19</v>
          </cell>
          <cell r="E845" t="str">
            <v>84087</v>
          </cell>
          <cell r="F845" t="str">
            <v>SARNO</v>
          </cell>
          <cell r="G845" t="str">
            <v>SA</v>
          </cell>
          <cell r="H845" t="str">
            <v>ITALIA</v>
          </cell>
          <cell r="M845" t="str">
            <v>UFFICIO ACQUISTI</v>
          </cell>
          <cell r="N845" t="str">
            <v>081 943640</v>
          </cell>
          <cell r="R845" t="str">
            <v>BONIFICO BANCARIO, ALLA DATA DELLA NOSTRA CONFERMA D'ORDINE</v>
          </cell>
          <cell r="X845">
            <v>0.25</v>
          </cell>
          <cell r="Y845">
            <v>-0.04</v>
          </cell>
          <cell r="AB845">
            <v>0.25</v>
          </cell>
          <cell r="AC845">
            <v>0.25</v>
          </cell>
          <cell r="AD845">
            <v>0.25</v>
          </cell>
          <cell r="AE845">
            <v>0.25</v>
          </cell>
          <cell r="AF845">
            <v>0.25</v>
          </cell>
          <cell r="AG845">
            <v>0.25</v>
          </cell>
          <cell r="AH845">
            <v>0.25</v>
          </cell>
          <cell r="AI845">
            <v>0.25</v>
          </cell>
          <cell r="AJ845">
            <v>0.25</v>
          </cell>
          <cell r="AK845">
            <v>0.25</v>
          </cell>
          <cell r="AL845">
            <v>0.25</v>
          </cell>
          <cell r="AM845">
            <v>0.25</v>
          </cell>
          <cell r="AN845">
            <v>0.25</v>
          </cell>
          <cell r="AO845">
            <v>0.25</v>
          </cell>
          <cell r="AP845">
            <v>0.25</v>
          </cell>
          <cell r="AQ845">
            <v>0.25</v>
          </cell>
          <cell r="AR845">
            <v>0.25</v>
          </cell>
          <cell r="AS845">
            <v>0.25</v>
          </cell>
          <cell r="AT845">
            <v>-0.04</v>
          </cell>
          <cell r="AU845">
            <v>0.92</v>
          </cell>
          <cell r="AV845">
            <v>20</v>
          </cell>
          <cell r="AY845" t="str">
            <v/>
          </cell>
          <cell r="AZ845">
            <v>0.25</v>
          </cell>
          <cell r="BA845">
            <v>0.25</v>
          </cell>
        </row>
        <row r="846">
          <cell r="A846" t="str">
            <v>EUROPA FERRAMENTA SRL</v>
          </cell>
          <cell r="D846" t="str">
            <v>VIA CIRCONVALLAZIONE CORNELIA, 313-315</v>
          </cell>
          <cell r="E846" t="str">
            <v>00167</v>
          </cell>
          <cell r="F846" t="str">
            <v>ROMA</v>
          </cell>
          <cell r="G846" t="str">
            <v>RM</v>
          </cell>
          <cell r="H846" t="str">
            <v>ITALIA</v>
          </cell>
          <cell r="J846" t="str">
            <v>00930920582</v>
          </cell>
          <cell r="M846" t="str">
            <v>UFFICIO ACQUISTI</v>
          </cell>
          <cell r="N846" t="str">
            <v>06 6621562 SIG. MARINELLI</v>
          </cell>
          <cell r="R846" t="str">
            <v>BONIFICO BANCARIO, ALLA DATA DELLA NOSTRA CONFERMA D'ORDINE</v>
          </cell>
          <cell r="X846">
            <v>0.25</v>
          </cell>
          <cell r="Y846">
            <v>-0.04</v>
          </cell>
          <cell r="AB846">
            <v>0.25</v>
          </cell>
          <cell r="AC846">
            <v>0.25</v>
          </cell>
          <cell r="AD846">
            <v>0.25</v>
          </cell>
          <cell r="AE846">
            <v>0.25</v>
          </cell>
          <cell r="AF846">
            <v>0.25</v>
          </cell>
          <cell r="AG846">
            <v>0.25</v>
          </cell>
          <cell r="AH846">
            <v>0.25</v>
          </cell>
          <cell r="AI846">
            <v>0.25</v>
          </cell>
          <cell r="AJ846">
            <v>0.25</v>
          </cell>
          <cell r="AK846">
            <v>0.25</v>
          </cell>
          <cell r="AL846">
            <v>0.25</v>
          </cell>
          <cell r="AM846">
            <v>0.25</v>
          </cell>
          <cell r="AN846">
            <v>0.25</v>
          </cell>
          <cell r="AO846">
            <v>0.25</v>
          </cell>
          <cell r="AP846">
            <v>0.25</v>
          </cell>
          <cell r="AQ846">
            <v>0.25</v>
          </cell>
          <cell r="AR846">
            <v>0.25</v>
          </cell>
          <cell r="AS846">
            <v>0.25</v>
          </cell>
          <cell r="AT846">
            <v>-0.04</v>
          </cell>
          <cell r="AU846">
            <v>0.92</v>
          </cell>
          <cell r="AV846">
            <v>20</v>
          </cell>
          <cell r="AY846" t="str">
            <v/>
          </cell>
          <cell r="AZ846">
            <v>0.25</v>
          </cell>
          <cell r="BA846">
            <v>0.25</v>
          </cell>
        </row>
        <row r="847">
          <cell r="A847" t="str">
            <v>EUROPLIAGE</v>
          </cell>
          <cell r="D847" t="str">
            <v>ALLE' DES SANTONNIEERS</v>
          </cell>
          <cell r="E847">
            <v>6700</v>
          </cell>
          <cell r="F847" t="str">
            <v>SAINT LAURENT DU VAR</v>
          </cell>
          <cell r="M847" t="str">
            <v>UFFICIO ACQUISTI</v>
          </cell>
          <cell r="N847" t="str">
            <v xml:space="preserve">04 93 19 40 90 </v>
          </cell>
          <cell r="P847" t="str">
            <v>direction@europliage.com</v>
          </cell>
          <cell r="R847" t="str">
            <v>BONIFICO BANCARIO, ALLA DATA DELLA NOSTRA CONFERMA D'ORDINE</v>
          </cell>
          <cell r="X847">
            <v>0.25</v>
          </cell>
          <cell r="Y847">
            <v>-0.04</v>
          </cell>
          <cell r="AB847">
            <v>0.25</v>
          </cell>
          <cell r="AC847">
            <v>0.25</v>
          </cell>
          <cell r="AD847">
            <v>0.25</v>
          </cell>
          <cell r="AE847">
            <v>0.25</v>
          </cell>
          <cell r="AF847">
            <v>0.25</v>
          </cell>
          <cell r="AG847">
            <v>0.25</v>
          </cell>
          <cell r="AH847">
            <v>0.25</v>
          </cell>
          <cell r="AI847">
            <v>0.25</v>
          </cell>
          <cell r="AJ847">
            <v>0.25</v>
          </cell>
          <cell r="AK847">
            <v>0.25</v>
          </cell>
          <cell r="AL847">
            <v>0.25</v>
          </cell>
          <cell r="AM847">
            <v>0.25</v>
          </cell>
          <cell r="AN847">
            <v>0.25</v>
          </cell>
          <cell r="AO847">
            <v>0.25</v>
          </cell>
          <cell r="AP847">
            <v>0.25</v>
          </cell>
          <cell r="AQ847">
            <v>0.25</v>
          </cell>
          <cell r="AR847">
            <v>0.25</v>
          </cell>
          <cell r="AS847">
            <v>0.25</v>
          </cell>
          <cell r="AT847">
            <v>-0.04</v>
          </cell>
          <cell r="AU847">
            <v>0.92</v>
          </cell>
          <cell r="AV847">
            <v>20</v>
          </cell>
          <cell r="AZ847">
            <v>0.25</v>
          </cell>
          <cell r="BA847">
            <v>0.25</v>
          </cell>
        </row>
        <row r="848">
          <cell r="A848" t="str">
            <v>EUROPROFIL DI FRECENTESE VITTORIO</v>
          </cell>
          <cell r="B848" t="str">
            <v>LASCIATO LISTINO</v>
          </cell>
          <cell r="D848" t="str">
            <v>VIA GALILEI 20</v>
          </cell>
          <cell r="F848" t="str">
            <v>FAENZA</v>
          </cell>
          <cell r="G848" t="str">
            <v>RA</v>
          </cell>
          <cell r="H848" t="str">
            <v>ITALIA</v>
          </cell>
          <cell r="J848" t="str">
            <v>02107510394</v>
          </cell>
          <cell r="M848" t="str">
            <v>UFFICIO ACQUISTI</v>
          </cell>
          <cell r="N848" t="str">
            <v>0546 622531</v>
          </cell>
          <cell r="O848" t="str">
            <v>338 2611853</v>
          </cell>
          <cell r="R848" t="str">
            <v>BONIFICO BANCARIO, ALLA DATA DELLA NOSTRA CONFERMA D'ORDINE</v>
          </cell>
          <cell r="X848">
            <v>0.25</v>
          </cell>
          <cell r="Y848">
            <v>-0.04</v>
          </cell>
          <cell r="AB848">
            <v>0.25</v>
          </cell>
          <cell r="AC848">
            <v>0.25</v>
          </cell>
          <cell r="AD848">
            <v>0.25</v>
          </cell>
          <cell r="AE848">
            <v>0.25</v>
          </cell>
          <cell r="AF848">
            <v>0.25</v>
          </cell>
          <cell r="AG848">
            <v>0.25</v>
          </cell>
          <cell r="AH848">
            <v>0.25</v>
          </cell>
          <cell r="AI848">
            <v>0.25</v>
          </cell>
          <cell r="AJ848">
            <v>0.25</v>
          </cell>
          <cell r="AK848">
            <v>0.25</v>
          </cell>
          <cell r="AL848">
            <v>0.25</v>
          </cell>
          <cell r="AM848">
            <v>0.25</v>
          </cell>
          <cell r="AN848">
            <v>0.25</v>
          </cell>
          <cell r="AO848">
            <v>0.25</v>
          </cell>
          <cell r="AP848">
            <v>0.25</v>
          </cell>
          <cell r="AQ848">
            <v>0.25</v>
          </cell>
          <cell r="AR848">
            <v>0.25</v>
          </cell>
          <cell r="AS848">
            <v>0.25</v>
          </cell>
          <cell r="AT848">
            <v>-0.04</v>
          </cell>
          <cell r="AU848">
            <v>0.92</v>
          </cell>
          <cell r="AV848">
            <v>20</v>
          </cell>
          <cell r="AY848" t="str">
            <v/>
          </cell>
          <cell r="AZ848">
            <v>0.25</v>
          </cell>
          <cell r="BA848">
            <v>0.25</v>
          </cell>
        </row>
        <row r="849">
          <cell r="A849" t="str">
            <v xml:space="preserve">EUROSERRAMENTI </v>
          </cell>
          <cell r="D849" t="str">
            <v>VIA DON GIOVINE 17</v>
          </cell>
          <cell r="E849" t="str">
            <v>15100</v>
          </cell>
          <cell r="F849" t="str">
            <v>ALESSANDRIA</v>
          </cell>
          <cell r="G849" t="str">
            <v>AL</v>
          </cell>
          <cell r="H849" t="str">
            <v>ITALIA</v>
          </cell>
          <cell r="J849" t="str">
            <v>02383150063</v>
          </cell>
          <cell r="M849" t="str">
            <v>UFFICIO ACQUISTI</v>
          </cell>
          <cell r="N849" t="str">
            <v>01311 481309</v>
          </cell>
          <cell r="P849" t="str">
            <v>info@euroserramential.it</v>
          </cell>
          <cell r="R849" t="str">
            <v>BONIFICO BANCARIO, ALLA DATA DELLA NOSTRA CONFERMA D'ORDINE</v>
          </cell>
          <cell r="X849">
            <v>0.25</v>
          </cell>
          <cell r="Y849">
            <v>-0.04</v>
          </cell>
          <cell r="AB849">
            <v>0.25</v>
          </cell>
          <cell r="AC849">
            <v>0.25</v>
          </cell>
          <cell r="AD849">
            <v>0.25</v>
          </cell>
          <cell r="AE849">
            <v>0.25</v>
          </cell>
          <cell r="AF849">
            <v>0.25</v>
          </cell>
          <cell r="AG849">
            <v>0.25</v>
          </cell>
          <cell r="AH849">
            <v>0.25</v>
          </cell>
          <cell r="AI849">
            <v>0.25</v>
          </cell>
          <cell r="AJ849">
            <v>0.25</v>
          </cell>
          <cell r="AK849">
            <v>0.25</v>
          </cell>
          <cell r="AL849">
            <v>0.25</v>
          </cell>
          <cell r="AM849">
            <v>0.25</v>
          </cell>
          <cell r="AN849">
            <v>0.25</v>
          </cell>
          <cell r="AO849">
            <v>0.25</v>
          </cell>
          <cell r="AP849">
            <v>0.25</v>
          </cell>
          <cell r="AQ849">
            <v>0.25</v>
          </cell>
          <cell r="AR849">
            <v>0.25</v>
          </cell>
          <cell r="AS849">
            <v>0.25</v>
          </cell>
          <cell r="AT849">
            <v>-0.04</v>
          </cell>
          <cell r="AU849">
            <v>0.92</v>
          </cell>
          <cell r="AV849">
            <v>20</v>
          </cell>
          <cell r="AY849" t="str">
            <v/>
          </cell>
          <cell r="AZ849">
            <v>0.25</v>
          </cell>
          <cell r="BA849">
            <v>0.25</v>
          </cell>
          <cell r="BF849" t="str">
            <v>CLICK RAPID con carpenteria 02/12/2020</v>
          </cell>
        </row>
        <row r="850">
          <cell r="A850" t="str">
            <v>EUROSERRAMENTI DI BIGNAMI BOZZACCHI CATENI S.N.C.</v>
          </cell>
          <cell r="D850" t="str">
            <v>VIA LAURETANA, 921</v>
          </cell>
          <cell r="E850">
            <v>52044</v>
          </cell>
          <cell r="F850" t="str">
            <v>CORTONA</v>
          </cell>
          <cell r="G850" t="str">
            <v>AR</v>
          </cell>
          <cell r="H850" t="str">
            <v>ITALIA</v>
          </cell>
          <cell r="M850" t="str">
            <v>UFFICIO ACQUISTI</v>
          </cell>
          <cell r="N850" t="str">
            <v>0575 604361</v>
          </cell>
          <cell r="R850" t="str">
            <v>BONIFICO BANCARIO, ALLA DATA DELLA NOSTRA CONFERMA D'ORDINE</v>
          </cell>
          <cell r="X850">
            <v>0.25</v>
          </cell>
          <cell r="Y850">
            <v>-0.04</v>
          </cell>
          <cell r="AB850">
            <v>0.25</v>
          </cell>
          <cell r="AC850">
            <v>0.25</v>
          </cell>
          <cell r="AD850">
            <v>0.25</v>
          </cell>
          <cell r="AE850">
            <v>0.25</v>
          </cell>
          <cell r="AF850">
            <v>0.25</v>
          </cell>
          <cell r="AG850">
            <v>0.25</v>
          </cell>
          <cell r="AH850">
            <v>0.25</v>
          </cell>
          <cell r="AI850">
            <v>0.25</v>
          </cell>
          <cell r="AJ850">
            <v>0.25</v>
          </cell>
          <cell r="AK850">
            <v>0.25</v>
          </cell>
          <cell r="AL850">
            <v>0.25</v>
          </cell>
          <cell r="AM850">
            <v>0.25</v>
          </cell>
          <cell r="AN850">
            <v>0.25</v>
          </cell>
          <cell r="AO850">
            <v>0.25</v>
          </cell>
          <cell r="AP850">
            <v>0.25</v>
          </cell>
          <cell r="AQ850">
            <v>0.25</v>
          </cell>
          <cell r="AR850">
            <v>0.25</v>
          </cell>
          <cell r="AS850">
            <v>0.25</v>
          </cell>
          <cell r="AT850">
            <v>-0.04</v>
          </cell>
          <cell r="AU850">
            <v>0.92</v>
          </cell>
          <cell r="AV850">
            <v>20</v>
          </cell>
          <cell r="AY850" t="str">
            <v/>
          </cell>
          <cell r="AZ850">
            <v>0.25</v>
          </cell>
          <cell r="BA850">
            <v>0.25</v>
          </cell>
        </row>
        <row r="851">
          <cell r="A851" t="str">
            <v>EUROSERRAMENTI DI PARASPORO S.R.L.</v>
          </cell>
          <cell r="B851" t="str">
            <v xml:space="preserve">SE LE FA ANCHE LUI </v>
          </cell>
          <cell r="D851" t="str">
            <v>VIA BRAIE, 596</v>
          </cell>
          <cell r="E851">
            <v>18033</v>
          </cell>
          <cell r="F851" t="str">
            <v>CAMPOROSSO</v>
          </cell>
          <cell r="G851" t="str">
            <v>IM</v>
          </cell>
          <cell r="H851" t="str">
            <v>ITALIA</v>
          </cell>
          <cell r="M851" t="str">
            <v>UFFICIO ACQUISTI</v>
          </cell>
          <cell r="N851" t="str">
            <v>0184 251512</v>
          </cell>
          <cell r="O851" t="str">
            <v>331 6821826</v>
          </cell>
          <cell r="P851" t="str">
            <v>euroserramenti.info@gmail.com</v>
          </cell>
          <cell r="R851" t="str">
            <v>BONIFICO BANCARIO, ALLA DATA DELLA NOSTRA CONFERMA D'ORDINE</v>
          </cell>
          <cell r="X851">
            <v>0.25</v>
          </cell>
          <cell r="Y851">
            <v>-0.04</v>
          </cell>
          <cell r="AB851">
            <v>0.25</v>
          </cell>
          <cell r="AC851">
            <v>0.25</v>
          </cell>
          <cell r="AD851">
            <v>0.25</v>
          </cell>
          <cell r="AE851">
            <v>0.25</v>
          </cell>
          <cell r="AF851">
            <v>0.25</v>
          </cell>
          <cell r="AG851">
            <v>0.25</v>
          </cell>
          <cell r="AH851">
            <v>0.25</v>
          </cell>
          <cell r="AI851">
            <v>0.25</v>
          </cell>
          <cell r="AJ851">
            <v>0.25</v>
          </cell>
          <cell r="AK851">
            <v>0.25</v>
          </cell>
          <cell r="AL851">
            <v>0.25</v>
          </cell>
          <cell r="AM851">
            <v>0.25</v>
          </cell>
          <cell r="AN851">
            <v>0.25</v>
          </cell>
          <cell r="AO851">
            <v>0.25</v>
          </cell>
          <cell r="AP851">
            <v>0.25</v>
          </cell>
          <cell r="AQ851">
            <v>0.25</v>
          </cell>
          <cell r="AR851">
            <v>0.25</v>
          </cell>
          <cell r="AS851">
            <v>0.25</v>
          </cell>
          <cell r="AT851">
            <v>-0.04</v>
          </cell>
          <cell r="AU851">
            <v>0.92</v>
          </cell>
          <cell r="AV851">
            <v>20</v>
          </cell>
          <cell r="AY851" t="str">
            <v/>
          </cell>
          <cell r="AZ851">
            <v>0.25</v>
          </cell>
          <cell r="BA851">
            <v>0.25</v>
          </cell>
        </row>
        <row r="852">
          <cell r="A852" t="str">
            <v xml:space="preserve">EUROTECA </v>
          </cell>
          <cell r="D852" t="str">
            <v>VIA DELLA PADULA, 70</v>
          </cell>
          <cell r="E852">
            <v>57124</v>
          </cell>
          <cell r="F852" t="str">
            <v>LIVORNO</v>
          </cell>
          <cell r="G852" t="str">
            <v>LI</v>
          </cell>
          <cell r="H852" t="str">
            <v>ITALIA</v>
          </cell>
          <cell r="J852" t="str">
            <v>0116454092</v>
          </cell>
          <cell r="M852" t="str">
            <v>UFFICIO ACQUISTI</v>
          </cell>
          <cell r="N852" t="str">
            <v>0586 854020</v>
          </cell>
          <cell r="O852" t="str">
            <v>328 2485413 Fabrizio Usai</v>
          </cell>
          <cell r="P852" t="str">
            <v>fabri.usai@gmail.com</v>
          </cell>
          <cell r="R852" t="str">
            <v>BONIFICO BANCARIO, ALLA DATA DELLA NOSTRA CONFERMA D'ORDINE</v>
          </cell>
          <cell r="X852">
            <v>0.25</v>
          </cell>
          <cell r="Y852">
            <v>-0.04</v>
          </cell>
          <cell r="AB852">
            <v>0.25</v>
          </cell>
          <cell r="AC852">
            <v>0.25</v>
          </cell>
          <cell r="AD852">
            <v>0.25</v>
          </cell>
          <cell r="AE852">
            <v>0.25</v>
          </cell>
          <cell r="AF852">
            <v>0.25</v>
          </cell>
          <cell r="AG852">
            <v>0.25</v>
          </cell>
          <cell r="AH852">
            <v>0.25</v>
          </cell>
          <cell r="AI852">
            <v>0.25</v>
          </cell>
          <cell r="AJ852">
            <v>0.25</v>
          </cell>
          <cell r="AK852">
            <v>0.25</v>
          </cell>
          <cell r="AL852">
            <v>0.25</v>
          </cell>
          <cell r="AM852">
            <v>0.25</v>
          </cell>
          <cell r="AN852">
            <v>0.25</v>
          </cell>
          <cell r="AO852">
            <v>0.25</v>
          </cell>
          <cell r="AP852">
            <v>0.25</v>
          </cell>
          <cell r="AQ852">
            <v>0.25</v>
          </cell>
          <cell r="AR852">
            <v>0.25</v>
          </cell>
          <cell r="AS852">
            <v>0.25</v>
          </cell>
          <cell r="AT852">
            <v>-0.04</v>
          </cell>
          <cell r="AU852">
            <v>0.92</v>
          </cell>
          <cell r="AV852">
            <v>20</v>
          </cell>
          <cell r="AY852" t="str">
            <v/>
          </cell>
          <cell r="AZ852">
            <v>0.25</v>
          </cell>
          <cell r="BA852">
            <v>0.25</v>
          </cell>
        </row>
        <row r="853">
          <cell r="A853" t="str">
            <v>EUROTECNO PORTE MILANO</v>
          </cell>
          <cell r="D853" t="str">
            <v xml:space="preserve">VIA TONALE, 8 10 </v>
          </cell>
          <cell r="E853">
            <v>20099</v>
          </cell>
          <cell r="F853" t="str">
            <v>SESTO SAN GIOVANNI</v>
          </cell>
          <cell r="G853" t="str">
            <v>MI</v>
          </cell>
          <cell r="H853" t="str">
            <v>ITALIA</v>
          </cell>
          <cell r="M853" t="str">
            <v>UFFICIO ACQUISTI</v>
          </cell>
          <cell r="N853" t="str">
            <v>02 2405342</v>
          </cell>
          <cell r="O853">
            <v>3355928319</v>
          </cell>
          <cell r="P853" t="str">
            <v>info@eurotecnomilano.it</v>
          </cell>
          <cell r="R853" t="str">
            <v>BONIFICO BANCARIO, ALLA DATA DELLA NOSTRA CONFERMA D'ORDINE</v>
          </cell>
          <cell r="X853">
            <v>0.25</v>
          </cell>
          <cell r="Y853">
            <v>-0.04</v>
          </cell>
          <cell r="AB853">
            <v>0.25</v>
          </cell>
          <cell r="AC853">
            <v>0.25</v>
          </cell>
          <cell r="AD853">
            <v>0.25</v>
          </cell>
          <cell r="AE853">
            <v>0.25</v>
          </cell>
          <cell r="AF853">
            <v>0.25</v>
          </cell>
          <cell r="AG853">
            <v>0.25</v>
          </cell>
          <cell r="AH853">
            <v>0.25</v>
          </cell>
          <cell r="AI853">
            <v>0.25</v>
          </cell>
          <cell r="AJ853">
            <v>0.25</v>
          </cell>
          <cell r="AK853">
            <v>0.25</v>
          </cell>
          <cell r="AL853">
            <v>0.25</v>
          </cell>
          <cell r="AM853">
            <v>0.25</v>
          </cell>
          <cell r="AN853">
            <v>0.25</v>
          </cell>
          <cell r="AO853">
            <v>0.25</v>
          </cell>
          <cell r="AP853">
            <v>0.25</v>
          </cell>
          <cell r="AQ853">
            <v>0.25</v>
          </cell>
          <cell r="AR853">
            <v>0.25</v>
          </cell>
          <cell r="AS853">
            <v>0.25</v>
          </cell>
          <cell r="AT853">
            <v>-0.04</v>
          </cell>
          <cell r="AU853">
            <v>0.92</v>
          </cell>
          <cell r="AV853">
            <v>20</v>
          </cell>
          <cell r="AY853" t="str">
            <v/>
          </cell>
          <cell r="AZ853">
            <v>0.25</v>
          </cell>
          <cell r="BA853">
            <v>0.25</v>
          </cell>
        </row>
        <row r="854">
          <cell r="A854" t="str">
            <v>EVERY METAL 88 DI PUCCI ANGELO</v>
          </cell>
          <cell r="D854" t="str">
            <v>VIA A.ASCARI, SNC (ZONA ART)</v>
          </cell>
          <cell r="E854" t="str">
            <v>04016</v>
          </cell>
          <cell r="F854" t="str">
            <v>SABAUDIA</v>
          </cell>
          <cell r="G854" t="str">
            <v>LT</v>
          </cell>
          <cell r="H854" t="str">
            <v>ITALIA</v>
          </cell>
          <cell r="J854" t="str">
            <v>01361260597</v>
          </cell>
          <cell r="M854" t="str">
            <v>UFFICIO ACQUISTI</v>
          </cell>
          <cell r="N854" t="str">
            <v>0773 515059</v>
          </cell>
          <cell r="O854" t="str">
            <v>335 8122138</v>
          </cell>
          <cell r="P854" t="str">
            <v>everymetal88@libero.it</v>
          </cell>
          <cell r="R854" t="str">
            <v>BONIFICO BANCARIO, ALLA DATA DELLA NOSTRA CONFERMA D'ORDINE</v>
          </cell>
          <cell r="X854">
            <v>0.2</v>
          </cell>
          <cell r="Y854">
            <v>-0.04</v>
          </cell>
          <cell r="AB854">
            <v>0.2</v>
          </cell>
          <cell r="AC854">
            <v>0.2</v>
          </cell>
          <cell r="AD854">
            <v>0.2</v>
          </cell>
          <cell r="AE854">
            <v>0.2</v>
          </cell>
          <cell r="AF854">
            <v>0.2</v>
          </cell>
          <cell r="AG854">
            <v>0.2</v>
          </cell>
          <cell r="AH854">
            <v>0.2</v>
          </cell>
          <cell r="AI854">
            <v>0.2</v>
          </cell>
          <cell r="AJ854">
            <v>0.2</v>
          </cell>
          <cell r="AK854">
            <v>0.2</v>
          </cell>
          <cell r="AL854">
            <v>0.2</v>
          </cell>
          <cell r="AM854">
            <v>0.2</v>
          </cell>
          <cell r="AN854">
            <v>0.2</v>
          </cell>
          <cell r="AO854">
            <v>0.2</v>
          </cell>
          <cell r="AP854">
            <v>0.2</v>
          </cell>
          <cell r="AQ854">
            <v>0.2</v>
          </cell>
          <cell r="AR854">
            <v>0.2</v>
          </cell>
          <cell r="AS854">
            <v>0.2</v>
          </cell>
          <cell r="AT854">
            <v>-0.04</v>
          </cell>
          <cell r="AU854">
            <v>0.92</v>
          </cell>
          <cell r="AV854">
            <v>20</v>
          </cell>
          <cell r="AZ854">
            <v>0.2</v>
          </cell>
          <cell r="BA854">
            <v>0.2</v>
          </cell>
        </row>
        <row r="855">
          <cell r="A855" t="str">
            <v>EVR EREDI VIRDIS RAFAELE</v>
          </cell>
          <cell r="B855" t="str">
            <v>SOLO BIGLIETTO DA VISITA</v>
          </cell>
          <cell r="D855" t="str">
            <v>VIA ROMA, 31</v>
          </cell>
          <cell r="E855" t="str">
            <v>09013</v>
          </cell>
          <cell r="F855" t="str">
            <v>CARBONIA</v>
          </cell>
          <cell r="G855" t="str">
            <v>SU</v>
          </cell>
          <cell r="H855" t="str">
            <v>ITALIA</v>
          </cell>
          <cell r="J855" t="str">
            <v>03680740923</v>
          </cell>
          <cell r="M855" t="str">
            <v>UFFICIO ACQUISTI</v>
          </cell>
          <cell r="N855" t="str">
            <v>0781 671561</v>
          </cell>
          <cell r="P855" t="str">
            <v>eredi.virdis@libero.it</v>
          </cell>
          <cell r="R855" t="str">
            <v>BONIFICO BANCARIO, ALLA DATA DELLA NOSTRA CONFERMA D'ORDINE</v>
          </cell>
          <cell r="X855">
            <v>0.25</v>
          </cell>
          <cell r="Y855">
            <v>-0.04</v>
          </cell>
          <cell r="AB855">
            <v>0.25</v>
          </cell>
          <cell r="AC855">
            <v>0.25</v>
          </cell>
          <cell r="AD855">
            <v>0.25</v>
          </cell>
          <cell r="AE855">
            <v>0.25</v>
          </cell>
          <cell r="AF855">
            <v>0.25</v>
          </cell>
          <cell r="AG855">
            <v>0.25</v>
          </cell>
          <cell r="AH855">
            <v>0.25</v>
          </cell>
          <cell r="AI855">
            <v>0.25</v>
          </cell>
          <cell r="AJ855">
            <v>0.25</v>
          </cell>
          <cell r="AK855">
            <v>0.25</v>
          </cell>
          <cell r="AL855">
            <v>0.25</v>
          </cell>
          <cell r="AM855">
            <v>0.25</v>
          </cell>
          <cell r="AN855">
            <v>0.25</v>
          </cell>
          <cell r="AO855">
            <v>0.25</v>
          </cell>
          <cell r="AP855">
            <v>0.25</v>
          </cell>
          <cell r="AQ855">
            <v>0.25</v>
          </cell>
          <cell r="AR855">
            <v>0.25</v>
          </cell>
          <cell r="AS855">
            <v>0.25</v>
          </cell>
          <cell r="AT855">
            <v>-0.04</v>
          </cell>
          <cell r="AU855">
            <v>0.92</v>
          </cell>
          <cell r="AV855">
            <v>20</v>
          </cell>
          <cell r="AZ855">
            <v>0.25</v>
          </cell>
          <cell r="BA855">
            <v>0.25</v>
          </cell>
        </row>
        <row r="856">
          <cell r="A856" t="str">
            <v>EXPO INFISSI DI ANTONIO MORELLO</v>
          </cell>
          <cell r="D856" t="str">
            <v>VIA PORDENONE, 2</v>
          </cell>
          <cell r="E856">
            <v>73100</v>
          </cell>
          <cell r="F856" t="str">
            <v>LECCE</v>
          </cell>
          <cell r="G856" t="str">
            <v>LE</v>
          </cell>
          <cell r="H856" t="str">
            <v>ITALIA</v>
          </cell>
          <cell r="J856" t="str">
            <v>02026270757</v>
          </cell>
          <cell r="M856" t="str">
            <v>UFFICIO ACQUISTI</v>
          </cell>
          <cell r="N856" t="str">
            <v>0832 349804</v>
          </cell>
          <cell r="O856" t="str">
            <v>Grazia 328 3147179</v>
          </cell>
          <cell r="P856" t="str">
            <v>expoinfissi@email.it</v>
          </cell>
          <cell r="R856" t="str">
            <v>BONIFICO BANCARIO, ALLA DATA DELLA NOSTRA CONFERMA D'ORDINE</v>
          </cell>
          <cell r="X856">
            <v>0.25</v>
          </cell>
          <cell r="Y856">
            <v>-0.04</v>
          </cell>
          <cell r="AB856">
            <v>0.25</v>
          </cell>
          <cell r="AC856">
            <v>0.25</v>
          </cell>
          <cell r="AD856">
            <v>0.25</v>
          </cell>
          <cell r="AE856">
            <v>0.25</v>
          </cell>
          <cell r="AF856">
            <v>0.25</v>
          </cell>
          <cell r="AG856">
            <v>0.25</v>
          </cell>
          <cell r="AH856">
            <v>0.25</v>
          </cell>
          <cell r="AI856">
            <v>0.25</v>
          </cell>
          <cell r="AJ856">
            <v>0.25</v>
          </cell>
          <cell r="AK856">
            <v>0.25</v>
          </cell>
          <cell r="AL856">
            <v>0.25</v>
          </cell>
          <cell r="AM856">
            <v>0.25</v>
          </cell>
          <cell r="AN856">
            <v>0.25</v>
          </cell>
          <cell r="AO856">
            <v>0.25</v>
          </cell>
          <cell r="AP856">
            <v>0.25</v>
          </cell>
          <cell r="AQ856">
            <v>0.25</v>
          </cell>
          <cell r="AR856">
            <v>0.25</v>
          </cell>
          <cell r="AS856">
            <v>0.25</v>
          </cell>
          <cell r="AT856">
            <v>-0.04</v>
          </cell>
          <cell r="AU856">
            <v>0.92</v>
          </cell>
          <cell r="AV856">
            <v>20</v>
          </cell>
          <cell r="AZ856">
            <v>0.25</v>
          </cell>
          <cell r="BA856">
            <v>0.25</v>
          </cell>
        </row>
        <row r="857">
          <cell r="A857" t="str">
            <v>F. E G. DI FRANCERI CLAUDIO E GAGLIOLO MARINO S.N.C.</v>
          </cell>
          <cell r="D857" t="str">
            <v>VIA DIVIZIA, 5</v>
          </cell>
          <cell r="E857" t="str">
            <v>17051</v>
          </cell>
          <cell r="F857" t="str">
            <v>ANDORA</v>
          </cell>
          <cell r="G857" t="str">
            <v>SV</v>
          </cell>
          <cell r="H857" t="str">
            <v>ITALIA</v>
          </cell>
          <cell r="J857" t="str">
            <v>01333380093</v>
          </cell>
          <cell r="M857" t="str">
            <v>UFFICIO ACQUISTI</v>
          </cell>
          <cell r="N857" t="str">
            <v>0182 80526</v>
          </cell>
          <cell r="P857" t="str">
            <v>info@fgserramentiandora.it</v>
          </cell>
          <cell r="R857" t="str">
            <v>BONIFICO BANCARIO, ALLA DATA DELLA NOSTRA CONFERMA D'ORDINE</v>
          </cell>
          <cell r="X857">
            <v>0.25</v>
          </cell>
          <cell r="Y857">
            <v>-0.04</v>
          </cell>
          <cell r="AB857">
            <v>0.25</v>
          </cell>
          <cell r="AC857">
            <v>0.25</v>
          </cell>
          <cell r="AD857">
            <v>0.25</v>
          </cell>
          <cell r="AE857">
            <v>0.25</v>
          </cell>
          <cell r="AF857">
            <v>0.25</v>
          </cell>
          <cell r="AG857">
            <v>0.25</v>
          </cell>
          <cell r="AH857">
            <v>0.25</v>
          </cell>
          <cell r="AI857">
            <v>0.25</v>
          </cell>
          <cell r="AJ857">
            <v>0.25</v>
          </cell>
          <cell r="AK857">
            <v>0.25</v>
          </cell>
          <cell r="AL857">
            <v>0.25</v>
          </cell>
          <cell r="AM857">
            <v>0.25</v>
          </cell>
          <cell r="AN857">
            <v>0.25</v>
          </cell>
          <cell r="AO857">
            <v>0.25</v>
          </cell>
          <cell r="AP857">
            <v>0.25</v>
          </cell>
          <cell r="AQ857">
            <v>0.25</v>
          </cell>
          <cell r="AR857">
            <v>0.25</v>
          </cell>
          <cell r="AS857">
            <v>0.25</v>
          </cell>
          <cell r="AT857">
            <v>-0.04</v>
          </cell>
          <cell r="AU857">
            <v>0.92</v>
          </cell>
          <cell r="AV857">
            <v>20</v>
          </cell>
          <cell r="AZ857">
            <v>0.25</v>
          </cell>
          <cell r="BA857">
            <v>0.25</v>
          </cell>
        </row>
        <row r="858">
          <cell r="A858" t="str">
            <v xml:space="preserve">F.A.M. SRL </v>
          </cell>
          <cell r="B858" t="str">
            <v>ASTOLFI TITOLARE        -  SAMANTHA</v>
          </cell>
          <cell r="D858" t="str">
            <v>VIA G. ROSSA, 5/2</v>
          </cell>
          <cell r="E858">
            <v>40050</v>
          </cell>
          <cell r="F858" t="str">
            <v>MONTEVEGLIO</v>
          </cell>
          <cell r="G858" t="str">
            <v>BO</v>
          </cell>
          <cell r="H858" t="str">
            <v>ITALIA</v>
          </cell>
          <cell r="I858" t="str">
            <v>01781761208</v>
          </cell>
          <cell r="J858" t="str">
            <v>01781761208</v>
          </cell>
          <cell r="K858" t="str">
            <v>T04ZHR3</v>
          </cell>
          <cell r="M858" t="str">
            <v>UFFICIO ACQUISTI</v>
          </cell>
          <cell r="N858" t="str">
            <v>051 832656</v>
          </cell>
          <cell r="P858" t="str">
            <v> info.fam.srl@gmail.com</v>
          </cell>
          <cell r="R858" t="str">
            <v>BONIFICO BANCARIO, ALLA DATA DELLA NOSTRA CONFERMA D'ORDINE</v>
          </cell>
          <cell r="X858">
            <v>0.25</v>
          </cell>
          <cell r="Y858">
            <v>-0.04</v>
          </cell>
          <cell r="AB858">
            <v>0.25</v>
          </cell>
          <cell r="AC858">
            <v>0.25</v>
          </cell>
          <cell r="AD858">
            <v>0.25</v>
          </cell>
          <cell r="AE858">
            <v>0.25</v>
          </cell>
          <cell r="AF858">
            <v>0.25</v>
          </cell>
          <cell r="AG858">
            <v>0.25</v>
          </cell>
          <cell r="AH858">
            <v>0.25</v>
          </cell>
          <cell r="AI858">
            <v>0.25</v>
          </cell>
          <cell r="AJ858">
            <v>0.25</v>
          </cell>
          <cell r="AK858">
            <v>0.25</v>
          </cell>
          <cell r="AL858">
            <v>0.25</v>
          </cell>
          <cell r="AM858">
            <v>0.25</v>
          </cell>
          <cell r="AN858">
            <v>0.25</v>
          </cell>
          <cell r="AO858">
            <v>0.25</v>
          </cell>
          <cell r="AP858">
            <v>0.25</v>
          </cell>
          <cell r="AQ858">
            <v>0.25</v>
          </cell>
          <cell r="AR858">
            <v>0.25</v>
          </cell>
          <cell r="AS858">
            <v>0.25</v>
          </cell>
          <cell r="AT858">
            <v>-0.04</v>
          </cell>
          <cell r="AU858">
            <v>0.92</v>
          </cell>
          <cell r="AV858">
            <v>20</v>
          </cell>
          <cell r="AZ858">
            <v>0.25</v>
          </cell>
          <cell r="BA858">
            <v>0.25</v>
          </cell>
          <cell r="BF858" t="str">
            <v>CLICK RAPID con carpenteria 22/07/2020</v>
          </cell>
        </row>
        <row r="859">
          <cell r="A859" t="str">
            <v>F.A.R. S.r.l.</v>
          </cell>
          <cell r="D859" t="str">
            <v>VIA G.GALILEI, 18</v>
          </cell>
          <cell r="E859">
            <v>20091</v>
          </cell>
          <cell r="F859" t="str">
            <v>BRESSO</v>
          </cell>
          <cell r="G859" t="str">
            <v>MI</v>
          </cell>
          <cell r="H859" t="str">
            <v>ITALIA</v>
          </cell>
          <cell r="M859" t="str">
            <v>UFFICIO ACQUISTI</v>
          </cell>
          <cell r="N859" t="str">
            <v>02 66501387</v>
          </cell>
          <cell r="R859" t="str">
            <v>BONIFICO BANCARIO, ALLA DATA DELLA NOSTRA CONFERMA D'ORDINE</v>
          </cell>
          <cell r="X859">
            <v>0.25</v>
          </cell>
          <cell r="Y859">
            <v>-0.04</v>
          </cell>
          <cell r="AB859">
            <v>0.25</v>
          </cell>
          <cell r="AC859">
            <v>0.25</v>
          </cell>
          <cell r="AD859">
            <v>0.25</v>
          </cell>
          <cell r="AE859">
            <v>0.25</v>
          </cell>
          <cell r="AF859">
            <v>0.25</v>
          </cell>
          <cell r="AG859">
            <v>0.25</v>
          </cell>
          <cell r="AH859">
            <v>0.25</v>
          </cell>
          <cell r="AI859">
            <v>0.25</v>
          </cell>
          <cell r="AJ859">
            <v>0.25</v>
          </cell>
          <cell r="AK859">
            <v>0.25</v>
          </cell>
          <cell r="AL859">
            <v>0.25</v>
          </cell>
          <cell r="AM859">
            <v>0.25</v>
          </cell>
          <cell r="AN859">
            <v>0.25</v>
          </cell>
          <cell r="AO859">
            <v>0.25</v>
          </cell>
          <cell r="AP859">
            <v>0.25</v>
          </cell>
          <cell r="AQ859">
            <v>0.25</v>
          </cell>
          <cell r="AR859">
            <v>0.25</v>
          </cell>
          <cell r="AS859">
            <v>0.25</v>
          </cell>
          <cell r="AT859">
            <v>-0.04</v>
          </cell>
          <cell r="AU859">
            <v>0.92</v>
          </cell>
          <cell r="AV859">
            <v>20</v>
          </cell>
          <cell r="AZ859">
            <v>0.25</v>
          </cell>
          <cell r="BA859">
            <v>0.25</v>
          </cell>
        </row>
        <row r="860">
          <cell r="A860" t="str">
            <v>F.B. INFISSI SRL</v>
          </cell>
          <cell r="B860" t="str">
            <v>LAZZARO E MARICA HA PAGATO CASSA IL CAMPIONE VIENE LUI A RITIRARE DOPO IL 24   CHIEDERE MV</v>
          </cell>
          <cell r="D860" t="str">
            <v>VIA G. GARIBALDI, 136 F</v>
          </cell>
          <cell r="E860">
            <v>44020</v>
          </cell>
          <cell r="F860" t="str">
            <v>OSTELLATO</v>
          </cell>
          <cell r="G860" t="str">
            <v>FE</v>
          </cell>
          <cell r="H860" t="str">
            <v>ITALIA</v>
          </cell>
          <cell r="I860" t="str">
            <v>01384280382</v>
          </cell>
          <cell r="J860" t="str">
            <v>01384280382</v>
          </cell>
          <cell r="K860" t="str">
            <v>J6URRTW</v>
          </cell>
          <cell r="M860" t="str">
            <v>UFFICIO ACQUISTI</v>
          </cell>
          <cell r="N860" t="str">
            <v>0533 680937</v>
          </cell>
          <cell r="P860" t="str">
            <v>info@fbinfissi.it</v>
          </cell>
          <cell r="R860" t="str">
            <v>BONIFICO BANCARIO, ALLA DATA DELLA NOSTRA CONFERMA D'ORDINE</v>
          </cell>
          <cell r="X860">
            <v>0.25</v>
          </cell>
          <cell r="Y860">
            <v>-0.04</v>
          </cell>
          <cell r="AB860">
            <v>0.25</v>
          </cell>
          <cell r="AC860">
            <v>0.25</v>
          </cell>
          <cell r="AD860">
            <v>0.25</v>
          </cell>
          <cell r="AE860">
            <v>0.25</v>
          </cell>
          <cell r="AF860">
            <v>0.25</v>
          </cell>
          <cell r="AG860">
            <v>0.25</v>
          </cell>
          <cell r="AH860">
            <v>0.25</v>
          </cell>
          <cell r="AI860">
            <v>0.25</v>
          </cell>
          <cell r="AJ860">
            <v>0.25</v>
          </cell>
          <cell r="AK860">
            <v>0.25</v>
          </cell>
          <cell r="AL860">
            <v>0.25</v>
          </cell>
          <cell r="AM860">
            <v>0.25</v>
          </cell>
          <cell r="AN860">
            <v>0.25</v>
          </cell>
          <cell r="AO860">
            <v>0.25</v>
          </cell>
          <cell r="AP860">
            <v>0.25</v>
          </cell>
          <cell r="AQ860">
            <v>0.25</v>
          </cell>
          <cell r="AR860">
            <v>0.25</v>
          </cell>
          <cell r="AS860">
            <v>0.25</v>
          </cell>
          <cell r="AT860">
            <v>-0.04</v>
          </cell>
          <cell r="AU860">
            <v>0.92</v>
          </cell>
          <cell r="AV860">
            <v>20</v>
          </cell>
          <cell r="AY860" t="str">
            <v/>
          </cell>
          <cell r="AZ860">
            <v>0.25</v>
          </cell>
          <cell r="BA860">
            <v>0.25</v>
          </cell>
        </row>
        <row r="861">
          <cell r="A861" t="str">
            <v>F.C. COSTRUZIONI DI FIORILLI CLAUDIO</v>
          </cell>
          <cell r="D861" t="str">
            <v>VIA BLIGNY, 3</v>
          </cell>
          <cell r="E861" t="str">
            <v>18039</v>
          </cell>
          <cell r="F861" t="str">
            <v>VENTIMIGLIA</v>
          </cell>
          <cell r="G861" t="str">
            <v>IM</v>
          </cell>
          <cell r="H861" t="str">
            <v>ITALIA</v>
          </cell>
          <cell r="M861" t="str">
            <v>UFFICIO ACQUISTI</v>
          </cell>
          <cell r="O861" t="str">
            <v>346 6791642 CLAUDIO FIORILLI</v>
          </cell>
          <cell r="P861" t="str">
            <v>claudiofiorilli@gmail.com</v>
          </cell>
          <cell r="R861" t="str">
            <v>BONIFICO BANCARIO, ALLA DATA DELLA NOSTRA CONFERMA D'ORDINE</v>
          </cell>
          <cell r="X861">
            <v>0.18</v>
          </cell>
          <cell r="Y861">
            <v>-0.04</v>
          </cell>
          <cell r="AB861">
            <v>0.18</v>
          </cell>
          <cell r="AC861">
            <v>0.18</v>
          </cell>
          <cell r="AD861">
            <v>0.18</v>
          </cell>
          <cell r="AE861">
            <v>0.18</v>
          </cell>
          <cell r="AF861">
            <v>0.18</v>
          </cell>
          <cell r="AG861">
            <v>0.18</v>
          </cell>
          <cell r="AH861">
            <v>0.18</v>
          </cell>
          <cell r="AI861">
            <v>0.18</v>
          </cell>
          <cell r="AJ861">
            <v>0.18</v>
          </cell>
          <cell r="AK861">
            <v>0.18</v>
          </cell>
          <cell r="AL861">
            <v>0.18</v>
          </cell>
          <cell r="AM861">
            <v>0.18</v>
          </cell>
          <cell r="AN861">
            <v>0.18</v>
          </cell>
          <cell r="AO861">
            <v>0.18</v>
          </cell>
          <cell r="AP861">
            <v>0.18</v>
          </cell>
          <cell r="AQ861">
            <v>0.18</v>
          </cell>
          <cell r="AR861">
            <v>0.18</v>
          </cell>
          <cell r="AS861">
            <v>0.18</v>
          </cell>
          <cell r="AT861">
            <v>-0.04</v>
          </cell>
          <cell r="AU861">
            <v>0.92</v>
          </cell>
          <cell r="AV861">
            <v>20</v>
          </cell>
          <cell r="AZ861">
            <v>0.18</v>
          </cell>
          <cell r="BA861">
            <v>0.18</v>
          </cell>
        </row>
        <row r="862">
          <cell r="A862" t="str">
            <v>F.C. INFISSI E SERRAMENTI DI FABRIZIO CIARALLI</v>
          </cell>
          <cell r="D862" t="str">
            <v>VIA DELLA SCAFA 131 B/C</v>
          </cell>
          <cell r="F862" t="str">
            <v xml:space="preserve">FIUMICINO </v>
          </cell>
          <cell r="G862" t="str">
            <v>RM</v>
          </cell>
          <cell r="H862" t="str">
            <v>ITALIA</v>
          </cell>
          <cell r="M862" t="str">
            <v>UFFICIO ACQUISTI</v>
          </cell>
          <cell r="O862" t="str">
            <v>348 7135463</v>
          </cell>
          <cell r="P862" t="str">
            <v>fc.infissieserramenti@yahoo.it</v>
          </cell>
          <cell r="R862" t="str">
            <v>BONIFICO BANCARIO, ALLA DATA DELLA NOSTRA CONFERMA D'ORDINE</v>
          </cell>
          <cell r="X862">
            <v>0.25</v>
          </cell>
          <cell r="Y862">
            <v>-0.04</v>
          </cell>
          <cell r="AB862">
            <v>0.25</v>
          </cell>
          <cell r="AC862">
            <v>0.25</v>
          </cell>
          <cell r="AD862">
            <v>0.25</v>
          </cell>
          <cell r="AE862">
            <v>0.25</v>
          </cell>
          <cell r="AF862">
            <v>0.25</v>
          </cell>
          <cell r="AG862">
            <v>0.25</v>
          </cell>
          <cell r="AH862">
            <v>0.25</v>
          </cell>
          <cell r="AI862">
            <v>0.25</v>
          </cell>
          <cell r="AJ862">
            <v>0.25</v>
          </cell>
          <cell r="AK862">
            <v>0.25</v>
          </cell>
          <cell r="AL862">
            <v>0.25</v>
          </cell>
          <cell r="AM862">
            <v>0.25</v>
          </cell>
          <cell r="AN862">
            <v>0.25</v>
          </cell>
          <cell r="AO862">
            <v>0.25</v>
          </cell>
          <cell r="AP862">
            <v>0.25</v>
          </cell>
          <cell r="AQ862">
            <v>0.25</v>
          </cell>
          <cell r="AR862">
            <v>0.25</v>
          </cell>
          <cell r="AS862">
            <v>0.25</v>
          </cell>
          <cell r="AT862">
            <v>-0.04</v>
          </cell>
          <cell r="AU862">
            <v>0.92</v>
          </cell>
          <cell r="AV862">
            <v>20</v>
          </cell>
          <cell r="AY862" t="str">
            <v/>
          </cell>
          <cell r="AZ862">
            <v>0.25</v>
          </cell>
          <cell r="BA862">
            <v>0.25</v>
          </cell>
        </row>
        <row r="863">
          <cell r="A863" t="str">
            <v>F.D.S. SAS</v>
          </cell>
          <cell r="D863" t="str">
            <v>VIA ISONZO, 80  84</v>
          </cell>
          <cell r="E863">
            <v>20089</v>
          </cell>
          <cell r="F863" t="str">
            <v>ROZZANO</v>
          </cell>
          <cell r="G863" t="str">
            <v>MI</v>
          </cell>
          <cell r="H863" t="str">
            <v>ITALIA</v>
          </cell>
          <cell r="M863" t="str">
            <v>UFFICIO ACQUISTI</v>
          </cell>
          <cell r="N863" t="str">
            <v>02 8251146</v>
          </cell>
          <cell r="O863" t="str">
            <v>389 3308480</v>
          </cell>
          <cell r="P863" t="str">
            <v>info@fds-design.net</v>
          </cell>
          <cell r="R863" t="str">
            <v>BONIFICO BANCARIO, ALLA DATA DELLA NOSTRA CONFERMA D'ORDINE</v>
          </cell>
          <cell r="X863">
            <v>0.25</v>
          </cell>
          <cell r="Y863">
            <v>-0.04</v>
          </cell>
          <cell r="AB863">
            <v>0.25</v>
          </cell>
          <cell r="AC863">
            <v>0.25</v>
          </cell>
          <cell r="AD863">
            <v>0.25</v>
          </cell>
          <cell r="AE863">
            <v>0.25</v>
          </cell>
          <cell r="AF863">
            <v>0.25</v>
          </cell>
          <cell r="AG863">
            <v>0.25</v>
          </cell>
          <cell r="AH863">
            <v>0.25</v>
          </cell>
          <cell r="AI863">
            <v>0.25</v>
          </cell>
          <cell r="AJ863">
            <v>0.25</v>
          </cell>
          <cell r="AK863">
            <v>0.25</v>
          </cell>
          <cell r="AL863">
            <v>0.25</v>
          </cell>
          <cell r="AM863">
            <v>0.25</v>
          </cell>
          <cell r="AN863">
            <v>0.25</v>
          </cell>
          <cell r="AO863">
            <v>0.25</v>
          </cell>
          <cell r="AP863">
            <v>0.25</v>
          </cell>
          <cell r="AQ863">
            <v>0.25</v>
          </cell>
          <cell r="AR863">
            <v>0.25</v>
          </cell>
          <cell r="AS863">
            <v>0.25</v>
          </cell>
          <cell r="AT863">
            <v>-0.04</v>
          </cell>
          <cell r="AU863">
            <v>0.92</v>
          </cell>
          <cell r="AV863">
            <v>20</v>
          </cell>
          <cell r="AY863" t="str">
            <v/>
          </cell>
          <cell r="AZ863">
            <v>0.25</v>
          </cell>
          <cell r="BA863">
            <v>0.25</v>
          </cell>
        </row>
        <row r="864">
          <cell r="A864" t="str">
            <v>F.G.S. GIORDANO</v>
          </cell>
          <cell r="D864" t="str">
            <v xml:space="preserve">VIA MICHELETTO, 129  EX SS.460 </v>
          </cell>
          <cell r="E864">
            <v>10080</v>
          </cell>
          <cell r="F864" t="str">
            <v>FELETTO</v>
          </cell>
          <cell r="G864" t="str">
            <v>TO</v>
          </cell>
          <cell r="H864" t="str">
            <v>ITALIA</v>
          </cell>
          <cell r="M864" t="str">
            <v>UFFICIO ACQUISTI</v>
          </cell>
          <cell r="N864" t="str">
            <v>0124 490793</v>
          </cell>
          <cell r="P864" t="str">
            <v>giordano@fgsscale.it</v>
          </cell>
          <cell r="R864" t="str">
            <v>BONIFICO BANCARIO, ALLA DATA DELLA NOSTRA CONFERMA D'ORDINE</v>
          </cell>
          <cell r="X864">
            <v>0.25</v>
          </cell>
          <cell r="Y864">
            <v>-0.04</v>
          </cell>
          <cell r="AB864">
            <v>0.25</v>
          </cell>
          <cell r="AC864">
            <v>0.25</v>
          </cell>
          <cell r="AD864">
            <v>0.25</v>
          </cell>
          <cell r="AE864">
            <v>0.25</v>
          </cell>
          <cell r="AF864">
            <v>0.25</v>
          </cell>
          <cell r="AG864">
            <v>0.25</v>
          </cell>
          <cell r="AH864">
            <v>0.25</v>
          </cell>
          <cell r="AI864">
            <v>0.25</v>
          </cell>
          <cell r="AJ864">
            <v>0.25</v>
          </cell>
          <cell r="AK864">
            <v>0.25</v>
          </cell>
          <cell r="AL864">
            <v>0.25</v>
          </cell>
          <cell r="AM864">
            <v>0.25</v>
          </cell>
          <cell r="AN864">
            <v>0.25</v>
          </cell>
          <cell r="AO864">
            <v>0.25</v>
          </cell>
          <cell r="AP864">
            <v>0.25</v>
          </cell>
          <cell r="AQ864">
            <v>0.25</v>
          </cell>
          <cell r="AR864">
            <v>0.25</v>
          </cell>
          <cell r="AS864">
            <v>0.25</v>
          </cell>
          <cell r="AT864">
            <v>-0.04</v>
          </cell>
          <cell r="AU864">
            <v>0.92</v>
          </cell>
          <cell r="AV864">
            <v>20</v>
          </cell>
          <cell r="AY864" t="str">
            <v/>
          </cell>
          <cell r="AZ864">
            <v>0.25</v>
          </cell>
          <cell r="BA864">
            <v>0.25</v>
          </cell>
        </row>
        <row r="865">
          <cell r="A865" t="str">
            <v>F.LLI ALBERTO &amp; C.</v>
          </cell>
          <cell r="D865" t="str">
            <v>FRAZ. LE PONT, 2</v>
          </cell>
          <cell r="E865" t="str">
            <v>11015</v>
          </cell>
          <cell r="F865" t="str">
            <v>LA SALLE</v>
          </cell>
          <cell r="G865" t="str">
            <v>AO</v>
          </cell>
          <cell r="H865" t="str">
            <v>ITALIA</v>
          </cell>
          <cell r="J865" t="str">
            <v>00067890079</v>
          </cell>
          <cell r="M865" t="str">
            <v>UFFICIO ACQUISTI</v>
          </cell>
          <cell r="N865" t="str">
            <v>0165 861187</v>
          </cell>
          <cell r="P865" t="str">
            <v>info@albertoserramenti.it</v>
          </cell>
          <cell r="R865" t="str">
            <v>BONIFICO BANCARIO, ALLA DATA DELLA NOSTRA CONFERMA D'ORDINE</v>
          </cell>
          <cell r="X865">
            <v>0.25</v>
          </cell>
          <cell r="Y865">
            <v>-0.04</v>
          </cell>
          <cell r="AB865">
            <v>0.25</v>
          </cell>
          <cell r="AC865">
            <v>0.25</v>
          </cell>
          <cell r="AD865">
            <v>0.25</v>
          </cell>
          <cell r="AE865">
            <v>0.25</v>
          </cell>
          <cell r="AF865">
            <v>0.25</v>
          </cell>
          <cell r="AG865">
            <v>0.25</v>
          </cell>
          <cell r="AH865">
            <v>0.25</v>
          </cell>
          <cell r="AI865">
            <v>0.25</v>
          </cell>
          <cell r="AJ865">
            <v>0.25</v>
          </cell>
          <cell r="AK865">
            <v>0.25</v>
          </cell>
          <cell r="AL865">
            <v>0.25</v>
          </cell>
          <cell r="AM865">
            <v>0.25</v>
          </cell>
          <cell r="AN865">
            <v>0.25</v>
          </cell>
          <cell r="AO865">
            <v>0.25</v>
          </cell>
          <cell r="AP865">
            <v>0.25</v>
          </cell>
          <cell r="AQ865">
            <v>0.25</v>
          </cell>
          <cell r="AR865">
            <v>0.25</v>
          </cell>
          <cell r="AS865">
            <v>0.25</v>
          </cell>
          <cell r="AT865">
            <v>-0.04</v>
          </cell>
          <cell r="AU865">
            <v>0.92</v>
          </cell>
          <cell r="AV865">
            <v>20</v>
          </cell>
          <cell r="AZ865">
            <v>0.25</v>
          </cell>
          <cell r="BA865">
            <v>0.25</v>
          </cell>
        </row>
        <row r="866">
          <cell r="A866" t="str">
            <v>F.LLI BARONE</v>
          </cell>
          <cell r="B866" t="str">
            <v>PARLA CON CLAUDIO</v>
          </cell>
          <cell r="D866" t="str">
            <v>C.DA PETRARO SN</v>
          </cell>
          <cell r="E866">
            <v>97013</v>
          </cell>
          <cell r="F866" t="str">
            <v>COMISO</v>
          </cell>
          <cell r="G866" t="str">
            <v>RG</v>
          </cell>
          <cell r="H866" t="str">
            <v>ITALIA</v>
          </cell>
          <cell r="M866" t="str">
            <v>UFFICIO ACQUISTI</v>
          </cell>
          <cell r="N866" t="str">
            <v>0932 962457</v>
          </cell>
          <cell r="O866" t="str">
            <v>Claudio3931540135</v>
          </cell>
          <cell r="P866" t="str">
            <v>info@infissifratellibarone.com</v>
          </cell>
          <cell r="R866" t="str">
            <v>BONIFICO BANCARIO, ALLA DATA DELLA NOSTRA CONFERMA D'ORDINE</v>
          </cell>
          <cell r="X866">
            <v>0.25</v>
          </cell>
          <cell r="Y866">
            <v>-0.04</v>
          </cell>
          <cell r="AB866">
            <v>0.25</v>
          </cell>
          <cell r="AC866">
            <v>0.25</v>
          </cell>
          <cell r="AD866">
            <v>0.25</v>
          </cell>
          <cell r="AE866">
            <v>0.25</v>
          </cell>
          <cell r="AF866">
            <v>0.25</v>
          </cell>
          <cell r="AG866">
            <v>0.25</v>
          </cell>
          <cell r="AH866">
            <v>0.25</v>
          </cell>
          <cell r="AI866">
            <v>0.25</v>
          </cell>
          <cell r="AJ866">
            <v>0.25</v>
          </cell>
          <cell r="AK866">
            <v>0.25</v>
          </cell>
          <cell r="AL866">
            <v>0.25</v>
          </cell>
          <cell r="AM866">
            <v>0.25</v>
          </cell>
          <cell r="AN866">
            <v>0.25</v>
          </cell>
          <cell r="AO866">
            <v>0.25</v>
          </cell>
          <cell r="AP866">
            <v>0.25</v>
          </cell>
          <cell r="AQ866">
            <v>0.25</v>
          </cell>
          <cell r="AR866">
            <v>0.25</v>
          </cell>
          <cell r="AS866">
            <v>0.25</v>
          </cell>
          <cell r="AT866">
            <v>-0.04</v>
          </cell>
          <cell r="AU866">
            <v>0.92</v>
          </cell>
          <cell r="AV866">
            <v>20</v>
          </cell>
          <cell r="AY866" t="str">
            <v/>
          </cell>
          <cell r="AZ866">
            <v>0.25</v>
          </cell>
          <cell r="BA866">
            <v>0.25</v>
          </cell>
        </row>
        <row r="867">
          <cell r="A867" t="str">
            <v>F.LLI BARTOLI DI BARTOLI MASSIMO &amp; C. SNC</v>
          </cell>
          <cell r="D867" t="str">
            <v>VIA MERCADANTE, 18  20</v>
          </cell>
          <cell r="E867">
            <v>47841</v>
          </cell>
          <cell r="F867" t="str">
            <v>CATTOLICA</v>
          </cell>
          <cell r="G867" t="str">
            <v>RN</v>
          </cell>
          <cell r="H867" t="str">
            <v>ITALIA</v>
          </cell>
          <cell r="I867">
            <v>2203030404</v>
          </cell>
          <cell r="J867">
            <v>2203030404</v>
          </cell>
          <cell r="K867" t="str">
            <v>M5UXCR1</v>
          </cell>
          <cell r="M867" t="str">
            <v>UFFICIO ACQUISTI</v>
          </cell>
          <cell r="N867" t="str">
            <v>0541 951635</v>
          </cell>
          <cell r="O867" t="str">
            <v>335 280960</v>
          </cell>
          <cell r="P867" t="str">
            <v>bartoli@gestimpresa.net</v>
          </cell>
          <cell r="R867" t="str">
            <v>BONIFICO BANCARIO, ALLA DATA DELLA NOSTRA CONFERMA D'ORDINE</v>
          </cell>
          <cell r="X867">
            <v>0.25</v>
          </cell>
          <cell r="Y867">
            <v>-0.04</v>
          </cell>
          <cell r="AB867">
            <v>0.25</v>
          </cell>
          <cell r="AC867">
            <v>0.25</v>
          </cell>
          <cell r="AD867">
            <v>0.25</v>
          </cell>
          <cell r="AE867">
            <v>0.25</v>
          </cell>
          <cell r="AF867">
            <v>0.25</v>
          </cell>
          <cell r="AG867">
            <v>0.25</v>
          </cell>
          <cell r="AH867">
            <v>0.25</v>
          </cell>
          <cell r="AI867">
            <v>0.25</v>
          </cell>
          <cell r="AJ867">
            <v>0.25</v>
          </cell>
          <cell r="AK867">
            <v>0.25</v>
          </cell>
          <cell r="AL867">
            <v>0.25</v>
          </cell>
          <cell r="AM867">
            <v>0.25</v>
          </cell>
          <cell r="AN867">
            <v>0.25</v>
          </cell>
          <cell r="AO867">
            <v>0.25</v>
          </cell>
          <cell r="AP867">
            <v>0.25</v>
          </cell>
          <cell r="AQ867">
            <v>0.25</v>
          </cell>
          <cell r="AR867">
            <v>0.25</v>
          </cell>
          <cell r="AS867">
            <v>0.25</v>
          </cell>
          <cell r="AT867">
            <v>-0.04</v>
          </cell>
          <cell r="AU867">
            <v>0.92</v>
          </cell>
          <cell r="AV867">
            <v>20</v>
          </cell>
          <cell r="AY867" t="str">
            <v/>
          </cell>
          <cell r="AZ867">
            <v>0.25</v>
          </cell>
          <cell r="BA867">
            <v>0.25</v>
          </cell>
        </row>
        <row r="868">
          <cell r="A868" t="str">
            <v>F.LLI BISSIONI SRL</v>
          </cell>
          <cell r="D868" t="str">
            <v>VIA SAN CRISPINO, 120</v>
          </cell>
          <cell r="E868" t="str">
            <v>47020</v>
          </cell>
          <cell r="F868" t="str">
            <v>PIEVESESTINA DI CESENA</v>
          </cell>
          <cell r="G868" t="str">
            <v>FC</v>
          </cell>
          <cell r="H868" t="str">
            <v>ITALIA</v>
          </cell>
          <cell r="J868" t="str">
            <v>0812530400</v>
          </cell>
          <cell r="M868" t="str">
            <v>UFFICIO ACQUISTI</v>
          </cell>
          <cell r="N868" t="str">
            <v>0547 317123</v>
          </cell>
          <cell r="P868" t="str">
            <v>christian@bissioni.it</v>
          </cell>
          <cell r="R868" t="str">
            <v>BONIFICO BANCARIO, ALLA DATA DELLA NOSTRA CONFERMA D'ORDINE</v>
          </cell>
          <cell r="X868">
            <v>0.15</v>
          </cell>
          <cell r="Y868">
            <v>-0.04</v>
          </cell>
          <cell r="AB868">
            <v>0.15</v>
          </cell>
          <cell r="AC868">
            <v>0.15</v>
          </cell>
          <cell r="AD868">
            <v>0.15</v>
          </cell>
          <cell r="AE868">
            <v>0.15</v>
          </cell>
          <cell r="AF868">
            <v>0.15</v>
          </cell>
          <cell r="AG868">
            <v>0.15</v>
          </cell>
          <cell r="AH868">
            <v>0.15</v>
          </cell>
          <cell r="AI868">
            <v>0.15</v>
          </cell>
          <cell r="AJ868">
            <v>0.15</v>
          </cell>
          <cell r="AK868">
            <v>0.15</v>
          </cell>
          <cell r="AL868">
            <v>0.15</v>
          </cell>
          <cell r="AM868">
            <v>0.15</v>
          </cell>
          <cell r="AN868">
            <v>0.15</v>
          </cell>
          <cell r="AO868">
            <v>0.15</v>
          </cell>
          <cell r="AP868">
            <v>0.15</v>
          </cell>
          <cell r="AQ868">
            <v>0.15</v>
          </cell>
          <cell r="AR868">
            <v>0.15</v>
          </cell>
          <cell r="AS868">
            <v>0.15</v>
          </cell>
          <cell r="AT868">
            <v>-0.04</v>
          </cell>
          <cell r="AU868">
            <v>0.92</v>
          </cell>
          <cell r="AV868">
            <v>20</v>
          </cell>
          <cell r="AZ868">
            <v>0.15</v>
          </cell>
          <cell r="BA868">
            <v>0.15</v>
          </cell>
        </row>
        <row r="869">
          <cell r="A869" t="str">
            <v>F.LLI BOERO SAS</v>
          </cell>
          <cell r="D869" t="str">
            <v>VIA NAZIONALE, 23</v>
          </cell>
          <cell r="E869" t="str">
            <v>17035</v>
          </cell>
          <cell r="F869" t="str">
            <v>CISANO SUL NEVA</v>
          </cell>
          <cell r="G869" t="str">
            <v>SV</v>
          </cell>
          <cell r="H869" t="str">
            <v>ITALIA</v>
          </cell>
          <cell r="J869" t="str">
            <v>00818130098</v>
          </cell>
          <cell r="K869" t="str">
            <v>SUBM70N</v>
          </cell>
          <cell r="M869" t="str">
            <v>UFFICIO ACQUISTI</v>
          </cell>
          <cell r="N869" t="str">
            <v>0182 21036</v>
          </cell>
          <cell r="P869" t="str">
            <v>fratelli.boero@libero.it</v>
          </cell>
          <cell r="R869" t="str">
            <v>BONIFICO BANCARIO, ALLA DATA DELLA NOSTRA CONFERMA D'ORDINE</v>
          </cell>
          <cell r="X869">
            <v>0.25</v>
          </cell>
          <cell r="Y869">
            <v>-0.04</v>
          </cell>
          <cell r="AB869">
            <v>0.25</v>
          </cell>
          <cell r="AC869">
            <v>0.25</v>
          </cell>
          <cell r="AD869">
            <v>0.25</v>
          </cell>
          <cell r="AE869">
            <v>0.25</v>
          </cell>
          <cell r="AF869">
            <v>0.25</v>
          </cell>
          <cell r="AG869">
            <v>0.25</v>
          </cell>
          <cell r="AH869">
            <v>0.25</v>
          </cell>
          <cell r="AI869">
            <v>0.25</v>
          </cell>
          <cell r="AJ869">
            <v>0.25</v>
          </cell>
          <cell r="AK869">
            <v>0.25</v>
          </cell>
          <cell r="AL869">
            <v>0.25</v>
          </cell>
          <cell r="AM869">
            <v>0.25</v>
          </cell>
          <cell r="AN869">
            <v>0.25</v>
          </cell>
          <cell r="AO869">
            <v>0.25</v>
          </cell>
          <cell r="AP869">
            <v>0.25</v>
          </cell>
          <cell r="AQ869">
            <v>0.25</v>
          </cell>
          <cell r="AR869">
            <v>0.25</v>
          </cell>
          <cell r="AS869">
            <v>0.25</v>
          </cell>
          <cell r="AT869">
            <v>-0.04</v>
          </cell>
          <cell r="AU869">
            <v>0.92</v>
          </cell>
          <cell r="AV869">
            <v>20</v>
          </cell>
          <cell r="AY869" t="str">
            <v/>
          </cell>
          <cell r="AZ869">
            <v>0.25</v>
          </cell>
          <cell r="BA869">
            <v>0.25</v>
          </cell>
          <cell r="BF869" t="str">
            <v>CLICK RAPID con carpenteria 30/11/2020</v>
          </cell>
        </row>
        <row r="870">
          <cell r="A870" t="str">
            <v>F.LLI CARUGO</v>
          </cell>
          <cell r="D870" t="str">
            <v>VIALE DELL'INDUSTRIA, 6</v>
          </cell>
          <cell r="E870">
            <v>22069</v>
          </cell>
          <cell r="F870" t="str">
            <v xml:space="preserve">ROVELLASCA </v>
          </cell>
          <cell r="G870" t="str">
            <v>CO</v>
          </cell>
          <cell r="H870" t="str">
            <v>ITALIA</v>
          </cell>
          <cell r="M870" t="str">
            <v>UFFICIO ACQUISTI</v>
          </cell>
          <cell r="N870" t="str">
            <v>02 96342322</v>
          </cell>
          <cell r="P870" t="str">
            <v>info@carugo.it</v>
          </cell>
          <cell r="R870" t="str">
            <v>BONIFICO BANCARIO, ALLA DATA DELLA NOSTRA CONFERMA D'ORDINE</v>
          </cell>
          <cell r="X870">
            <v>0.25</v>
          </cell>
          <cell r="Y870">
            <v>-0.04</v>
          </cell>
          <cell r="AB870">
            <v>0.25</v>
          </cell>
          <cell r="AC870">
            <v>0.25</v>
          </cell>
          <cell r="AD870">
            <v>0.25</v>
          </cell>
          <cell r="AE870">
            <v>0.25</v>
          </cell>
          <cell r="AF870">
            <v>0.25</v>
          </cell>
          <cell r="AG870">
            <v>0.25</v>
          </cell>
          <cell r="AH870">
            <v>0.25</v>
          </cell>
          <cell r="AI870">
            <v>0.25</v>
          </cell>
          <cell r="AJ870">
            <v>0.25</v>
          </cell>
          <cell r="AK870">
            <v>0.25</v>
          </cell>
          <cell r="AL870">
            <v>0.25</v>
          </cell>
          <cell r="AM870">
            <v>0.25</v>
          </cell>
          <cell r="AN870">
            <v>0.25</v>
          </cell>
          <cell r="AO870">
            <v>0.25</v>
          </cell>
          <cell r="AP870">
            <v>0.25</v>
          </cell>
          <cell r="AQ870">
            <v>0.25</v>
          </cell>
          <cell r="AR870">
            <v>0.25</v>
          </cell>
          <cell r="AS870">
            <v>0.25</v>
          </cell>
          <cell r="AT870">
            <v>-0.04</v>
          </cell>
          <cell r="AU870">
            <v>0.92</v>
          </cell>
          <cell r="AV870">
            <v>20</v>
          </cell>
          <cell r="AZ870">
            <v>0.25</v>
          </cell>
          <cell r="BA870">
            <v>0.25</v>
          </cell>
        </row>
        <row r="871">
          <cell r="A871" t="str">
            <v>F.LLI DALIA SNC</v>
          </cell>
          <cell r="D871" t="str">
            <v>VIA GALILEO GALILEI, 41</v>
          </cell>
          <cell r="E871" t="str">
            <v>42027</v>
          </cell>
          <cell r="F871" t="str">
            <v>MONTECCHIO E.</v>
          </cell>
          <cell r="G871" t="str">
            <v>RE</v>
          </cell>
          <cell r="H871" t="str">
            <v>ITALIA</v>
          </cell>
          <cell r="I871" t="str">
            <v>00630730356</v>
          </cell>
          <cell r="J871" t="str">
            <v>00630730356</v>
          </cell>
          <cell r="M871" t="str">
            <v>UFFICIO ACQUISTI</v>
          </cell>
          <cell r="N871" t="str">
            <v>0544 864617</v>
          </cell>
          <cell r="R871" t="str">
            <v>BONIFICO BANCARIO, ALLA DATA DELLA NOSTRA CONFERMA D'ORDINE</v>
          </cell>
          <cell r="X871">
            <v>0.25</v>
          </cell>
          <cell r="Y871">
            <v>-0.04</v>
          </cell>
          <cell r="AB871">
            <v>0.25</v>
          </cell>
          <cell r="AC871">
            <v>0.25</v>
          </cell>
          <cell r="AD871">
            <v>0.25</v>
          </cell>
          <cell r="AE871">
            <v>0.25</v>
          </cell>
          <cell r="AF871">
            <v>0.25</v>
          </cell>
          <cell r="AG871">
            <v>0.25</v>
          </cell>
          <cell r="AH871">
            <v>0.25</v>
          </cell>
          <cell r="AI871">
            <v>0.25</v>
          </cell>
          <cell r="AJ871">
            <v>0.25</v>
          </cell>
          <cell r="AK871">
            <v>0.25</v>
          </cell>
          <cell r="AL871">
            <v>0.25</v>
          </cell>
          <cell r="AM871">
            <v>0.25</v>
          </cell>
          <cell r="AN871">
            <v>0.25</v>
          </cell>
          <cell r="AO871">
            <v>0.25</v>
          </cell>
          <cell r="AP871">
            <v>0.25</v>
          </cell>
          <cell r="AQ871">
            <v>0.25</v>
          </cell>
          <cell r="AR871">
            <v>0.25</v>
          </cell>
          <cell r="AS871">
            <v>0.25</v>
          </cell>
          <cell r="AT871">
            <v>-0.04</v>
          </cell>
          <cell r="AU871">
            <v>0.92</v>
          </cell>
          <cell r="AV871">
            <v>20</v>
          </cell>
          <cell r="AY871" t="str">
            <v/>
          </cell>
          <cell r="AZ871">
            <v>0.25</v>
          </cell>
          <cell r="BA871">
            <v>0.25</v>
          </cell>
        </row>
        <row r="872">
          <cell r="A872" t="str">
            <v>F.LLI DE PASQUALE SNC</v>
          </cell>
          <cell r="B872" t="str">
            <v>CAMPIONE 30% CARPENTERIA GRATUITA</v>
          </cell>
          <cell r="D872" t="str">
            <v>VIA LEONARDO DA VINCI</v>
          </cell>
          <cell r="F872" t="str">
            <v>ZONA ARTIGIANALE BARCELLONA</v>
          </cell>
          <cell r="G872" t="str">
            <v>ME</v>
          </cell>
          <cell r="H872" t="str">
            <v>ITALIA</v>
          </cell>
          <cell r="J872" t="str">
            <v>02682760836</v>
          </cell>
          <cell r="M872" t="str">
            <v>UFFICIO ACQUISTI</v>
          </cell>
          <cell r="N872" t="str">
            <v>090 9795253</v>
          </cell>
          <cell r="R872" t="str">
            <v>BONIFICO BANCARIO, ALLA DATA DELLA NOSTRA CONFERMA D'ORDINE</v>
          </cell>
          <cell r="X872">
            <v>0.25</v>
          </cell>
          <cell r="Y872">
            <v>-0.04</v>
          </cell>
          <cell r="AB872">
            <v>0.25</v>
          </cell>
          <cell r="AC872">
            <v>0.25</v>
          </cell>
          <cell r="AD872">
            <v>0.25</v>
          </cell>
          <cell r="AE872">
            <v>0.25</v>
          </cell>
          <cell r="AF872">
            <v>0.25</v>
          </cell>
          <cell r="AG872">
            <v>0.25</v>
          </cell>
          <cell r="AH872">
            <v>0.25</v>
          </cell>
          <cell r="AI872">
            <v>0.25</v>
          </cell>
          <cell r="AJ872">
            <v>0.25</v>
          </cell>
          <cell r="AK872">
            <v>0.25</v>
          </cell>
          <cell r="AL872">
            <v>0.25</v>
          </cell>
          <cell r="AM872">
            <v>0.25</v>
          </cell>
          <cell r="AN872">
            <v>0.25</v>
          </cell>
          <cell r="AO872">
            <v>0.25</v>
          </cell>
          <cell r="AP872">
            <v>0.25</v>
          </cell>
          <cell r="AQ872">
            <v>0.25</v>
          </cell>
          <cell r="AR872">
            <v>0.25</v>
          </cell>
          <cell r="AS872">
            <v>0.25</v>
          </cell>
          <cell r="AT872">
            <v>-0.04</v>
          </cell>
          <cell r="AU872">
            <v>0.92</v>
          </cell>
          <cell r="AV872">
            <v>20</v>
          </cell>
          <cell r="AY872" t="str">
            <v/>
          </cell>
          <cell r="AZ872">
            <v>0.25</v>
          </cell>
          <cell r="BA872">
            <v>0.25</v>
          </cell>
        </row>
        <row r="873">
          <cell r="A873" t="str">
            <v>F.LLI DE SIMONE</v>
          </cell>
          <cell r="D873" t="str">
            <v>VIA GIUSEPPE NUZZO 55</v>
          </cell>
          <cell r="E873" t="str">
            <v>80011</v>
          </cell>
          <cell r="F873" t="str">
            <v>ACERRA</v>
          </cell>
          <cell r="G873" t="str">
            <v>NA</v>
          </cell>
          <cell r="H873" t="str">
            <v>ITALIA</v>
          </cell>
          <cell r="M873" t="str">
            <v>UFFICIO ACQUISTI</v>
          </cell>
          <cell r="N873" t="str">
            <v>081 8860530</v>
          </cell>
          <cell r="O873" t="str">
            <v>335 426691</v>
          </cell>
          <cell r="P873" t="str">
            <v>desimone1967a@libero.it</v>
          </cell>
          <cell r="R873" t="str">
            <v>BONIFICO BANCARIO, ALLA DATA DELLA NOSTRA CONFERMA D'ORDINE</v>
          </cell>
          <cell r="X873">
            <v>0.25</v>
          </cell>
          <cell r="Y873">
            <v>-0.04</v>
          </cell>
          <cell r="AB873">
            <v>0.25</v>
          </cell>
          <cell r="AC873">
            <v>0.25</v>
          </cell>
          <cell r="AD873">
            <v>0.25</v>
          </cell>
          <cell r="AE873">
            <v>0.25</v>
          </cell>
          <cell r="AF873">
            <v>0.25</v>
          </cell>
          <cell r="AG873">
            <v>0.25</v>
          </cell>
          <cell r="AH873">
            <v>0.25</v>
          </cell>
          <cell r="AI873">
            <v>0.25</v>
          </cell>
          <cell r="AJ873">
            <v>0.25</v>
          </cell>
          <cell r="AK873">
            <v>0.25</v>
          </cell>
          <cell r="AL873">
            <v>0.25</v>
          </cell>
          <cell r="AM873">
            <v>0.25</v>
          </cell>
          <cell r="AN873">
            <v>0.25</v>
          </cell>
          <cell r="AO873">
            <v>0.25</v>
          </cell>
          <cell r="AP873">
            <v>0.25</v>
          </cell>
          <cell r="AQ873">
            <v>0.25</v>
          </cell>
          <cell r="AR873">
            <v>0.25</v>
          </cell>
          <cell r="AS873">
            <v>0.25</v>
          </cell>
          <cell r="AT873">
            <v>-0.04</v>
          </cell>
          <cell r="AU873">
            <v>0.92</v>
          </cell>
          <cell r="AV873">
            <v>20</v>
          </cell>
          <cell r="AY873" t="str">
            <v/>
          </cell>
          <cell r="AZ873">
            <v>0.25</v>
          </cell>
          <cell r="BA873">
            <v>0.25</v>
          </cell>
        </row>
        <row r="874">
          <cell r="A874" t="str">
            <v>F.LLI DEGAN SNC</v>
          </cell>
          <cell r="D874" t="str">
            <v>VIA SLOVACCHIO, 45</v>
          </cell>
          <cell r="E874">
            <v>37045</v>
          </cell>
          <cell r="F874" t="str">
            <v>LEGNANO</v>
          </cell>
          <cell r="G874" t="str">
            <v>VR</v>
          </cell>
          <cell r="H874" t="str">
            <v>ITALIA</v>
          </cell>
          <cell r="I874" t="str">
            <v>01592090235</v>
          </cell>
          <cell r="J874" t="str">
            <v>01592090235</v>
          </cell>
          <cell r="M874" t="str">
            <v>UFFICIO ACQUISTI</v>
          </cell>
          <cell r="N874" t="str">
            <v>0442 21645</v>
          </cell>
          <cell r="O874" t="str">
            <v>Denis 340 3940953  Giancarlo 333 2807552  Paolo  340 1411452</v>
          </cell>
          <cell r="P874" t="str">
            <v>giancarlodegan@libero.it  dega1083@hotmail.it</v>
          </cell>
          <cell r="R874" t="str">
            <v>BONIFICO BANCARIO, ALLA DATA DELLA NOSTRA CONFERMA D'ORDINE</v>
          </cell>
          <cell r="X874">
            <v>0.25</v>
          </cell>
          <cell r="Y874">
            <v>-0.04</v>
          </cell>
          <cell r="AB874">
            <v>0.25</v>
          </cell>
          <cell r="AC874">
            <v>0.25</v>
          </cell>
          <cell r="AD874">
            <v>0.25</v>
          </cell>
          <cell r="AE874">
            <v>0.25</v>
          </cell>
          <cell r="AF874">
            <v>0.25</v>
          </cell>
          <cell r="AG874">
            <v>0.25</v>
          </cell>
          <cell r="AH874">
            <v>0.25</v>
          </cell>
          <cell r="AI874">
            <v>0.25</v>
          </cell>
          <cell r="AJ874">
            <v>0.25</v>
          </cell>
          <cell r="AK874">
            <v>0.25</v>
          </cell>
          <cell r="AL874">
            <v>0.25</v>
          </cell>
          <cell r="AM874">
            <v>0.25</v>
          </cell>
          <cell r="AN874">
            <v>0.25</v>
          </cell>
          <cell r="AO874">
            <v>0.25</v>
          </cell>
          <cell r="AP874">
            <v>0.25</v>
          </cell>
          <cell r="AQ874">
            <v>0.25</v>
          </cell>
          <cell r="AR874">
            <v>0.25</v>
          </cell>
          <cell r="AS874">
            <v>0.25</v>
          </cell>
          <cell r="AT874">
            <v>-0.04</v>
          </cell>
          <cell r="AU874">
            <v>0.92</v>
          </cell>
          <cell r="AV874">
            <v>20</v>
          </cell>
          <cell r="AY874" t="str">
            <v/>
          </cell>
          <cell r="AZ874">
            <v>0.25</v>
          </cell>
          <cell r="BA874">
            <v>0.25</v>
          </cell>
        </row>
        <row r="875">
          <cell r="A875" t="str">
            <v>F.LLI DRAGO S.R.L.</v>
          </cell>
          <cell r="B875" t="str">
            <v>25/10/22 MANDATA MAIL. 07/11/22 NON HA VISIONATO LA MAIL PERCHE' NON HA TEMPO. VUOLE VISITA</v>
          </cell>
          <cell r="D875" t="str">
            <v xml:space="preserve">Via Isola Zavorra (capannone 8)  </v>
          </cell>
          <cell r="E875">
            <v>91100</v>
          </cell>
          <cell r="F875" t="str">
            <v xml:space="preserve">TRAPANI </v>
          </cell>
          <cell r="G875" t="str">
            <v>TP</v>
          </cell>
          <cell r="H875" t="str">
            <v>ITALIA</v>
          </cell>
          <cell r="J875" t="str">
            <v>02533960817</v>
          </cell>
          <cell r="M875" t="str">
            <v>UFFICIO ACQUISTI</v>
          </cell>
          <cell r="N875" t="str">
            <v>0923 27144</v>
          </cell>
          <cell r="O875" t="str">
            <v>347 7322696</v>
          </cell>
          <cell r="P875" t="str">
            <v>claudiodrago77@gmail.com</v>
          </cell>
          <cell r="R875" t="str">
            <v>BONIFICO BANCARIO, ALLA DATA DELLA NOSTRA CONFERMA D'ORDINE</v>
          </cell>
          <cell r="X875">
            <v>0.25</v>
          </cell>
          <cell r="Y875">
            <v>-0.04</v>
          </cell>
          <cell r="AB875">
            <v>0.25</v>
          </cell>
          <cell r="AC875">
            <v>0.25</v>
          </cell>
          <cell r="AD875">
            <v>0.25</v>
          </cell>
          <cell r="AE875">
            <v>0.25</v>
          </cell>
          <cell r="AF875">
            <v>0.25</v>
          </cell>
          <cell r="AG875">
            <v>0.25</v>
          </cell>
          <cell r="AH875">
            <v>0.25</v>
          </cell>
          <cell r="AI875">
            <v>0.25</v>
          </cell>
          <cell r="AJ875">
            <v>0.25</v>
          </cell>
          <cell r="AK875">
            <v>0.25</v>
          </cell>
          <cell r="AL875">
            <v>0.25</v>
          </cell>
          <cell r="AM875">
            <v>0.25</v>
          </cell>
          <cell r="AN875">
            <v>0.25</v>
          </cell>
          <cell r="AO875">
            <v>0.25</v>
          </cell>
          <cell r="AP875">
            <v>0.25</v>
          </cell>
          <cell r="AQ875">
            <v>0.25</v>
          </cell>
          <cell r="AR875">
            <v>0.25</v>
          </cell>
          <cell r="AS875">
            <v>0.25</v>
          </cell>
          <cell r="AT875">
            <v>-0.04</v>
          </cell>
          <cell r="AU875">
            <v>0.87</v>
          </cell>
          <cell r="AV875">
            <v>20</v>
          </cell>
          <cell r="AY875" t="str">
            <v/>
          </cell>
          <cell r="AZ875">
            <v>0.25</v>
          </cell>
          <cell r="BA875">
            <v>0.25</v>
          </cell>
        </row>
        <row r="876">
          <cell r="A876" t="str">
            <v>F.LLI FILANNINO</v>
          </cell>
          <cell r="D876" t="str">
            <v>TRAV.VIA DELLA TRAMVIA 2/12</v>
          </cell>
          <cell r="E876" t="str">
            <v>70051</v>
          </cell>
          <cell r="F876" t="str">
            <v>BARLETTA</v>
          </cell>
          <cell r="G876" t="str">
            <v>BT</v>
          </cell>
          <cell r="H876" t="str">
            <v>ITALIA</v>
          </cell>
          <cell r="M876" t="str">
            <v>UFFICIO ACQUISTI</v>
          </cell>
          <cell r="N876" t="str">
            <v>0883 331669</v>
          </cell>
          <cell r="P876" t="str">
            <v>filanninoinfissi@libero.it</v>
          </cell>
          <cell r="R876" t="str">
            <v>BONIFICO BANCARIO, ALLA DATA DELLA NOSTRA CONFERMA D'ORDINE</v>
          </cell>
          <cell r="X876">
            <v>0.25</v>
          </cell>
          <cell r="Y876">
            <v>-0.04</v>
          </cell>
          <cell r="AB876">
            <v>0.25</v>
          </cell>
          <cell r="AC876">
            <v>0.25</v>
          </cell>
          <cell r="AD876">
            <v>0.25</v>
          </cell>
          <cell r="AE876">
            <v>0.25</v>
          </cell>
          <cell r="AF876">
            <v>0.25</v>
          </cell>
          <cell r="AG876">
            <v>0.25</v>
          </cell>
          <cell r="AH876">
            <v>0.25</v>
          </cell>
          <cell r="AI876">
            <v>0.25</v>
          </cell>
          <cell r="AJ876">
            <v>0.25</v>
          </cell>
          <cell r="AK876">
            <v>0.25</v>
          </cell>
          <cell r="AL876">
            <v>0.25</v>
          </cell>
          <cell r="AM876">
            <v>0.25</v>
          </cell>
          <cell r="AN876">
            <v>0.25</v>
          </cell>
          <cell r="AO876">
            <v>0.25</v>
          </cell>
          <cell r="AP876">
            <v>0.25</v>
          </cell>
          <cell r="AQ876">
            <v>0.25</v>
          </cell>
          <cell r="AR876">
            <v>0.25</v>
          </cell>
          <cell r="AS876">
            <v>0.25</v>
          </cell>
          <cell r="AT876">
            <v>-0.04</v>
          </cell>
          <cell r="AU876">
            <v>0.92</v>
          </cell>
          <cell r="AV876">
            <v>20</v>
          </cell>
          <cell r="AY876" t="str">
            <v/>
          </cell>
          <cell r="AZ876">
            <v>0.25</v>
          </cell>
          <cell r="BA876">
            <v>0.25</v>
          </cell>
        </row>
        <row r="877">
          <cell r="A877" t="str">
            <v>F.LLI GILENO SNC</v>
          </cell>
          <cell r="D877" t="str">
            <v>VIA LUCI 20</v>
          </cell>
          <cell r="E877" t="str">
            <v>66054</v>
          </cell>
          <cell r="F877" t="str">
            <v>VASTO</v>
          </cell>
          <cell r="G877" t="str">
            <v>CH</v>
          </cell>
          <cell r="H877" t="str">
            <v>ITALIA</v>
          </cell>
          <cell r="J877" t="str">
            <v>00227270691</v>
          </cell>
          <cell r="M877" t="str">
            <v>UFFICIO ACQUISTI</v>
          </cell>
          <cell r="N877" t="str">
            <v>0873 365267</v>
          </cell>
          <cell r="O877" t="str">
            <v>335 6581322</v>
          </cell>
          <cell r="P877" t="str">
            <v>infissigileno@alice.it</v>
          </cell>
          <cell r="R877" t="str">
            <v>BONIFICO BANCARIO, ALLA DATA DELLA NOSTRA CONFERMA D'ORDINE</v>
          </cell>
          <cell r="X877">
            <v>0.25</v>
          </cell>
          <cell r="Y877">
            <v>-0.04</v>
          </cell>
          <cell r="AB877">
            <v>0.25</v>
          </cell>
          <cell r="AC877">
            <v>0.25</v>
          </cell>
          <cell r="AD877">
            <v>0.25</v>
          </cell>
          <cell r="AE877">
            <v>0.25</v>
          </cell>
          <cell r="AF877">
            <v>0.25</v>
          </cell>
          <cell r="AG877">
            <v>0.25</v>
          </cell>
          <cell r="AH877">
            <v>0.25</v>
          </cell>
          <cell r="AI877">
            <v>0.25</v>
          </cell>
          <cell r="AJ877">
            <v>0.25</v>
          </cell>
          <cell r="AK877">
            <v>0.25</v>
          </cell>
          <cell r="AL877">
            <v>0.25</v>
          </cell>
          <cell r="AM877">
            <v>0.25</v>
          </cell>
          <cell r="AN877">
            <v>0.25</v>
          </cell>
          <cell r="AO877">
            <v>0.25</v>
          </cell>
          <cell r="AP877">
            <v>0.25</v>
          </cell>
          <cell r="AQ877">
            <v>0.25</v>
          </cell>
          <cell r="AR877">
            <v>0.25</v>
          </cell>
          <cell r="AS877">
            <v>0.25</v>
          </cell>
          <cell r="AT877">
            <v>-0.04</v>
          </cell>
          <cell r="AU877">
            <v>0.92</v>
          </cell>
          <cell r="AV877">
            <v>20</v>
          </cell>
          <cell r="AY877" t="str">
            <v/>
          </cell>
          <cell r="AZ877">
            <v>0.25</v>
          </cell>
          <cell r="BA877">
            <v>0.25</v>
          </cell>
        </row>
        <row r="878">
          <cell r="A878" t="str">
            <v>F.LLI MORETTI SAS</v>
          </cell>
          <cell r="D878" t="str">
            <v>VIA SACCOMANO 14</v>
          </cell>
          <cell r="E878" t="str">
            <v>33050</v>
          </cell>
          <cell r="F878" t="str">
            <v>NESPOLEDO</v>
          </cell>
          <cell r="G878" t="str">
            <v>UD</v>
          </cell>
          <cell r="H878" t="str">
            <v>ITALIA</v>
          </cell>
          <cell r="J878" t="str">
            <v>00254010309</v>
          </cell>
          <cell r="M878" t="str">
            <v>UFFICIO ACQUISTI</v>
          </cell>
          <cell r="N878" t="str">
            <v>0432 764053</v>
          </cell>
          <cell r="P878" t="str">
            <v>info@serramentimoretti.it</v>
          </cell>
          <cell r="R878" t="str">
            <v>BONIFICO BANCARIO, ALLA DATA DELLA NOSTRA CONFERMA D'ORDINE</v>
          </cell>
          <cell r="X878">
            <v>0.25</v>
          </cell>
          <cell r="Y878">
            <v>-0.04</v>
          </cell>
          <cell r="AB878">
            <v>0.25</v>
          </cell>
          <cell r="AC878">
            <v>0.25</v>
          </cell>
          <cell r="AD878">
            <v>0.25</v>
          </cell>
          <cell r="AE878">
            <v>0.25</v>
          </cell>
          <cell r="AF878">
            <v>0.25</v>
          </cell>
          <cell r="AG878">
            <v>0.25</v>
          </cell>
          <cell r="AH878">
            <v>0.25</v>
          </cell>
          <cell r="AI878">
            <v>0.25</v>
          </cell>
          <cell r="AJ878">
            <v>0.25</v>
          </cell>
          <cell r="AK878">
            <v>0.25</v>
          </cell>
          <cell r="AL878">
            <v>0.25</v>
          </cell>
          <cell r="AM878">
            <v>0.25</v>
          </cell>
          <cell r="AN878">
            <v>0.25</v>
          </cell>
          <cell r="AO878">
            <v>0.25</v>
          </cell>
          <cell r="AP878">
            <v>0.25</v>
          </cell>
          <cell r="AQ878">
            <v>0.25</v>
          </cell>
          <cell r="AR878">
            <v>0.25</v>
          </cell>
          <cell r="AS878">
            <v>0.25</v>
          </cell>
          <cell r="AT878">
            <v>-0.04</v>
          </cell>
          <cell r="AU878">
            <v>0.92</v>
          </cell>
          <cell r="AV878">
            <v>20</v>
          </cell>
          <cell r="AY878" t="str">
            <v/>
          </cell>
          <cell r="AZ878">
            <v>0.25</v>
          </cell>
          <cell r="BA878">
            <v>0.25</v>
          </cell>
        </row>
        <row r="879">
          <cell r="A879" t="str">
            <v>F.LLI MUGGIA SOC. COOP</v>
          </cell>
          <cell r="D879" t="str">
            <v>VIA DELLA MECCANICA, SNC</v>
          </cell>
          <cell r="E879" t="str">
            <v>02010</v>
          </cell>
          <cell r="F879" t="str">
            <v>S. RUFINA DI CITTADUCALE</v>
          </cell>
          <cell r="G879" t="str">
            <v>RI</v>
          </cell>
          <cell r="H879" t="str">
            <v>ITALIA</v>
          </cell>
          <cell r="M879" t="str">
            <v>UFFICIO ACQUISTI</v>
          </cell>
          <cell r="N879" t="str">
            <v>0746 220510</v>
          </cell>
          <cell r="P879" t="str">
            <v>mail.fratellimuggia@libero.it</v>
          </cell>
          <cell r="R879" t="str">
            <v>BONIFICO BANCARIO, ALLA DATA DELLA NOSTRA CONFERMA D'ORDINE</v>
          </cell>
          <cell r="Y879">
            <v>-0.04</v>
          </cell>
          <cell r="AT879">
            <v>-0.04</v>
          </cell>
          <cell r="AV879">
            <v>20</v>
          </cell>
          <cell r="AZ879">
            <v>0</v>
          </cell>
          <cell r="BA879">
            <v>0</v>
          </cell>
        </row>
        <row r="880">
          <cell r="A880" t="str">
            <v>F.LLI MUSSA SNC</v>
          </cell>
          <cell r="D880" t="str">
            <v>VIA VITTONA 18</v>
          </cell>
          <cell r="E880" t="str">
            <v>10072</v>
          </cell>
          <cell r="F880" t="str">
            <v>MAPPANO</v>
          </cell>
          <cell r="G880" t="str">
            <v>TO</v>
          </cell>
          <cell r="H880" t="str">
            <v>ITALIA</v>
          </cell>
          <cell r="J880" t="str">
            <v>00672610011</v>
          </cell>
          <cell r="M880" t="str">
            <v>UFFICIO ACQUISTI</v>
          </cell>
          <cell r="N880" t="str">
            <v>011 9988393</v>
          </cell>
          <cell r="R880" t="str">
            <v>BONIFICO BANCARIO, ALLA DATA DELLA NOSTRA CONFERMA D'ORDINE</v>
          </cell>
          <cell r="X880">
            <v>0.25</v>
          </cell>
          <cell r="Y880">
            <v>-0.04</v>
          </cell>
          <cell r="AB880">
            <v>0.25</v>
          </cell>
          <cell r="AC880">
            <v>0.25</v>
          </cell>
          <cell r="AD880">
            <v>0.25</v>
          </cell>
          <cell r="AE880">
            <v>0.25</v>
          </cell>
          <cell r="AF880">
            <v>0.25</v>
          </cell>
          <cell r="AG880">
            <v>0.25</v>
          </cell>
          <cell r="AH880">
            <v>0.25</v>
          </cell>
          <cell r="AI880">
            <v>0.25</v>
          </cell>
          <cell r="AJ880">
            <v>0.25</v>
          </cell>
          <cell r="AK880">
            <v>0.25</v>
          </cell>
          <cell r="AL880">
            <v>0.25</v>
          </cell>
          <cell r="AM880">
            <v>0.25</v>
          </cell>
          <cell r="AN880">
            <v>0.25</v>
          </cell>
          <cell r="AO880">
            <v>0.25</v>
          </cell>
          <cell r="AP880">
            <v>0.25</v>
          </cell>
          <cell r="AQ880">
            <v>0.25</v>
          </cell>
          <cell r="AR880">
            <v>0.25</v>
          </cell>
          <cell r="AS880">
            <v>0.25</v>
          </cell>
          <cell r="AT880">
            <v>-0.04</v>
          </cell>
          <cell r="AU880">
            <v>0.92</v>
          </cell>
          <cell r="AV880">
            <v>20</v>
          </cell>
          <cell r="AY880" t="str">
            <v/>
          </cell>
          <cell r="AZ880">
            <v>0.25</v>
          </cell>
          <cell r="BA880">
            <v>0.25</v>
          </cell>
        </row>
        <row r="881">
          <cell r="A881" t="str">
            <v>F.LLI ORRU' ANTONIO E C. SNC</v>
          </cell>
          <cell r="D881" t="str">
            <v>VIA G. MANCA, 58</v>
          </cell>
          <cell r="E881" t="str">
            <v>09098</v>
          </cell>
          <cell r="F881" t="str">
            <v>TERRALBA</v>
          </cell>
          <cell r="G881" t="str">
            <v>OR</v>
          </cell>
          <cell r="H881" t="str">
            <v>ITALIA</v>
          </cell>
          <cell r="J881" t="str">
            <v>00052710951</v>
          </cell>
          <cell r="K881" t="str">
            <v>M5UXCR1</v>
          </cell>
          <cell r="M881" t="str">
            <v>UFFICIO ACQUISTI</v>
          </cell>
          <cell r="N881" t="str">
            <v>0783 81929</v>
          </cell>
          <cell r="P881" t="str">
            <v>filiorru@tiscali.it</v>
          </cell>
          <cell r="R881" t="str">
            <v>BONIFICO BANCARIO, ALLA DATA DELLA NOSTRA CONFERMA D'ORDINE</v>
          </cell>
          <cell r="X881">
            <v>0.15</v>
          </cell>
          <cell r="Y881">
            <v>-0.04</v>
          </cell>
          <cell r="AB881">
            <v>0.15</v>
          </cell>
          <cell r="AC881">
            <v>0.15</v>
          </cell>
          <cell r="AD881">
            <v>0.15</v>
          </cell>
          <cell r="AE881">
            <v>0.15</v>
          </cell>
          <cell r="AF881">
            <v>0.15</v>
          </cell>
          <cell r="AG881">
            <v>0.15</v>
          </cell>
          <cell r="AH881">
            <v>0.15</v>
          </cell>
          <cell r="AI881">
            <v>0.15</v>
          </cell>
          <cell r="AJ881">
            <v>0.15</v>
          </cell>
          <cell r="AK881">
            <v>0.15</v>
          </cell>
          <cell r="AL881">
            <v>0.15</v>
          </cell>
          <cell r="AM881">
            <v>0.15</v>
          </cell>
          <cell r="AN881">
            <v>0.15</v>
          </cell>
          <cell r="AO881">
            <v>0.15</v>
          </cell>
          <cell r="AP881">
            <v>0.15</v>
          </cell>
          <cell r="AQ881">
            <v>0.15</v>
          </cell>
          <cell r="AR881">
            <v>0.15</v>
          </cell>
          <cell r="AS881">
            <v>0.15</v>
          </cell>
          <cell r="AT881">
            <v>-0.04</v>
          </cell>
          <cell r="AU881">
            <v>0.92</v>
          </cell>
          <cell r="AV881">
            <v>20</v>
          </cell>
          <cell r="AZ881">
            <v>0.15</v>
          </cell>
          <cell r="BA881">
            <v>0.15</v>
          </cell>
        </row>
        <row r="882">
          <cell r="A882" t="str">
            <v>F.LLI PERELLI S.N.C.</v>
          </cell>
          <cell r="B882" t="str">
            <v>DICE CHE SE LE FANNO LORO MA , LE VUOLE COMPRARE COMUNQUE.  NON HA TEMPO</v>
          </cell>
          <cell r="D882" t="str">
            <v>VIA P. CASSANELLO, 5</v>
          </cell>
          <cell r="E882">
            <v>16155</v>
          </cell>
          <cell r="F882" t="str">
            <v>GENOVA - PEGLI</v>
          </cell>
          <cell r="G882" t="str">
            <v>GE</v>
          </cell>
          <cell r="H882" t="str">
            <v>ITALIA</v>
          </cell>
          <cell r="J882" t="str">
            <v>03476110105</v>
          </cell>
          <cell r="M882" t="str">
            <v>UFFICIO ACQUISTI</v>
          </cell>
          <cell r="N882" t="str">
            <v>010 6969107</v>
          </cell>
          <cell r="R882" t="str">
            <v>BONIFICO BANCARIO, ALLA DATA DELLA NOSTRA CONFERMA D'ORDINE</v>
          </cell>
          <cell r="X882">
            <v>0.25</v>
          </cell>
          <cell r="Y882">
            <v>-0.04</v>
          </cell>
          <cell r="AB882">
            <v>0.25</v>
          </cell>
          <cell r="AC882">
            <v>0.25</v>
          </cell>
          <cell r="AD882">
            <v>0.25</v>
          </cell>
          <cell r="AE882">
            <v>0.25</v>
          </cell>
          <cell r="AF882">
            <v>0.25</v>
          </cell>
          <cell r="AG882">
            <v>0.25</v>
          </cell>
          <cell r="AH882">
            <v>0.25</v>
          </cell>
          <cell r="AI882">
            <v>0.25</v>
          </cell>
          <cell r="AJ882">
            <v>0.25</v>
          </cell>
          <cell r="AK882">
            <v>0.25</v>
          </cell>
          <cell r="AL882">
            <v>0.25</v>
          </cell>
          <cell r="AM882">
            <v>0.25</v>
          </cell>
          <cell r="AN882">
            <v>0.25</v>
          </cell>
          <cell r="AO882">
            <v>0.25</v>
          </cell>
          <cell r="AP882">
            <v>0.25</v>
          </cell>
          <cell r="AQ882">
            <v>0.25</v>
          </cell>
          <cell r="AR882">
            <v>0.25</v>
          </cell>
          <cell r="AS882">
            <v>0.25</v>
          </cell>
          <cell r="AT882">
            <v>-0.04</v>
          </cell>
          <cell r="AU882">
            <v>0.92</v>
          </cell>
          <cell r="AV882">
            <v>20</v>
          </cell>
          <cell r="AY882" t="str">
            <v/>
          </cell>
          <cell r="AZ882">
            <v>0.25</v>
          </cell>
          <cell r="BA882">
            <v>0.25</v>
          </cell>
        </row>
        <row r="883">
          <cell r="A883" t="str">
            <v>F.LLI PONZANELLI</v>
          </cell>
          <cell r="B883" t="str">
            <v>ACQUISTAVA DA ACQUASTOP MA DOPO CAMBIO PROPIETA' NON SI TROVA PIU BENE, CI HA CONTATTATO LUI (VECCHIA PROPIETA' GLI FACEVA LO SCONTO 40% E GLI DAVA LO SFUSO DA ASSEMBLARSELO, NUOVA PRIOPIETA' GLI HA ABBASSATO LO SCONTO AL 30% E GLI HA TOLTO LA POSSIBILITA' DELLO SFUSO)</v>
          </cell>
          <cell r="D883" t="str">
            <v>VIA XXV APRILE 59</v>
          </cell>
          <cell r="E883" t="str">
            <v>19031</v>
          </cell>
          <cell r="F883" t="str">
            <v>AMEGLIA</v>
          </cell>
          <cell r="G883" t="str">
            <v>SP</v>
          </cell>
          <cell r="H883" t="str">
            <v>ITALIA</v>
          </cell>
          <cell r="J883" t="str">
            <v>01331210110</v>
          </cell>
          <cell r="K883" t="str">
            <v>M5UXCR1</v>
          </cell>
          <cell r="M883" t="str">
            <v>UFFICIO ACQUISTI</v>
          </cell>
          <cell r="N883" t="str">
            <v>0187 65187</v>
          </cell>
          <cell r="P883" t="str">
            <v>ferramenta2006@libero.it</v>
          </cell>
          <cell r="R883" t="str">
            <v>BONIFICO BANCARIO, ALLA DATA DELLA NOSTRA CONFERMA D'ORDINE</v>
          </cell>
          <cell r="X883">
            <v>0.3</v>
          </cell>
          <cell r="AB883">
            <v>0.3</v>
          </cell>
          <cell r="AC883">
            <v>0.3</v>
          </cell>
          <cell r="AD883">
            <v>0.3</v>
          </cell>
          <cell r="AE883">
            <v>0.3</v>
          </cell>
          <cell r="AF883">
            <v>0.3</v>
          </cell>
          <cell r="AG883">
            <v>0.3</v>
          </cell>
          <cell r="AH883">
            <v>0.3</v>
          </cell>
          <cell r="AI883">
            <v>0.3</v>
          </cell>
          <cell r="AJ883">
            <v>0.3</v>
          </cell>
          <cell r="AK883">
            <v>0.3</v>
          </cell>
          <cell r="AL883">
            <v>0.3</v>
          </cell>
          <cell r="AM883">
            <v>0.3</v>
          </cell>
          <cell r="AN883">
            <v>0.3</v>
          </cell>
          <cell r="AO883">
            <v>0.3</v>
          </cell>
          <cell r="AP883">
            <v>0.3</v>
          </cell>
          <cell r="AQ883">
            <v>0.3</v>
          </cell>
          <cell r="AR883">
            <v>0.3</v>
          </cell>
          <cell r="AS883">
            <v>0.3</v>
          </cell>
          <cell r="AU883">
            <v>0.9</v>
          </cell>
          <cell r="AV883">
            <v>20</v>
          </cell>
          <cell r="AZ883">
            <v>0.3</v>
          </cell>
          <cell r="BA883">
            <v>0.3</v>
          </cell>
          <cell r="BF883" t="str">
            <v>CLICK RAPID con espositore 01/09/2022</v>
          </cell>
        </row>
        <row r="884">
          <cell r="A884" t="str">
            <v>F.LLI SIMONETTI SPA</v>
          </cell>
          <cell r="B884" t="str">
            <v>RESP.GIOVANNI TIBERI</v>
          </cell>
          <cell r="D884" t="str">
            <v>VIA CHE GUEVARA, 4</v>
          </cell>
          <cell r="E884" t="str">
            <v>60022</v>
          </cell>
          <cell r="F884" t="str">
            <v>CASTELFIDARDO</v>
          </cell>
          <cell r="G884" t="str">
            <v>AN</v>
          </cell>
          <cell r="H884" t="str">
            <v>ITALIA</v>
          </cell>
          <cell r="J884" t="str">
            <v>01193490420</v>
          </cell>
          <cell r="L884" t="str">
            <v>VIA PASUBIO, 10 - PORTO D'ASCOLI</v>
          </cell>
          <cell r="M884" t="str">
            <v>UFFICIO ACQUISTI</v>
          </cell>
          <cell r="N884" t="str">
            <v>071 780440</v>
          </cell>
          <cell r="O884" t="str">
            <v>335 7875217 GIOVANNI TIBERII</v>
          </cell>
          <cell r="P884" t="str">
            <v>g.tiberi@fratellisimonetti</v>
          </cell>
          <cell r="R884" t="str">
            <v>BONIFICO BANCARIO, ALLA DATA DELLA NOSTRA CONFERMA D'ORDINE</v>
          </cell>
          <cell r="X884">
            <v>0.2</v>
          </cell>
          <cell r="Y884">
            <v>-0.04</v>
          </cell>
          <cell r="AB884">
            <v>0.2</v>
          </cell>
          <cell r="AC884">
            <v>0.2</v>
          </cell>
          <cell r="AD884">
            <v>0.2</v>
          </cell>
          <cell r="AE884">
            <v>0.2</v>
          </cell>
          <cell r="AF884">
            <v>0.2</v>
          </cell>
          <cell r="AG884">
            <v>0.2</v>
          </cell>
          <cell r="AH884">
            <v>0.2</v>
          </cell>
          <cell r="AI884">
            <v>0.2</v>
          </cell>
          <cell r="AJ884">
            <v>0.2</v>
          </cell>
          <cell r="AK884">
            <v>0.2</v>
          </cell>
          <cell r="AL884">
            <v>0.2</v>
          </cell>
          <cell r="AM884">
            <v>0.2</v>
          </cell>
          <cell r="AN884">
            <v>0.2</v>
          </cell>
          <cell r="AO884">
            <v>0.2</v>
          </cell>
          <cell r="AP884">
            <v>0.2</v>
          </cell>
          <cell r="AQ884">
            <v>0.2</v>
          </cell>
          <cell r="AR884">
            <v>0.2</v>
          </cell>
          <cell r="AS884">
            <v>0.2</v>
          </cell>
          <cell r="AT884">
            <v>-0.04</v>
          </cell>
          <cell r="AU884">
            <v>0.92</v>
          </cell>
          <cell r="AV884">
            <v>20</v>
          </cell>
          <cell r="AZ884">
            <v>0.2</v>
          </cell>
          <cell r="BA884">
            <v>0.2</v>
          </cell>
        </row>
        <row r="885">
          <cell r="A885" t="str">
            <v>F.LLI SONA SRL</v>
          </cell>
          <cell r="B885" t="str">
            <v>HANNO COMPRATO DUE CAMPIONI FINE 2021 (CLICK PIU MODERNA. CHIEDERE DEL SIG. CLAUDIO</v>
          </cell>
          <cell r="D885" t="str">
            <v>VIA GALILEI, 8</v>
          </cell>
          <cell r="E885">
            <v>37029</v>
          </cell>
          <cell r="F885" t="str">
            <v>S.PIETRO IN CARIANO</v>
          </cell>
          <cell r="G885" t="str">
            <v>VR</v>
          </cell>
          <cell r="H885" t="str">
            <v>ITALIA</v>
          </cell>
          <cell r="J885" t="str">
            <v>03287270239</v>
          </cell>
          <cell r="M885" t="str">
            <v>SIG. CLAUDIO SONA</v>
          </cell>
          <cell r="N885" t="str">
            <v>045 7701376</v>
          </cell>
          <cell r="P885" t="str">
            <v>postmaster@sonaporte.com</v>
          </cell>
          <cell r="R885" t="str">
            <v>BONIFICO BANCARIO, ALLA DATA DELLA NOSTRA CONFERMA D'ORDINE</v>
          </cell>
          <cell r="X885">
            <v>0.25</v>
          </cell>
          <cell r="Y885">
            <v>-0.04</v>
          </cell>
          <cell r="AB885">
            <v>0.25</v>
          </cell>
          <cell r="AC885">
            <v>0.25</v>
          </cell>
          <cell r="AD885">
            <v>0.25</v>
          </cell>
          <cell r="AE885">
            <v>0.25</v>
          </cell>
          <cell r="AF885">
            <v>0.25</v>
          </cell>
          <cell r="AG885">
            <v>0.25</v>
          </cell>
          <cell r="AH885">
            <v>0.25</v>
          </cell>
          <cell r="AI885">
            <v>0.25</v>
          </cell>
          <cell r="AJ885">
            <v>0.25</v>
          </cell>
          <cell r="AK885">
            <v>0.25</v>
          </cell>
          <cell r="AL885">
            <v>0.25</v>
          </cell>
          <cell r="AM885">
            <v>0.25</v>
          </cell>
          <cell r="AN885">
            <v>0.25</v>
          </cell>
          <cell r="AO885">
            <v>0.25</v>
          </cell>
          <cell r="AP885">
            <v>0.25</v>
          </cell>
          <cell r="AQ885">
            <v>0.25</v>
          </cell>
          <cell r="AR885">
            <v>0.25</v>
          </cell>
          <cell r="AS885">
            <v>0.25</v>
          </cell>
          <cell r="AT885">
            <v>-0.04</v>
          </cell>
          <cell r="AU885">
            <v>0.92</v>
          </cell>
          <cell r="AV885">
            <v>20</v>
          </cell>
          <cell r="AZ885">
            <v>0.25</v>
          </cell>
          <cell r="BA885">
            <v>0.25</v>
          </cell>
          <cell r="BF885" t="str">
            <v>CLICK RAPID con espositore 10/01/2022 - MODERNA con espositore 10/01/2022</v>
          </cell>
        </row>
        <row r="886">
          <cell r="A886" t="str">
            <v>F.LLI SPUNTONI SAS</v>
          </cell>
          <cell r="D886" t="str">
            <v>VIA ABETONIA, 102</v>
          </cell>
          <cell r="E886" t="str">
            <v>00041</v>
          </cell>
          <cell r="F886" t="str">
            <v>ALBANO L.</v>
          </cell>
          <cell r="G886" t="str">
            <v>RM</v>
          </cell>
          <cell r="H886" t="str">
            <v>ITALIA</v>
          </cell>
          <cell r="J886" t="str">
            <v>05224701002</v>
          </cell>
          <cell r="M886" t="str">
            <v>UFFICIO ACQUISTI</v>
          </cell>
          <cell r="N886" t="str">
            <v>06 9305733</v>
          </cell>
          <cell r="P886" t="str">
            <v>fllispuntoni@libero.it</v>
          </cell>
          <cell r="R886" t="str">
            <v>BONIFICO BANCARIO, ALLA DATA DELLA NOSTRA CONFERMA D'ORDINE</v>
          </cell>
          <cell r="X886">
            <v>0.2</v>
          </cell>
          <cell r="Y886">
            <v>-0.04</v>
          </cell>
          <cell r="AB886">
            <v>0.2</v>
          </cell>
          <cell r="AC886">
            <v>0.2</v>
          </cell>
          <cell r="AD886">
            <v>0.2</v>
          </cell>
          <cell r="AE886">
            <v>0.2</v>
          </cell>
          <cell r="AF886">
            <v>0.2</v>
          </cell>
          <cell r="AG886">
            <v>0.2</v>
          </cell>
          <cell r="AH886">
            <v>0.2</v>
          </cell>
          <cell r="AI886">
            <v>0.2</v>
          </cell>
          <cell r="AJ886">
            <v>0.2</v>
          </cell>
          <cell r="AK886">
            <v>0.2</v>
          </cell>
          <cell r="AL886">
            <v>0.2</v>
          </cell>
          <cell r="AM886">
            <v>0.2</v>
          </cell>
          <cell r="AN886">
            <v>0.2</v>
          </cell>
          <cell r="AO886">
            <v>0.2</v>
          </cell>
          <cell r="AP886">
            <v>0.2</v>
          </cell>
          <cell r="AQ886">
            <v>0.2</v>
          </cell>
          <cell r="AR886">
            <v>0.2</v>
          </cell>
          <cell r="AS886">
            <v>0.2</v>
          </cell>
          <cell r="AT886">
            <v>-0.04</v>
          </cell>
          <cell r="AU886">
            <v>0.92</v>
          </cell>
          <cell r="AV886">
            <v>20</v>
          </cell>
          <cell r="AZ886">
            <v>0.2</v>
          </cell>
          <cell r="BA886">
            <v>0.2</v>
          </cell>
        </row>
        <row r="887">
          <cell r="A887" t="str">
            <v>F.LLI TIANA SNC</v>
          </cell>
          <cell r="D887" t="str">
            <v>VIA GIOVANNI AGNELLI, 2 ZONA ARTIGIANALE</v>
          </cell>
          <cell r="E887" t="str">
            <v>09070</v>
          </cell>
          <cell r="F887" t="str">
            <v>NURACHI</v>
          </cell>
          <cell r="G887" t="str">
            <v>OR</v>
          </cell>
          <cell r="H887" t="str">
            <v>ITALIA</v>
          </cell>
          <cell r="J887" t="str">
            <v>00026980953</v>
          </cell>
          <cell r="M887" t="str">
            <v>UFFICIO ACQUISTI</v>
          </cell>
          <cell r="N887" t="str">
            <v>0783 410247</v>
          </cell>
          <cell r="P887" t="str">
            <v>info@tianainfissi.it</v>
          </cell>
          <cell r="R887" t="str">
            <v>BONIFICO BANCARIO, ALLA DATA DELLA NOSTRA CONFERMA D'ORDINE</v>
          </cell>
          <cell r="X887">
            <v>0.2</v>
          </cell>
          <cell r="Y887">
            <v>-0.04</v>
          </cell>
          <cell r="AB887">
            <v>0.2</v>
          </cell>
          <cell r="AC887">
            <v>0.2</v>
          </cell>
          <cell r="AD887">
            <v>0.2</v>
          </cell>
          <cell r="AE887">
            <v>0.2</v>
          </cell>
          <cell r="AF887">
            <v>0.2</v>
          </cell>
          <cell r="AG887">
            <v>0.2</v>
          </cell>
          <cell r="AH887">
            <v>0.2</v>
          </cell>
          <cell r="AI887">
            <v>0.2</v>
          </cell>
          <cell r="AJ887">
            <v>0.2</v>
          </cell>
          <cell r="AK887">
            <v>0.2</v>
          </cell>
          <cell r="AL887">
            <v>0.2</v>
          </cell>
          <cell r="AM887">
            <v>0.2</v>
          </cell>
          <cell r="AN887">
            <v>0.2</v>
          </cell>
          <cell r="AO887">
            <v>0.2</v>
          </cell>
          <cell r="AP887">
            <v>0.2</v>
          </cell>
          <cell r="AQ887">
            <v>0.2</v>
          </cell>
          <cell r="AR887">
            <v>0.2</v>
          </cell>
          <cell r="AS887">
            <v>0.2</v>
          </cell>
          <cell r="AT887">
            <v>-0.04</v>
          </cell>
          <cell r="AU887">
            <v>0.92</v>
          </cell>
          <cell r="AV887">
            <v>20</v>
          </cell>
          <cell r="AZ887">
            <v>0.2</v>
          </cell>
          <cell r="BA887">
            <v>0.2</v>
          </cell>
        </row>
        <row r="888">
          <cell r="A888" t="str">
            <v>F.LLI TOMASICCHIO SRL</v>
          </cell>
          <cell r="D888" t="str">
            <v>VIA LUCARELLI, 40</v>
          </cell>
          <cell r="E888" t="str">
            <v>70124</v>
          </cell>
          <cell r="F888" t="str">
            <v>BARI</v>
          </cell>
          <cell r="G888" t="str">
            <v>BA</v>
          </cell>
          <cell r="H888" t="str">
            <v>ITALIA</v>
          </cell>
          <cell r="M888" t="str">
            <v>UFFICIO ACQUISTI</v>
          </cell>
          <cell r="N888" t="str">
            <v>080 5010342</v>
          </cell>
          <cell r="P888" t="str">
            <v>info@f.llitomasicchio.it</v>
          </cell>
          <cell r="R888" t="str">
            <v>BONIFICO BANCARIO, ALLA DATA DELLA NOSTRA CONFERMA D'ORDINE</v>
          </cell>
          <cell r="X888">
            <v>0.2</v>
          </cell>
          <cell r="Y888">
            <v>-0.04</v>
          </cell>
          <cell r="AB888">
            <v>0.2</v>
          </cell>
          <cell r="AC888">
            <v>0.2</v>
          </cell>
          <cell r="AD888">
            <v>0.2</v>
          </cell>
          <cell r="AE888">
            <v>0.2</v>
          </cell>
          <cell r="AF888">
            <v>0.2</v>
          </cell>
          <cell r="AG888">
            <v>0.2</v>
          </cell>
          <cell r="AH888">
            <v>0.2</v>
          </cell>
          <cell r="AI888">
            <v>0.2</v>
          </cell>
          <cell r="AJ888">
            <v>0.2</v>
          </cell>
          <cell r="AK888">
            <v>0.2</v>
          </cell>
          <cell r="AL888">
            <v>0.2</v>
          </cell>
          <cell r="AM888">
            <v>0.2</v>
          </cell>
          <cell r="AN888">
            <v>0.2</v>
          </cell>
          <cell r="AO888">
            <v>0.2</v>
          </cell>
          <cell r="AP888">
            <v>0.2</v>
          </cell>
          <cell r="AQ888">
            <v>0.2</v>
          </cell>
          <cell r="AR888">
            <v>0.2</v>
          </cell>
          <cell r="AS888">
            <v>0.2</v>
          </cell>
          <cell r="AT888">
            <v>-0.04</v>
          </cell>
          <cell r="AU888">
            <v>0.92</v>
          </cell>
          <cell r="AV888">
            <v>20</v>
          </cell>
          <cell r="AZ888">
            <v>0.2</v>
          </cell>
          <cell r="BA888">
            <v>0.2</v>
          </cell>
        </row>
        <row r="889">
          <cell r="A889" t="str">
            <v xml:space="preserve">F.LLI TRINCA </v>
          </cell>
          <cell r="D889" t="str">
            <v>VIA F.CORRIDONI, 32</v>
          </cell>
          <cell r="E889">
            <v>20091</v>
          </cell>
          <cell r="F889" t="str">
            <v>BRESSO</v>
          </cell>
          <cell r="G889" t="str">
            <v>MI</v>
          </cell>
          <cell r="H889" t="str">
            <v>ITALIA</v>
          </cell>
          <cell r="I889" t="str">
            <v>TRNLSS71H09F205P</v>
          </cell>
          <cell r="J889" t="str">
            <v>11671770151</v>
          </cell>
          <cell r="M889" t="str">
            <v>UFFICIO ACQUISTI</v>
          </cell>
          <cell r="N889" t="str">
            <v>02 66501443</v>
          </cell>
          <cell r="P889" t="str">
            <v>fillitrinca@hotmail.it</v>
          </cell>
          <cell r="R889" t="str">
            <v>BONIFICO BANCARIO, ALLA DATA DELLA NOSTRA CONFERMA D'ORDINE</v>
          </cell>
          <cell r="X889">
            <v>0.25</v>
          </cell>
          <cell r="Y889">
            <v>-0.04</v>
          </cell>
          <cell r="AB889">
            <v>0.25</v>
          </cell>
          <cell r="AC889">
            <v>0.25</v>
          </cell>
          <cell r="AD889">
            <v>0.25</v>
          </cell>
          <cell r="AE889">
            <v>0.25</v>
          </cell>
          <cell r="AF889">
            <v>0.25</v>
          </cell>
          <cell r="AG889">
            <v>0.25</v>
          </cell>
          <cell r="AH889">
            <v>0.25</v>
          </cell>
          <cell r="AI889">
            <v>0.25</v>
          </cell>
          <cell r="AJ889">
            <v>0.25</v>
          </cell>
          <cell r="AK889">
            <v>0.25</v>
          </cell>
          <cell r="AL889">
            <v>0.25</v>
          </cell>
          <cell r="AM889">
            <v>0.25</v>
          </cell>
          <cell r="AN889">
            <v>0.25</v>
          </cell>
          <cell r="AO889">
            <v>0.25</v>
          </cell>
          <cell r="AP889">
            <v>0.25</v>
          </cell>
          <cell r="AQ889">
            <v>0.25</v>
          </cell>
          <cell r="AR889">
            <v>0.25</v>
          </cell>
          <cell r="AS889">
            <v>0.25</v>
          </cell>
          <cell r="AT889">
            <v>-0.04</v>
          </cell>
          <cell r="AU889">
            <v>0.92</v>
          </cell>
          <cell r="AV889">
            <v>20</v>
          </cell>
          <cell r="AZ889">
            <v>0.25</v>
          </cell>
          <cell r="BA889">
            <v>0.25</v>
          </cell>
        </row>
        <row r="890">
          <cell r="A890" t="str">
            <v>F.LLI TROISI</v>
          </cell>
          <cell r="D890" t="str">
            <v>VIA SARDEGNA, 62</v>
          </cell>
          <cell r="E890">
            <v>20090</v>
          </cell>
          <cell r="F890" t="str">
            <v>FIZZONASCO DI P.E.</v>
          </cell>
          <cell r="G890" t="str">
            <v>MI</v>
          </cell>
          <cell r="H890" t="str">
            <v>ITALIA</v>
          </cell>
          <cell r="J890" t="str">
            <v>13164240155</v>
          </cell>
          <cell r="M890" t="str">
            <v>UFFICIO ACQUISTI</v>
          </cell>
          <cell r="N890" t="str">
            <v>02 90400288</v>
          </cell>
          <cell r="P890" t="str">
            <v>info@fratellitroisi.it</v>
          </cell>
          <cell r="R890" t="str">
            <v>BONIFICO BANCARIO, ALLA DATA DELLA NOSTRA CONFERMA D'ORDINE</v>
          </cell>
          <cell r="X890">
            <v>0.25</v>
          </cell>
          <cell r="Y890">
            <v>-0.04</v>
          </cell>
          <cell r="AB890">
            <v>0.25</v>
          </cell>
          <cell r="AC890">
            <v>0.25</v>
          </cell>
          <cell r="AD890">
            <v>0.25</v>
          </cell>
          <cell r="AE890">
            <v>0.25</v>
          </cell>
          <cell r="AF890">
            <v>0.25</v>
          </cell>
          <cell r="AG890">
            <v>0.25</v>
          </cell>
          <cell r="AH890">
            <v>0.25</v>
          </cell>
          <cell r="AI890">
            <v>0.25</v>
          </cell>
          <cell r="AJ890">
            <v>0.25</v>
          </cell>
          <cell r="AK890">
            <v>0.25</v>
          </cell>
          <cell r="AL890">
            <v>0.25</v>
          </cell>
          <cell r="AM890">
            <v>0.25</v>
          </cell>
          <cell r="AN890">
            <v>0.25</v>
          </cell>
          <cell r="AO890">
            <v>0.25</v>
          </cell>
          <cell r="AP890">
            <v>0.25</v>
          </cell>
          <cell r="AQ890">
            <v>0.25</v>
          </cell>
          <cell r="AR890">
            <v>0.25</v>
          </cell>
          <cell r="AS890">
            <v>0.25</v>
          </cell>
          <cell r="AT890">
            <v>-0.04</v>
          </cell>
          <cell r="AU890">
            <v>0.92</v>
          </cell>
          <cell r="AV890">
            <v>20</v>
          </cell>
          <cell r="AY890" t="str">
            <v/>
          </cell>
          <cell r="AZ890">
            <v>0.25</v>
          </cell>
          <cell r="BA890">
            <v>0.25</v>
          </cell>
        </row>
        <row r="891">
          <cell r="A891" t="str">
            <v>F.LLI VERRANDO SERRAMENTI</v>
          </cell>
          <cell r="D891" t="str">
            <v>VIA G.GALILEI, 631 b</v>
          </cell>
          <cell r="E891">
            <v>18038</v>
          </cell>
          <cell r="F891" t="str">
            <v>SANREMO</v>
          </cell>
          <cell r="G891" t="str">
            <v>IM</v>
          </cell>
          <cell r="H891" t="str">
            <v>ITALIA</v>
          </cell>
          <cell r="M891" t="str">
            <v>UFFICIO ACQUISTI</v>
          </cell>
          <cell r="N891" t="str">
            <v>0184 575225</v>
          </cell>
          <cell r="O891" t="str">
            <v>329 5309180</v>
          </cell>
          <cell r="P891" t="str">
            <v>fratelliverrando@gmail.com</v>
          </cell>
          <cell r="R891" t="str">
            <v>BONIFICO BANCARIO, ALLA DATA DELLA NOSTRA CONFERMA D'ORDINE</v>
          </cell>
          <cell r="X891">
            <v>0.25</v>
          </cell>
          <cell r="Y891">
            <v>-0.04</v>
          </cell>
          <cell r="AB891">
            <v>0.25</v>
          </cell>
          <cell r="AC891">
            <v>0.25</v>
          </cell>
          <cell r="AD891">
            <v>0.25</v>
          </cell>
          <cell r="AE891">
            <v>0.25</v>
          </cell>
          <cell r="AF891">
            <v>0.25</v>
          </cell>
          <cell r="AG891">
            <v>0.25</v>
          </cell>
          <cell r="AH891">
            <v>0.25</v>
          </cell>
          <cell r="AI891">
            <v>0.25</v>
          </cell>
          <cell r="AJ891">
            <v>0.25</v>
          </cell>
          <cell r="AK891">
            <v>0.25</v>
          </cell>
          <cell r="AL891">
            <v>0.25</v>
          </cell>
          <cell r="AM891">
            <v>0.25</v>
          </cell>
          <cell r="AN891">
            <v>0.25</v>
          </cell>
          <cell r="AO891">
            <v>0.25</v>
          </cell>
          <cell r="AP891">
            <v>0.25</v>
          </cell>
          <cell r="AQ891">
            <v>0.25</v>
          </cell>
          <cell r="AR891">
            <v>0.25</v>
          </cell>
          <cell r="AS891">
            <v>0.25</v>
          </cell>
          <cell r="AT891">
            <v>-0.04</v>
          </cell>
          <cell r="AU891">
            <v>0.92</v>
          </cell>
          <cell r="AV891">
            <v>20</v>
          </cell>
          <cell r="AZ891">
            <v>0.25</v>
          </cell>
          <cell r="BA891">
            <v>0.25</v>
          </cell>
        </row>
        <row r="892">
          <cell r="A892" t="str">
            <v xml:space="preserve">F.LLI VOLGARE S.R.L. </v>
          </cell>
          <cell r="D892" t="str">
            <v>VIA APPIA KM.18,600</v>
          </cell>
          <cell r="E892" t="str">
            <v>80014</v>
          </cell>
          <cell r="F892" t="str">
            <v>GIUGLIANO</v>
          </cell>
          <cell r="G892" t="str">
            <v>NA</v>
          </cell>
          <cell r="H892" t="str">
            <v>ITALIA</v>
          </cell>
          <cell r="M892" t="str">
            <v>UFFICIO ACQUISTI</v>
          </cell>
          <cell r="N892" t="str">
            <v>081 5065252</v>
          </cell>
          <cell r="P892" t="str">
            <v>volgareporte@libero.it</v>
          </cell>
          <cell r="R892" t="str">
            <v>BONIFICO BANCARIO, ALLA DATA DELLA NOSTRA CONFERMA D'ORDINE</v>
          </cell>
          <cell r="X892">
            <v>0.25</v>
          </cell>
          <cell r="Y892">
            <v>-0.04</v>
          </cell>
          <cell r="AB892">
            <v>0.25</v>
          </cell>
          <cell r="AC892">
            <v>0.25</v>
          </cell>
          <cell r="AD892">
            <v>0.25</v>
          </cell>
          <cell r="AE892">
            <v>0.25</v>
          </cell>
          <cell r="AF892">
            <v>0.25</v>
          </cell>
          <cell r="AG892">
            <v>0.25</v>
          </cell>
          <cell r="AH892">
            <v>0.25</v>
          </cell>
          <cell r="AI892">
            <v>0.25</v>
          </cell>
          <cell r="AJ892">
            <v>0.25</v>
          </cell>
          <cell r="AK892">
            <v>0.25</v>
          </cell>
          <cell r="AL892">
            <v>0.25</v>
          </cell>
          <cell r="AM892">
            <v>0.25</v>
          </cell>
          <cell r="AN892">
            <v>0.25</v>
          </cell>
          <cell r="AO892">
            <v>0.25</v>
          </cell>
          <cell r="AP892">
            <v>0.25</v>
          </cell>
          <cell r="AQ892">
            <v>0.25</v>
          </cell>
          <cell r="AR892">
            <v>0.25</v>
          </cell>
          <cell r="AS892">
            <v>0.25</v>
          </cell>
          <cell r="AT892">
            <v>-0.04</v>
          </cell>
          <cell r="AU892">
            <v>0.92</v>
          </cell>
          <cell r="AV892">
            <v>20</v>
          </cell>
          <cell r="AY892" t="str">
            <v/>
          </cell>
          <cell r="AZ892">
            <v>0.25</v>
          </cell>
          <cell r="BA892">
            <v>0.25</v>
          </cell>
        </row>
        <row r="893">
          <cell r="A893" t="str">
            <v>F.Q. SERRAMENTI SRL</v>
          </cell>
          <cell r="D893" t="str">
            <v>VIALE DELLE INDUSTRIE, 8</v>
          </cell>
          <cell r="E893">
            <v>20090</v>
          </cell>
          <cell r="F893" t="str">
            <v>SETTALA</v>
          </cell>
          <cell r="G893" t="str">
            <v>MI</v>
          </cell>
          <cell r="H893" t="str">
            <v>ITALIA</v>
          </cell>
          <cell r="M893" t="str">
            <v>UFFICIO ACQUISTI</v>
          </cell>
          <cell r="N893" t="str">
            <v>02 95307565</v>
          </cell>
          <cell r="P893" t="str">
            <v>commerciale@fqserramenti.it</v>
          </cell>
          <cell r="R893" t="str">
            <v>BONIFICO BANCARIO, ALLA DATA DELLA NOSTRA CONFERMA D'ORDINE</v>
          </cell>
          <cell r="X893">
            <v>0.25</v>
          </cell>
          <cell r="Y893">
            <v>-0.04</v>
          </cell>
          <cell r="AB893">
            <v>0.25</v>
          </cell>
          <cell r="AC893">
            <v>0.25</v>
          </cell>
          <cell r="AD893">
            <v>0.25</v>
          </cell>
          <cell r="AE893">
            <v>0.25</v>
          </cell>
          <cell r="AF893">
            <v>0.25</v>
          </cell>
          <cell r="AG893">
            <v>0.25</v>
          </cell>
          <cell r="AH893">
            <v>0.25</v>
          </cell>
          <cell r="AI893">
            <v>0.25</v>
          </cell>
          <cell r="AJ893">
            <v>0.25</v>
          </cell>
          <cell r="AK893">
            <v>0.25</v>
          </cell>
          <cell r="AL893">
            <v>0.25</v>
          </cell>
          <cell r="AM893">
            <v>0.25</v>
          </cell>
          <cell r="AN893">
            <v>0.25</v>
          </cell>
          <cell r="AO893">
            <v>0.25</v>
          </cell>
          <cell r="AP893">
            <v>0.25</v>
          </cell>
          <cell r="AQ893">
            <v>0.25</v>
          </cell>
          <cell r="AR893">
            <v>0.25</v>
          </cell>
          <cell r="AS893">
            <v>0.25</v>
          </cell>
          <cell r="AT893">
            <v>-0.04</v>
          </cell>
          <cell r="AU893">
            <v>0.92</v>
          </cell>
          <cell r="AV893">
            <v>20</v>
          </cell>
          <cell r="AY893" t="str">
            <v/>
          </cell>
          <cell r="AZ893">
            <v>0.25</v>
          </cell>
          <cell r="BA893">
            <v>0.25</v>
          </cell>
        </row>
        <row r="894">
          <cell r="A894" t="str">
            <v>F.Q.SERRAMENTI SRL</v>
          </cell>
          <cell r="B894" t="str">
            <v>SHOOWROOM: VIA A.CASORATI, 89/L - ARCORE    DESIREE RIZZO COMMERCIALE</v>
          </cell>
          <cell r="D894" t="str">
            <v>VIALE DELLE INDUSTRIE, 8</v>
          </cell>
          <cell r="E894" t="str">
            <v>20090</v>
          </cell>
          <cell r="F894" t="str">
            <v>SETTALA</v>
          </cell>
          <cell r="G894" t="str">
            <v>MI</v>
          </cell>
          <cell r="H894" t="str">
            <v>ITALIA</v>
          </cell>
          <cell r="M894" t="str">
            <v>UFFICIO ACQUISTI</v>
          </cell>
          <cell r="N894" t="str">
            <v>02 95307565</v>
          </cell>
          <cell r="P894" t="str">
            <v>commerciale@fqserramenti.it</v>
          </cell>
          <cell r="R894" t="str">
            <v>BONIFICO BANCARIO, ALLA DATA DELLA NOSTRA CONFERMA D'ORDINE</v>
          </cell>
          <cell r="X894">
            <v>0.2</v>
          </cell>
          <cell r="Y894">
            <v>-0.04</v>
          </cell>
          <cell r="AB894">
            <v>0.2</v>
          </cell>
          <cell r="AC894">
            <v>0.2</v>
          </cell>
          <cell r="AD894">
            <v>0.2</v>
          </cell>
          <cell r="AE894">
            <v>0.2</v>
          </cell>
          <cell r="AF894">
            <v>0.2</v>
          </cell>
          <cell r="AG894">
            <v>0.2</v>
          </cell>
          <cell r="AH894">
            <v>0.2</v>
          </cell>
          <cell r="AI894">
            <v>0.2</v>
          </cell>
          <cell r="AJ894">
            <v>0.2</v>
          </cell>
          <cell r="AK894">
            <v>0.2</v>
          </cell>
          <cell r="AL894">
            <v>0.2</v>
          </cell>
          <cell r="AM894">
            <v>0.2</v>
          </cell>
          <cell r="AN894">
            <v>0.2</v>
          </cell>
          <cell r="AO894">
            <v>0.2</v>
          </cell>
          <cell r="AP894">
            <v>0.2</v>
          </cell>
          <cell r="AQ894">
            <v>0.2</v>
          </cell>
          <cell r="AR894">
            <v>0.2</v>
          </cell>
          <cell r="AS894">
            <v>0.2</v>
          </cell>
          <cell r="AT894">
            <v>-0.04</v>
          </cell>
          <cell r="AU894">
            <v>0.92</v>
          </cell>
          <cell r="AV894">
            <v>20</v>
          </cell>
          <cell r="AZ894">
            <v>0.2</v>
          </cell>
          <cell r="BA894">
            <v>0.2</v>
          </cell>
        </row>
        <row r="895">
          <cell r="A895" t="str">
            <v>FA INFISSI DI FABBRO ANDREA</v>
          </cell>
          <cell r="B895" t="str">
            <v>VISITATI 2 VOLTE</v>
          </cell>
          <cell r="D895" t="str">
            <v>VIA LESSI, 50</v>
          </cell>
          <cell r="E895" t="str">
            <v>33013</v>
          </cell>
          <cell r="F895" t="str">
            <v>GEMONA DEL FRIULI</v>
          </cell>
          <cell r="G895" t="str">
            <v>UD</v>
          </cell>
          <cell r="H895" t="str">
            <v>ITALIA</v>
          </cell>
          <cell r="M895" t="str">
            <v>UFFICIO ACQUISTI</v>
          </cell>
          <cell r="N895" t="str">
            <v>0432 971171</v>
          </cell>
          <cell r="O895" t="str">
            <v>393 9621092</v>
          </cell>
          <cell r="P895" t="str">
            <v>info@famyhome.it</v>
          </cell>
          <cell r="R895" t="str">
            <v>BONIFICO BANCARIO, ALLA DATA DELLA NOSTRA CONFERMA D'ORDINE</v>
          </cell>
          <cell r="X895">
            <v>0.25</v>
          </cell>
          <cell r="Y895">
            <v>-0.04</v>
          </cell>
          <cell r="AB895">
            <v>0.25</v>
          </cell>
          <cell r="AC895">
            <v>0.25</v>
          </cell>
          <cell r="AD895">
            <v>0.25</v>
          </cell>
          <cell r="AE895">
            <v>0.25</v>
          </cell>
          <cell r="AF895">
            <v>0.25</v>
          </cell>
          <cell r="AG895">
            <v>0.25</v>
          </cell>
          <cell r="AH895">
            <v>0.25</v>
          </cell>
          <cell r="AI895">
            <v>0.25</v>
          </cell>
          <cell r="AJ895">
            <v>0.25</v>
          </cell>
          <cell r="AK895">
            <v>0.25</v>
          </cell>
          <cell r="AL895">
            <v>0.25</v>
          </cell>
          <cell r="AM895">
            <v>0.25</v>
          </cell>
          <cell r="AN895">
            <v>0.25</v>
          </cell>
          <cell r="AO895">
            <v>0.25</v>
          </cell>
          <cell r="AP895">
            <v>0.25</v>
          </cell>
          <cell r="AQ895">
            <v>0.25</v>
          </cell>
          <cell r="AR895">
            <v>0.25</v>
          </cell>
          <cell r="AS895">
            <v>0.25</v>
          </cell>
          <cell r="AT895">
            <v>-0.04</v>
          </cell>
          <cell r="AU895">
            <v>0.92</v>
          </cell>
          <cell r="AV895">
            <v>20</v>
          </cell>
          <cell r="AY895" t="str">
            <v/>
          </cell>
          <cell r="AZ895">
            <v>0.25</v>
          </cell>
          <cell r="BA895">
            <v>0.25</v>
          </cell>
        </row>
        <row r="896">
          <cell r="A896" t="str">
            <v xml:space="preserve">FA SERRAMENTI </v>
          </cell>
          <cell r="D896" t="str">
            <v>VIA JERAGO, 65</v>
          </cell>
          <cell r="E896">
            <v>21010</v>
          </cell>
          <cell r="F896" t="str">
            <v>BESNATE</v>
          </cell>
          <cell r="G896" t="str">
            <v>VA</v>
          </cell>
          <cell r="H896" t="str">
            <v>ITALIA</v>
          </cell>
          <cell r="M896" t="str">
            <v>UFFICIO ACQUISTI</v>
          </cell>
          <cell r="N896" t="str">
            <v>0331 990193</v>
          </cell>
          <cell r="P896" t="str">
            <v>info@fa-serramenti.it</v>
          </cell>
          <cell r="R896" t="str">
            <v>BONIFICO BANCARIO, ALLA DATA DELLA NOSTRA CONFERMA D'ORDINE</v>
          </cell>
          <cell r="X896">
            <v>0.25</v>
          </cell>
          <cell r="Y896">
            <v>-0.04</v>
          </cell>
          <cell r="AB896">
            <v>0.25</v>
          </cell>
          <cell r="AC896">
            <v>0.25</v>
          </cell>
          <cell r="AD896">
            <v>0.25</v>
          </cell>
          <cell r="AE896">
            <v>0.25</v>
          </cell>
          <cell r="AF896">
            <v>0.25</v>
          </cell>
          <cell r="AG896">
            <v>0.25</v>
          </cell>
          <cell r="AH896">
            <v>0.25</v>
          </cell>
          <cell r="AI896">
            <v>0.25</v>
          </cell>
          <cell r="AJ896">
            <v>0.25</v>
          </cell>
          <cell r="AK896">
            <v>0.25</v>
          </cell>
          <cell r="AL896">
            <v>0.25</v>
          </cell>
          <cell r="AM896">
            <v>0.25</v>
          </cell>
          <cell r="AN896">
            <v>0.25</v>
          </cell>
          <cell r="AO896">
            <v>0.25</v>
          </cell>
          <cell r="AP896">
            <v>0.25</v>
          </cell>
          <cell r="AQ896">
            <v>0.25</v>
          </cell>
          <cell r="AR896">
            <v>0.25</v>
          </cell>
          <cell r="AS896">
            <v>0.25</v>
          </cell>
          <cell r="AT896">
            <v>-0.04</v>
          </cell>
          <cell r="AU896">
            <v>0.92</v>
          </cell>
          <cell r="AV896">
            <v>20</v>
          </cell>
          <cell r="AY896" t="str">
            <v/>
          </cell>
          <cell r="AZ896">
            <v>0.25</v>
          </cell>
          <cell r="BA896">
            <v>0.25</v>
          </cell>
        </row>
        <row r="897">
          <cell r="A897" t="str">
            <v>FA.PA.SRL UTENSILERIA CAN.OR</v>
          </cell>
          <cell r="D897" t="str">
            <v>VIA NETTUNENSE, KM 22,820</v>
          </cell>
          <cell r="E897" t="str">
            <v>04011</v>
          </cell>
          <cell r="F897" t="str">
            <v>APRILIA</v>
          </cell>
          <cell r="G897" t="str">
            <v>LT</v>
          </cell>
          <cell r="H897" t="str">
            <v>ITALIA</v>
          </cell>
          <cell r="M897" t="str">
            <v>UFFICIO ACQUISTI</v>
          </cell>
          <cell r="N897" t="str">
            <v>06 92860108</v>
          </cell>
          <cell r="O897" t="str">
            <v>335 7258490 PAOLO 335 7258524 FABIO</v>
          </cell>
          <cell r="P897" t="str">
            <v>ferramentacanor@yahoo.it</v>
          </cell>
          <cell r="R897" t="str">
            <v>BONIFICO BANCARIO, ALLA DATA DELLA NOSTRA CONFERMA D'ORDINE</v>
          </cell>
          <cell r="X897">
            <v>0.2</v>
          </cell>
          <cell r="Y897">
            <v>-0.04</v>
          </cell>
          <cell r="AB897">
            <v>0.2</v>
          </cell>
          <cell r="AC897">
            <v>0.2</v>
          </cell>
          <cell r="AD897">
            <v>0.2</v>
          </cell>
          <cell r="AE897">
            <v>0.2</v>
          </cell>
          <cell r="AF897">
            <v>0.2</v>
          </cell>
          <cell r="AG897">
            <v>0.2</v>
          </cell>
          <cell r="AH897">
            <v>0.2</v>
          </cell>
          <cell r="AI897">
            <v>0.2</v>
          </cell>
          <cell r="AJ897">
            <v>0.2</v>
          </cell>
          <cell r="AK897">
            <v>0.2</v>
          </cell>
          <cell r="AL897">
            <v>0.2</v>
          </cell>
          <cell r="AM897">
            <v>0.2</v>
          </cell>
          <cell r="AN897">
            <v>0.2</v>
          </cell>
          <cell r="AO897">
            <v>0.2</v>
          </cell>
          <cell r="AP897">
            <v>0.2</v>
          </cell>
          <cell r="AQ897">
            <v>0.2</v>
          </cell>
          <cell r="AR897">
            <v>0.2</v>
          </cell>
          <cell r="AS897">
            <v>0.2</v>
          </cell>
          <cell r="AT897">
            <v>-0.04</v>
          </cell>
          <cell r="AU897">
            <v>0.92</v>
          </cell>
          <cell r="AV897">
            <v>20</v>
          </cell>
          <cell r="AZ897">
            <v>0.2</v>
          </cell>
          <cell r="BA897">
            <v>0.2</v>
          </cell>
        </row>
        <row r="898">
          <cell r="A898" t="str">
            <v>FABBRI &amp; VECCHI SRL</v>
          </cell>
          <cell r="D898" t="str">
            <v>VIA B. TOSARELLI 177</v>
          </cell>
          <cell r="E898" t="str">
            <v>40050</v>
          </cell>
          <cell r="F898" t="str">
            <v>VILLANOVA DI CASTENASO</v>
          </cell>
          <cell r="G898" t="str">
            <v>BO</v>
          </cell>
          <cell r="H898" t="str">
            <v>ITALIA</v>
          </cell>
          <cell r="J898" t="str">
            <v>00511231201</v>
          </cell>
          <cell r="M898" t="str">
            <v>UFFICIO ACQUISTI</v>
          </cell>
          <cell r="N898" t="str">
            <v>051 780159</v>
          </cell>
          <cell r="P898" t="str">
            <v>info@fabbrievecchi.it</v>
          </cell>
          <cell r="R898" t="str">
            <v>BONIFICO BANCARIO, ALLA DATA DELLA NOSTRA CONFERMA D'ORDINE</v>
          </cell>
          <cell r="X898">
            <v>0.25</v>
          </cell>
          <cell r="Y898">
            <v>-0.04</v>
          </cell>
          <cell r="AB898">
            <v>0.25</v>
          </cell>
          <cell r="AC898">
            <v>0.25</v>
          </cell>
          <cell r="AD898">
            <v>0.25</v>
          </cell>
          <cell r="AE898">
            <v>0.25</v>
          </cell>
          <cell r="AF898">
            <v>0.25</v>
          </cell>
          <cell r="AG898">
            <v>0.25</v>
          </cell>
          <cell r="AH898">
            <v>0.25</v>
          </cell>
          <cell r="AI898">
            <v>0.25</v>
          </cell>
          <cell r="AJ898">
            <v>0.25</v>
          </cell>
          <cell r="AK898">
            <v>0.25</v>
          </cell>
          <cell r="AL898">
            <v>0.25</v>
          </cell>
          <cell r="AM898">
            <v>0.25</v>
          </cell>
          <cell r="AN898">
            <v>0.25</v>
          </cell>
          <cell r="AO898">
            <v>0.25</v>
          </cell>
          <cell r="AP898">
            <v>0.25</v>
          </cell>
          <cell r="AQ898">
            <v>0.25</v>
          </cell>
          <cell r="AR898">
            <v>0.25</v>
          </cell>
          <cell r="AS898">
            <v>0.25</v>
          </cell>
          <cell r="AT898">
            <v>-0.04</v>
          </cell>
          <cell r="AU898">
            <v>0.92</v>
          </cell>
          <cell r="AV898">
            <v>20</v>
          </cell>
          <cell r="AY898" t="str">
            <v/>
          </cell>
          <cell r="AZ898">
            <v>0.25</v>
          </cell>
          <cell r="BA898">
            <v>0.25</v>
          </cell>
        </row>
        <row r="899">
          <cell r="A899" t="str">
            <v>FABBRI INFISSI DI FABBRI ENRICO</v>
          </cell>
          <cell r="D899" t="str">
            <v>VIA SARDEGNA 18</v>
          </cell>
          <cell r="E899" t="str">
            <v>40017</v>
          </cell>
          <cell r="F899" t="str">
            <v>DECIMA</v>
          </cell>
          <cell r="G899" t="str">
            <v>BO</v>
          </cell>
          <cell r="H899" t="str">
            <v>ITALIA</v>
          </cell>
          <cell r="J899" t="str">
            <v>00827421207</v>
          </cell>
          <cell r="M899" t="str">
            <v>UFFICIO ACQUISTI</v>
          </cell>
          <cell r="N899" t="str">
            <v>051 6827172</v>
          </cell>
          <cell r="P899" t="str">
            <v>fabbri.infissi@libero.it</v>
          </cell>
          <cell r="R899" t="str">
            <v>BONIFICO BANCARIO, ALLA DATA DELLA NOSTRA CONFERMA D'ORDINE</v>
          </cell>
          <cell r="X899">
            <v>0.25</v>
          </cell>
          <cell r="Y899">
            <v>-0.04</v>
          </cell>
          <cell r="AB899">
            <v>0.25</v>
          </cell>
          <cell r="AC899">
            <v>0.25</v>
          </cell>
          <cell r="AD899">
            <v>0.25</v>
          </cell>
          <cell r="AE899">
            <v>0.25</v>
          </cell>
          <cell r="AF899">
            <v>0.25</v>
          </cell>
          <cell r="AG899">
            <v>0.25</v>
          </cell>
          <cell r="AH899">
            <v>0.25</v>
          </cell>
          <cell r="AI899">
            <v>0.25</v>
          </cell>
          <cell r="AJ899">
            <v>0.25</v>
          </cell>
          <cell r="AK899">
            <v>0.25</v>
          </cell>
          <cell r="AL899">
            <v>0.25</v>
          </cell>
          <cell r="AM899">
            <v>0.25</v>
          </cell>
          <cell r="AN899">
            <v>0.25</v>
          </cell>
          <cell r="AO899">
            <v>0.25</v>
          </cell>
          <cell r="AP899">
            <v>0.25</v>
          </cell>
          <cell r="AQ899">
            <v>0.25</v>
          </cell>
          <cell r="AR899">
            <v>0.25</v>
          </cell>
          <cell r="AS899">
            <v>0.25</v>
          </cell>
          <cell r="AT899">
            <v>-0.04</v>
          </cell>
          <cell r="AU899">
            <v>0.92</v>
          </cell>
          <cell r="AV899">
            <v>20</v>
          </cell>
          <cell r="AZ899">
            <v>0.25</v>
          </cell>
          <cell r="BA899">
            <v>0.25</v>
          </cell>
        </row>
        <row r="900">
          <cell r="A900" t="str">
            <v>FABBRI INFISSI SRL</v>
          </cell>
          <cell r="D900" t="str">
            <v>VIA CIMABUE 9</v>
          </cell>
          <cell r="E900" t="str">
            <v>60019</v>
          </cell>
          <cell r="F900" t="str">
            <v>SENIGALLIA</v>
          </cell>
          <cell r="G900" t="str">
            <v>AN</v>
          </cell>
          <cell r="H900" t="str">
            <v>ITALIA</v>
          </cell>
          <cell r="M900" t="str">
            <v>UFFICIO ACQUISTI</v>
          </cell>
          <cell r="N900" t="str">
            <v>348 9324277 ANDREA</v>
          </cell>
          <cell r="O900" t="str">
            <v>333 8916777 LORENZO</v>
          </cell>
          <cell r="R900" t="str">
            <v>BONIFICO BANCARIO, ALLA DATA DELLA NOSTRA CONFERMA D'ORDINE</v>
          </cell>
          <cell r="X900">
            <v>0.25</v>
          </cell>
          <cell r="Y900">
            <v>-0.04</v>
          </cell>
          <cell r="AB900">
            <v>0.25</v>
          </cell>
          <cell r="AC900">
            <v>0.25</v>
          </cell>
          <cell r="AD900">
            <v>0.25</v>
          </cell>
          <cell r="AE900">
            <v>0.25</v>
          </cell>
          <cell r="AF900">
            <v>0.25</v>
          </cell>
          <cell r="AG900">
            <v>0.25</v>
          </cell>
          <cell r="AH900">
            <v>0.25</v>
          </cell>
          <cell r="AI900">
            <v>0.25</v>
          </cell>
          <cell r="AJ900">
            <v>0.25</v>
          </cell>
          <cell r="AK900">
            <v>0.25</v>
          </cell>
          <cell r="AL900">
            <v>0.25</v>
          </cell>
          <cell r="AM900">
            <v>0.25</v>
          </cell>
          <cell r="AN900">
            <v>0.25</v>
          </cell>
          <cell r="AO900">
            <v>0.25</v>
          </cell>
          <cell r="AP900">
            <v>0.25</v>
          </cell>
          <cell r="AQ900">
            <v>0.25</v>
          </cell>
          <cell r="AR900">
            <v>0.25</v>
          </cell>
          <cell r="AS900">
            <v>0.25</v>
          </cell>
          <cell r="AT900">
            <v>-0.04</v>
          </cell>
          <cell r="AU900">
            <v>0.92</v>
          </cell>
          <cell r="AV900">
            <v>20</v>
          </cell>
          <cell r="AZ900">
            <v>0.25</v>
          </cell>
          <cell r="BA900">
            <v>0.25</v>
          </cell>
        </row>
        <row r="901">
          <cell r="A901" t="str">
            <v>FABBRO FER</v>
          </cell>
          <cell r="D901" t="str">
            <v>VIA OSPEDALETTO, 50</v>
          </cell>
          <cell r="E901">
            <v>37026</v>
          </cell>
          <cell r="F901" t="str">
            <v>PESCANTINA</v>
          </cell>
          <cell r="G901" t="str">
            <v>VR</v>
          </cell>
          <cell r="H901" t="str">
            <v>ITALIA</v>
          </cell>
          <cell r="M901" t="str">
            <v>UFFICIO ACQUISTI</v>
          </cell>
          <cell r="N901" t="str">
            <v>045 6767467</v>
          </cell>
          <cell r="O901" t="str">
            <v>345 0582828 - 349 3610017</v>
          </cell>
          <cell r="R901" t="str">
            <v>BONIFICO BANCARIO, ALLA DATA DELLA NOSTRA CONFERMA D'ORDINE</v>
          </cell>
          <cell r="X901">
            <v>0.25</v>
          </cell>
          <cell r="Y901">
            <v>-0.04</v>
          </cell>
          <cell r="AB901">
            <v>0.25</v>
          </cell>
          <cell r="AC901">
            <v>0.25</v>
          </cell>
          <cell r="AD901">
            <v>0.25</v>
          </cell>
          <cell r="AE901">
            <v>0.25</v>
          </cell>
          <cell r="AF901">
            <v>0.25</v>
          </cell>
          <cell r="AG901">
            <v>0.25</v>
          </cell>
          <cell r="AH901">
            <v>0.25</v>
          </cell>
          <cell r="AI901">
            <v>0.25</v>
          </cell>
          <cell r="AJ901">
            <v>0.25</v>
          </cell>
          <cell r="AK901">
            <v>0.25</v>
          </cell>
          <cell r="AL901">
            <v>0.25</v>
          </cell>
          <cell r="AM901">
            <v>0.25</v>
          </cell>
          <cell r="AN901">
            <v>0.25</v>
          </cell>
          <cell r="AO901">
            <v>0.25</v>
          </cell>
          <cell r="AP901">
            <v>0.25</v>
          </cell>
          <cell r="AQ901">
            <v>0.25</v>
          </cell>
          <cell r="AR901">
            <v>0.25</v>
          </cell>
          <cell r="AS901">
            <v>0.25</v>
          </cell>
          <cell r="AT901">
            <v>-0.04</v>
          </cell>
          <cell r="AU901">
            <v>0.92</v>
          </cell>
          <cell r="AV901">
            <v>20</v>
          </cell>
          <cell r="AY901" t="str">
            <v/>
          </cell>
          <cell r="AZ901">
            <v>0.25</v>
          </cell>
          <cell r="BA901">
            <v>0.25</v>
          </cell>
        </row>
        <row r="902">
          <cell r="A902" t="str">
            <v>FABBRO MY HOME DI FABBRO ROBERTA</v>
          </cell>
          <cell r="D902" t="str">
            <v>VIA LESSI, 50</v>
          </cell>
          <cell r="E902">
            <v>33013</v>
          </cell>
          <cell r="F902" t="str">
            <v>GEMONA DEL FRIULI</v>
          </cell>
          <cell r="G902" t="str">
            <v>UD</v>
          </cell>
          <cell r="H902" t="str">
            <v>ITALIA</v>
          </cell>
          <cell r="I902" t="str">
            <v>FBBRRT86C66H816V</v>
          </cell>
          <cell r="J902" t="str">
            <v>02622490304</v>
          </cell>
          <cell r="K902" t="str">
            <v>SUBM70N</v>
          </cell>
          <cell r="L902" t="str">
            <v>FA INFISSI - VIA SOPRAMONTE,15 - 33030 - BUJA (UD)</v>
          </cell>
          <cell r="M902" t="str">
            <v>UFFICIO ACQUISTI</v>
          </cell>
          <cell r="N902" t="str">
            <v>0432 971171</v>
          </cell>
          <cell r="O902" t="str">
            <v>393 9621092</v>
          </cell>
          <cell r="P902" t="str">
            <v>info@famyhome.it</v>
          </cell>
          <cell r="R902" t="str">
            <v>BONIFICO BANCARIO, ALLA DATA DELLA NOSTRA CONFERMA D'ORDINE</v>
          </cell>
          <cell r="X902">
            <v>0.25</v>
          </cell>
          <cell r="Y902">
            <v>-0.04</v>
          </cell>
          <cell r="AB902">
            <v>0.25</v>
          </cell>
          <cell r="AC902">
            <v>0.25</v>
          </cell>
          <cell r="AD902">
            <v>0.25</v>
          </cell>
          <cell r="AE902">
            <v>0.25</v>
          </cell>
          <cell r="AF902">
            <v>0.25</v>
          </cell>
          <cell r="AG902">
            <v>0.25</v>
          </cell>
          <cell r="AH902">
            <v>0.25</v>
          </cell>
          <cell r="AI902">
            <v>0.25</v>
          </cell>
          <cell r="AJ902">
            <v>0.25</v>
          </cell>
          <cell r="AK902">
            <v>0.25</v>
          </cell>
          <cell r="AL902">
            <v>0.25</v>
          </cell>
          <cell r="AM902">
            <v>0.25</v>
          </cell>
          <cell r="AN902">
            <v>0.25</v>
          </cell>
          <cell r="AO902">
            <v>0.25</v>
          </cell>
          <cell r="AP902">
            <v>0.25</v>
          </cell>
          <cell r="AQ902">
            <v>0.25</v>
          </cell>
          <cell r="AR902">
            <v>0.25</v>
          </cell>
          <cell r="AS902">
            <v>0.25</v>
          </cell>
          <cell r="AT902">
            <v>-0.04</v>
          </cell>
          <cell r="AU902">
            <v>0.92</v>
          </cell>
          <cell r="AV902">
            <v>20</v>
          </cell>
          <cell r="AY902" t="str">
            <v/>
          </cell>
          <cell r="AZ902">
            <v>0.25</v>
          </cell>
          <cell r="BA902">
            <v>0.25</v>
          </cell>
        </row>
        <row r="903">
          <cell r="A903" t="str">
            <v>FABBRO NAPOLI DITTA PUPA</v>
          </cell>
          <cell r="D903" t="str">
            <v>VIA FEDERICO PERSICO, 10</v>
          </cell>
          <cell r="E903" t="str">
            <v>80123</v>
          </cell>
          <cell r="F903" t="str">
            <v>NAPOLI</v>
          </cell>
          <cell r="G903" t="str">
            <v>NA</v>
          </cell>
          <cell r="H903" t="str">
            <v>ITALIA</v>
          </cell>
          <cell r="I903" t="str">
            <v>PPUFNC38D14F839L</v>
          </cell>
          <cell r="J903">
            <v>408240638</v>
          </cell>
          <cell r="M903" t="str">
            <v>UFFICIO ACQUISTI</v>
          </cell>
          <cell r="N903" t="str">
            <v>081 7807097</v>
          </cell>
          <cell r="O903" t="str">
            <v>338 4991628   333 2094985  3386410468</v>
          </cell>
          <cell r="P903" t="str">
            <v>francescopupa@libero.it</v>
          </cell>
          <cell r="R903" t="str">
            <v>BONIFICO BANCARIO, ALLA DATA DELLA NOSTRA CONFERMA D'ORDINE</v>
          </cell>
          <cell r="X903">
            <v>0.25</v>
          </cell>
          <cell r="Y903">
            <v>-0.04</v>
          </cell>
          <cell r="AB903">
            <v>0.25</v>
          </cell>
          <cell r="AC903">
            <v>0.25</v>
          </cell>
          <cell r="AD903">
            <v>0.25</v>
          </cell>
          <cell r="AE903">
            <v>0.25</v>
          </cell>
          <cell r="AF903">
            <v>0.25</v>
          </cell>
          <cell r="AG903">
            <v>0.25</v>
          </cell>
          <cell r="AH903">
            <v>0.25</v>
          </cell>
          <cell r="AI903">
            <v>0.25</v>
          </cell>
          <cell r="AJ903">
            <v>0.25</v>
          </cell>
          <cell r="AK903">
            <v>0.25</v>
          </cell>
          <cell r="AL903">
            <v>0.25</v>
          </cell>
          <cell r="AM903">
            <v>0.25</v>
          </cell>
          <cell r="AN903">
            <v>0.25</v>
          </cell>
          <cell r="AO903">
            <v>0.25</v>
          </cell>
          <cell r="AP903">
            <v>0.25</v>
          </cell>
          <cell r="AQ903">
            <v>0.25</v>
          </cell>
          <cell r="AR903">
            <v>0.25</v>
          </cell>
          <cell r="AS903">
            <v>0.25</v>
          </cell>
          <cell r="AT903">
            <v>-0.04</v>
          </cell>
          <cell r="AU903">
            <v>0.92</v>
          </cell>
          <cell r="AV903">
            <v>20</v>
          </cell>
          <cell r="AZ903">
            <v>0.25</v>
          </cell>
          <cell r="BA903">
            <v>0.25</v>
          </cell>
        </row>
        <row r="904">
          <cell r="A904" t="str">
            <v>FABBRO ROLANDO MARCO</v>
          </cell>
          <cell r="D904" t="str">
            <v>V.ARGINE DESTRO F. SCAJOLA, 395</v>
          </cell>
          <cell r="E904">
            <v>18100</v>
          </cell>
          <cell r="F904" t="str">
            <v>IMPERIA</v>
          </cell>
          <cell r="G904" t="str">
            <v>IM</v>
          </cell>
          <cell r="H904" t="str">
            <v>ITALIA</v>
          </cell>
          <cell r="K904" t="str">
            <v>W7YVJK9</v>
          </cell>
          <cell r="M904" t="str">
            <v>UFFICIO ACQUISTI</v>
          </cell>
          <cell r="N904" t="str">
            <v>0183 710251</v>
          </cell>
          <cell r="P904" t="str">
            <v>info@officinarolando.com</v>
          </cell>
          <cell r="R904" t="str">
            <v>BONIFICO BANCARIO, ALLA DATA DELLA NOSTRA CONFERMA D'ORDINE</v>
          </cell>
          <cell r="X904">
            <v>0.25</v>
          </cell>
          <cell r="Y904">
            <v>-0.04</v>
          </cell>
          <cell r="AB904">
            <v>0.25</v>
          </cell>
          <cell r="AC904">
            <v>0.25</v>
          </cell>
          <cell r="AD904">
            <v>0.25</v>
          </cell>
          <cell r="AE904">
            <v>0.25</v>
          </cell>
          <cell r="AF904">
            <v>0.25</v>
          </cell>
          <cell r="AG904">
            <v>0.25</v>
          </cell>
          <cell r="AH904">
            <v>0.25</v>
          </cell>
          <cell r="AI904">
            <v>0.25</v>
          </cell>
          <cell r="AJ904">
            <v>0.25</v>
          </cell>
          <cell r="AK904">
            <v>0.25</v>
          </cell>
          <cell r="AL904">
            <v>0.25</v>
          </cell>
          <cell r="AM904">
            <v>0.25</v>
          </cell>
          <cell r="AN904">
            <v>0.25</v>
          </cell>
          <cell r="AO904">
            <v>0.25</v>
          </cell>
          <cell r="AP904">
            <v>0.25</v>
          </cell>
          <cell r="AQ904">
            <v>0.25</v>
          </cell>
          <cell r="AR904">
            <v>0.25</v>
          </cell>
          <cell r="AS904">
            <v>0.25</v>
          </cell>
          <cell r="AT904">
            <v>-0.04</v>
          </cell>
          <cell r="AU904">
            <v>0.92</v>
          </cell>
          <cell r="AV904">
            <v>20</v>
          </cell>
          <cell r="AY904" t="str">
            <v/>
          </cell>
          <cell r="AZ904">
            <v>0.25</v>
          </cell>
          <cell r="BA904">
            <v>0.25</v>
          </cell>
        </row>
        <row r="905">
          <cell r="A905" t="str">
            <v>FABBROMECCANICA SAS</v>
          </cell>
          <cell r="D905" t="str">
            <v>VIA DEL LAVORO, 14</v>
          </cell>
          <cell r="E905">
            <v>20060</v>
          </cell>
          <cell r="F905" t="str">
            <v>VIGNATE</v>
          </cell>
          <cell r="G905" t="str">
            <v>MI</v>
          </cell>
          <cell r="H905" t="str">
            <v>ITALIA</v>
          </cell>
          <cell r="J905" t="str">
            <v>05752620962</v>
          </cell>
          <cell r="M905" t="str">
            <v>UFFICIO ACQUISTI</v>
          </cell>
          <cell r="N905" t="str">
            <v>02 9566155</v>
          </cell>
          <cell r="O905" t="str">
            <v>348 7842379 LUCA GUARNIERO</v>
          </cell>
          <cell r="P905" t="str">
            <v>fabbromeccanica@icloud.com</v>
          </cell>
          <cell r="R905" t="str">
            <v>BONIFICO BANCARIO, ALLA DATA DELLA NOSTRA CONFERMA D'ORDINE</v>
          </cell>
          <cell r="X905">
            <v>0.25</v>
          </cell>
          <cell r="Y905">
            <v>-0.04</v>
          </cell>
          <cell r="AB905">
            <v>0.25</v>
          </cell>
          <cell r="AC905">
            <v>0.25</v>
          </cell>
          <cell r="AD905">
            <v>0.25</v>
          </cell>
          <cell r="AE905">
            <v>0.25</v>
          </cell>
          <cell r="AF905">
            <v>0.25</v>
          </cell>
          <cell r="AG905">
            <v>0.25</v>
          </cell>
          <cell r="AH905">
            <v>0.25</v>
          </cell>
          <cell r="AI905">
            <v>0.25</v>
          </cell>
          <cell r="AJ905">
            <v>0.25</v>
          </cell>
          <cell r="AK905">
            <v>0.25</v>
          </cell>
          <cell r="AL905">
            <v>0.25</v>
          </cell>
          <cell r="AM905">
            <v>0.25</v>
          </cell>
          <cell r="AN905">
            <v>0.25</v>
          </cell>
          <cell r="AO905">
            <v>0.25</v>
          </cell>
          <cell r="AP905">
            <v>0.25</v>
          </cell>
          <cell r="AQ905">
            <v>0.25</v>
          </cell>
          <cell r="AR905">
            <v>0.25</v>
          </cell>
          <cell r="AS905">
            <v>0.25</v>
          </cell>
          <cell r="AT905">
            <v>-0.04</v>
          </cell>
          <cell r="AU905">
            <v>0.92</v>
          </cell>
          <cell r="AV905">
            <v>20</v>
          </cell>
          <cell r="AY905" t="str">
            <v/>
          </cell>
          <cell r="AZ905">
            <v>0.25</v>
          </cell>
          <cell r="BA905">
            <v>0.25</v>
          </cell>
        </row>
        <row r="906">
          <cell r="A906" t="str">
            <v>FABER DUE SRL</v>
          </cell>
          <cell r="D906" t="str">
            <v>VIA PIAN DELLA FONDA 16</v>
          </cell>
          <cell r="E906" t="str">
            <v>50031</v>
          </cell>
          <cell r="F906" t="str">
            <v>BARBERINO MUGELLO</v>
          </cell>
          <cell r="G906" t="str">
            <v>FI</v>
          </cell>
          <cell r="H906" t="str">
            <v>ITALIA</v>
          </cell>
          <cell r="J906" t="str">
            <v>06209440483</v>
          </cell>
          <cell r="M906" t="str">
            <v>UFFICIO ACQUISTI</v>
          </cell>
          <cell r="N906" t="str">
            <v>0558 416261</v>
          </cell>
          <cell r="P906" t="str">
            <v>faberdue@virgilio.it</v>
          </cell>
          <cell r="R906" t="str">
            <v>BONIFICO BANCARIO, ALLA DATA DELLA NOSTRA CONFERMA D'ORDINE</v>
          </cell>
          <cell r="X906">
            <v>0.25</v>
          </cell>
          <cell r="Y906">
            <v>-0.04</v>
          </cell>
          <cell r="AB906">
            <v>0.25</v>
          </cell>
          <cell r="AC906">
            <v>0.25</v>
          </cell>
          <cell r="AD906">
            <v>0.25</v>
          </cell>
          <cell r="AE906">
            <v>0.25</v>
          </cell>
          <cell r="AF906">
            <v>0.25</v>
          </cell>
          <cell r="AG906">
            <v>0.25</v>
          </cell>
          <cell r="AH906">
            <v>0.25</v>
          </cell>
          <cell r="AI906">
            <v>0.25</v>
          </cell>
          <cell r="AJ906">
            <v>0.25</v>
          </cell>
          <cell r="AK906">
            <v>0.25</v>
          </cell>
          <cell r="AL906">
            <v>0.25</v>
          </cell>
          <cell r="AM906">
            <v>0.25</v>
          </cell>
          <cell r="AN906">
            <v>0.25</v>
          </cell>
          <cell r="AO906">
            <v>0.25</v>
          </cell>
          <cell r="AP906">
            <v>0.25</v>
          </cell>
          <cell r="AQ906">
            <v>0.25</v>
          </cell>
          <cell r="AR906">
            <v>0.25</v>
          </cell>
          <cell r="AS906">
            <v>0.25</v>
          </cell>
          <cell r="AT906">
            <v>-0.04</v>
          </cell>
          <cell r="AU906">
            <v>0.92</v>
          </cell>
          <cell r="AV906">
            <v>20</v>
          </cell>
          <cell r="AY906" t="str">
            <v/>
          </cell>
          <cell r="AZ906">
            <v>0.25</v>
          </cell>
          <cell r="BA906">
            <v>0.25</v>
          </cell>
        </row>
        <row r="907">
          <cell r="A907" t="str">
            <v>FABIANO CONSULTING SRL</v>
          </cell>
          <cell r="D907" t="str">
            <v>VIALE EUROPA, 177</v>
          </cell>
          <cell r="E907">
            <v>88060</v>
          </cell>
          <cell r="F907" t="str">
            <v>SATRIANO MARINA</v>
          </cell>
          <cell r="G907" t="str">
            <v>CZ</v>
          </cell>
          <cell r="H907" t="str">
            <v>ITALIA</v>
          </cell>
          <cell r="J907" t="str">
            <v>03827340799</v>
          </cell>
          <cell r="K907" t="str">
            <v>W7YVJK9</v>
          </cell>
          <cell r="M907" t="str">
            <v>UFFICIO ACQUISTI</v>
          </cell>
          <cell r="N907" t="str">
            <v>0967 630024</v>
          </cell>
          <cell r="O907" t="str">
            <v>340 87922089 MARIO FABIANO</v>
          </cell>
          <cell r="P907" t="str">
            <v>info@fabianoconsulting.com</v>
          </cell>
          <cell r="R907" t="str">
            <v>BONIFICO BANCARIO, ALLA DATA DELLA NOSTRA CONFERMA D'ORDINE</v>
          </cell>
          <cell r="X907">
            <v>0.25</v>
          </cell>
          <cell r="Y907">
            <v>-0.04</v>
          </cell>
          <cell r="AB907">
            <v>0.25</v>
          </cell>
          <cell r="AC907">
            <v>0.25</v>
          </cell>
          <cell r="AD907">
            <v>0.25</v>
          </cell>
          <cell r="AE907">
            <v>0.25</v>
          </cell>
          <cell r="AF907">
            <v>0.25</v>
          </cell>
          <cell r="AG907">
            <v>0.25</v>
          </cell>
          <cell r="AH907">
            <v>0.25</v>
          </cell>
          <cell r="AI907">
            <v>0.25</v>
          </cell>
          <cell r="AJ907">
            <v>0.25</v>
          </cell>
          <cell r="AK907">
            <v>0.25</v>
          </cell>
          <cell r="AL907">
            <v>0.25</v>
          </cell>
          <cell r="AM907">
            <v>0.25</v>
          </cell>
          <cell r="AN907">
            <v>0.25</v>
          </cell>
          <cell r="AO907">
            <v>0.25</v>
          </cell>
          <cell r="AP907">
            <v>0.25</v>
          </cell>
          <cell r="AQ907">
            <v>0.25</v>
          </cell>
          <cell r="AR907">
            <v>0.25</v>
          </cell>
          <cell r="AS907">
            <v>0.25</v>
          </cell>
          <cell r="AT907">
            <v>-0.04</v>
          </cell>
          <cell r="AU907">
            <v>0.92</v>
          </cell>
          <cell r="AV907">
            <v>20</v>
          </cell>
          <cell r="AW907" t="str">
            <v>PIETRO OLIVADOTI</v>
          </cell>
          <cell r="AX907">
            <v>0.95</v>
          </cell>
          <cell r="AY907" t="str">
            <v/>
          </cell>
          <cell r="AZ907">
            <v>0.25</v>
          </cell>
          <cell r="BA907">
            <v>0.25</v>
          </cell>
          <cell r="BF907" t="str">
            <v>CLICK RAPID con carpenteria 16/09/2021</v>
          </cell>
        </row>
        <row r="908">
          <cell r="A908" t="str">
            <v>FABIANO SERRAMENTI</v>
          </cell>
          <cell r="B908" t="str">
            <v>SE LE FA DA SOLO, MA E' MOLTO INTERESSATO (FORSE) ALLE NOSTRE</v>
          </cell>
          <cell r="D908" t="str">
            <v>VIA DOLCEDO, 150</v>
          </cell>
          <cell r="E908">
            <v>18100</v>
          </cell>
          <cell r="F908" t="str">
            <v>IMPERIA</v>
          </cell>
          <cell r="G908" t="str">
            <v>IM</v>
          </cell>
          <cell r="H908" t="str">
            <v>ITALIA</v>
          </cell>
          <cell r="J908" t="str">
            <v>01645790088</v>
          </cell>
          <cell r="K908" t="str">
            <v>W7YVJK9</v>
          </cell>
          <cell r="M908" t="str">
            <v>UFFICIO ACQUISTI</v>
          </cell>
          <cell r="O908" t="str">
            <v>334 1849271 - 333 3925697</v>
          </cell>
          <cell r="P908" t="str">
            <v>info@fabianoserramenti.it</v>
          </cell>
          <cell r="R908" t="str">
            <v>BONIFICO BANCARIO, ALLA DATA DELLA NOSTRA CONFERMA D'ORDINE</v>
          </cell>
          <cell r="X908">
            <v>0.25</v>
          </cell>
          <cell r="Y908">
            <v>-0.04</v>
          </cell>
          <cell r="AB908">
            <v>0.25</v>
          </cell>
          <cell r="AC908">
            <v>0.25</v>
          </cell>
          <cell r="AD908">
            <v>0.25</v>
          </cell>
          <cell r="AE908">
            <v>0.25</v>
          </cell>
          <cell r="AF908">
            <v>0.25</v>
          </cell>
          <cell r="AG908">
            <v>0.25</v>
          </cell>
          <cell r="AH908">
            <v>0.25</v>
          </cell>
          <cell r="AI908">
            <v>0.25</v>
          </cell>
          <cell r="AJ908">
            <v>0.25</v>
          </cell>
          <cell r="AK908">
            <v>0.25</v>
          </cell>
          <cell r="AL908">
            <v>0.25</v>
          </cell>
          <cell r="AM908">
            <v>0.25</v>
          </cell>
          <cell r="AN908">
            <v>0.25</v>
          </cell>
          <cell r="AO908">
            <v>0.25</v>
          </cell>
          <cell r="AP908">
            <v>0.25</v>
          </cell>
          <cell r="AQ908">
            <v>0.25</v>
          </cell>
          <cell r="AR908">
            <v>0.25</v>
          </cell>
          <cell r="AS908">
            <v>0.25</v>
          </cell>
          <cell r="AT908">
            <v>-0.04</v>
          </cell>
          <cell r="AU908">
            <v>0.92</v>
          </cell>
          <cell r="AV908">
            <v>20</v>
          </cell>
          <cell r="AY908" t="str">
            <v/>
          </cell>
          <cell r="AZ908">
            <v>0.25</v>
          </cell>
          <cell r="BA908">
            <v>0.25</v>
          </cell>
        </row>
        <row r="909">
          <cell r="A909" t="str">
            <v>FABIO PO</v>
          </cell>
          <cell r="D909" t="str">
            <v>VIA ZARLATI, 13</v>
          </cell>
          <cell r="E909" t="str">
            <v>41126</v>
          </cell>
          <cell r="F909" t="str">
            <v>MODENA</v>
          </cell>
          <cell r="G909" t="str">
            <v>MO</v>
          </cell>
          <cell r="H909" t="str">
            <v>ITALIA</v>
          </cell>
          <cell r="I909" t="str">
            <v>POXFBA63A15F257I</v>
          </cell>
          <cell r="J909" t="str">
            <v>02528790369</v>
          </cell>
          <cell r="M909" t="str">
            <v>UFFICIO ACQUISTI</v>
          </cell>
          <cell r="N909" t="str">
            <v>059 828458</v>
          </cell>
          <cell r="P909" t="str">
            <v>po.fabio.63@gmail.com</v>
          </cell>
          <cell r="R909" t="str">
            <v>BONIFICO BANCARIO, ALLA DATA DELLA NOSTRA CONFERMA D'ORDINE</v>
          </cell>
          <cell r="X909">
            <v>0</v>
          </cell>
          <cell r="Y909">
            <v>-0.04</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-0.04</v>
          </cell>
          <cell r="AU909">
            <v>0.92</v>
          </cell>
          <cell r="AV909">
            <v>20</v>
          </cell>
          <cell r="AZ909">
            <v>0</v>
          </cell>
          <cell r="BA909">
            <v>0</v>
          </cell>
        </row>
        <row r="910">
          <cell r="A910" t="str">
            <v>FABIO SANNA</v>
          </cell>
          <cell r="B910" t="str">
            <v>SOLO BIGLIETTO DA VISITA</v>
          </cell>
          <cell r="D910" t="str">
            <v>VIALE ELMAS, 51</v>
          </cell>
          <cell r="E910" t="str">
            <v>09122</v>
          </cell>
          <cell r="F910" t="str">
            <v>CAGLIARI</v>
          </cell>
          <cell r="G910" t="str">
            <v>CA</v>
          </cell>
          <cell r="H910" t="str">
            <v>ITALIA</v>
          </cell>
          <cell r="M910" t="str">
            <v>UFFICIO ACQUISTI</v>
          </cell>
          <cell r="N910" t="str">
            <v>070 940694</v>
          </cell>
          <cell r="O910" t="str">
            <v>345 6899765</v>
          </cell>
          <cell r="P910" t="str">
            <v>info@fabiosanna.com</v>
          </cell>
          <cell r="R910" t="str">
            <v>BONIFICO BANCARIO, ALLA DATA DELLA NOSTRA CONFERMA D'ORDINE</v>
          </cell>
          <cell r="X910">
            <v>0.25</v>
          </cell>
          <cell r="Y910">
            <v>-0.04</v>
          </cell>
          <cell r="AB910">
            <v>0.25</v>
          </cell>
          <cell r="AC910">
            <v>0.25</v>
          </cell>
          <cell r="AD910">
            <v>0.25</v>
          </cell>
          <cell r="AE910">
            <v>0.25</v>
          </cell>
          <cell r="AF910">
            <v>0.25</v>
          </cell>
          <cell r="AG910">
            <v>0.25</v>
          </cell>
          <cell r="AH910">
            <v>0.25</v>
          </cell>
          <cell r="AI910">
            <v>0.25</v>
          </cell>
          <cell r="AJ910">
            <v>0.25</v>
          </cell>
          <cell r="AK910">
            <v>0.25</v>
          </cell>
          <cell r="AL910">
            <v>0.25</v>
          </cell>
          <cell r="AM910">
            <v>0.25</v>
          </cell>
          <cell r="AN910">
            <v>0.25</v>
          </cell>
          <cell r="AO910">
            <v>0.25</v>
          </cell>
          <cell r="AP910">
            <v>0.25</v>
          </cell>
          <cell r="AQ910">
            <v>0.25</v>
          </cell>
          <cell r="AR910">
            <v>0.25</v>
          </cell>
          <cell r="AS910">
            <v>0.25</v>
          </cell>
          <cell r="AT910">
            <v>-0.04</v>
          </cell>
          <cell r="AU910">
            <v>0.92</v>
          </cell>
          <cell r="AV910">
            <v>20</v>
          </cell>
          <cell r="AZ910">
            <v>0.25</v>
          </cell>
          <cell r="BA910">
            <v>0.25</v>
          </cell>
        </row>
        <row r="911">
          <cell r="A911" t="str">
            <v>FABRIZIO CECCARELLI</v>
          </cell>
          <cell r="B911" t="str">
            <v>HA ACQUISTATO DA GF EUROPA LE BARRIERE (VENDE TRITONE) 05/12 MANDATA MAIL. DICE DI AVERNE MONTATA UNA TEMPO FA MA NON SA DI CHE MARCA</v>
          </cell>
          <cell r="D911" t="str">
            <v>VIA BELLANDRA, 161</v>
          </cell>
          <cell r="E911">
            <v>61032</v>
          </cell>
          <cell r="F911" t="str">
            <v>FANO</v>
          </cell>
          <cell r="G911" t="str">
            <v>PU</v>
          </cell>
          <cell r="H911" t="str">
            <v>ITALIA</v>
          </cell>
          <cell r="I911" t="str">
            <v>CCCFRZ67P15D488Y</v>
          </cell>
          <cell r="J911" t="str">
            <v>01423440419</v>
          </cell>
          <cell r="M911" t="str">
            <v>UFFICIO ACQUISTI</v>
          </cell>
          <cell r="N911" t="str">
            <v>0721 865715</v>
          </cell>
          <cell r="O911" t="str">
            <v>335 5879523</v>
          </cell>
          <cell r="P911" t="str">
            <v>info@ceccarelli-infissi.it</v>
          </cell>
          <cell r="R911" t="str">
            <v>BONIFICO BANCARIO, ALLA DATA DELLA NOSTRA CONFERMA D'ORDINE</v>
          </cell>
          <cell r="X911">
            <v>0.25</v>
          </cell>
          <cell r="Y911">
            <v>-0.04</v>
          </cell>
          <cell r="AB911">
            <v>0.25</v>
          </cell>
          <cell r="AC911">
            <v>0.25</v>
          </cell>
          <cell r="AD911">
            <v>0.25</v>
          </cell>
          <cell r="AE911">
            <v>0.25</v>
          </cell>
          <cell r="AF911">
            <v>0.25</v>
          </cell>
          <cell r="AG911">
            <v>0.25</v>
          </cell>
          <cell r="AH911">
            <v>0.25</v>
          </cell>
          <cell r="AI911">
            <v>0.25</v>
          </cell>
          <cell r="AJ911">
            <v>0.25</v>
          </cell>
          <cell r="AK911">
            <v>0.25</v>
          </cell>
          <cell r="AL911">
            <v>0.25</v>
          </cell>
          <cell r="AM911">
            <v>0.25</v>
          </cell>
          <cell r="AN911">
            <v>0.25</v>
          </cell>
          <cell r="AO911">
            <v>0.25</v>
          </cell>
          <cell r="AP911">
            <v>0.25</v>
          </cell>
          <cell r="AQ911">
            <v>0.25</v>
          </cell>
          <cell r="AR911">
            <v>0.25</v>
          </cell>
          <cell r="AS911">
            <v>0.25</v>
          </cell>
          <cell r="AT911">
            <v>-0.04</v>
          </cell>
          <cell r="AU911">
            <v>0.92</v>
          </cell>
          <cell r="AV911">
            <v>20</v>
          </cell>
          <cell r="AY911" t="str">
            <v/>
          </cell>
          <cell r="AZ911">
            <v>0.25</v>
          </cell>
          <cell r="BA911">
            <v>0.25</v>
          </cell>
        </row>
        <row r="912">
          <cell r="A912" t="str">
            <v>FABRIZIO GALLORINI</v>
          </cell>
          <cell r="D912" t="str">
            <v>VIA ROMANA, 147 B</v>
          </cell>
          <cell r="E912" t="str">
            <v>52040</v>
          </cell>
          <cell r="F912" t="str">
            <v>POLICIANO</v>
          </cell>
          <cell r="G912" t="str">
            <v>AR</v>
          </cell>
          <cell r="H912" t="str">
            <v>ITALIA</v>
          </cell>
          <cell r="I912" t="str">
            <v>GLLFRZ74P14A390P</v>
          </cell>
          <cell r="J912" t="str">
            <v>01940300518</v>
          </cell>
          <cell r="M912" t="str">
            <v>UFFICIO ACQUISTI</v>
          </cell>
          <cell r="N912" t="str">
            <v>0575 97381</v>
          </cell>
          <cell r="R912" t="str">
            <v>BONIFICO BANCARIO, ALLA DATA DELLA NOSTRA CONFERMA D'ORDINE</v>
          </cell>
          <cell r="X912">
            <v>0.25</v>
          </cell>
          <cell r="Y912">
            <v>-0.04</v>
          </cell>
          <cell r="AB912">
            <v>0.25</v>
          </cell>
          <cell r="AC912">
            <v>0.25</v>
          </cell>
          <cell r="AD912">
            <v>0.25</v>
          </cell>
          <cell r="AE912">
            <v>0.25</v>
          </cell>
          <cell r="AF912">
            <v>0.25</v>
          </cell>
          <cell r="AG912">
            <v>0.25</v>
          </cell>
          <cell r="AH912">
            <v>0.25</v>
          </cell>
          <cell r="AI912">
            <v>0.25</v>
          </cell>
          <cell r="AJ912">
            <v>0.25</v>
          </cell>
          <cell r="AK912">
            <v>0.25</v>
          </cell>
          <cell r="AL912">
            <v>0.25</v>
          </cell>
          <cell r="AM912">
            <v>0.25</v>
          </cell>
          <cell r="AN912">
            <v>0.25</v>
          </cell>
          <cell r="AO912">
            <v>0.25</v>
          </cell>
          <cell r="AP912">
            <v>0.25</v>
          </cell>
          <cell r="AQ912">
            <v>0.25</v>
          </cell>
          <cell r="AR912">
            <v>0.25</v>
          </cell>
          <cell r="AS912">
            <v>0.25</v>
          </cell>
          <cell r="AT912">
            <v>-0.04</v>
          </cell>
          <cell r="AU912">
            <v>0.92</v>
          </cell>
          <cell r="AV912">
            <v>20</v>
          </cell>
          <cell r="AY912" t="str">
            <v/>
          </cell>
          <cell r="AZ912">
            <v>0.25</v>
          </cell>
          <cell r="BA912">
            <v>0.25</v>
          </cell>
        </row>
        <row r="913">
          <cell r="A913" t="str">
            <v>FACCHETTI GIACOMO</v>
          </cell>
          <cell r="D913" t="str">
            <v>VIA VACCHI, 36</v>
          </cell>
          <cell r="E913" t="str">
            <v>24043</v>
          </cell>
          <cell r="F913" t="str">
            <v>CARAVAGGIO</v>
          </cell>
          <cell r="G913" t="str">
            <v>BG</v>
          </cell>
          <cell r="H913" t="str">
            <v>ITALIA</v>
          </cell>
          <cell r="I913" t="str">
            <v>FCCGCM82T12L400B</v>
          </cell>
          <cell r="J913" t="str">
            <v>03610000165</v>
          </cell>
          <cell r="M913" t="str">
            <v>UFFICIO ACQUISTI</v>
          </cell>
          <cell r="N913" t="str">
            <v>0363 52066</v>
          </cell>
          <cell r="R913" t="str">
            <v>BONIFICO BANCARIO, ALLA DATA DELLA NOSTRA CONFERMA D'ORDINE</v>
          </cell>
          <cell r="X913">
            <v>0.2</v>
          </cell>
          <cell r="Y913">
            <v>-0.04</v>
          </cell>
          <cell r="AB913">
            <v>0.2</v>
          </cell>
          <cell r="AC913">
            <v>0.2</v>
          </cell>
          <cell r="AD913">
            <v>0.2</v>
          </cell>
          <cell r="AE913">
            <v>0.2</v>
          </cell>
          <cell r="AF913">
            <v>0.2</v>
          </cell>
          <cell r="AG913">
            <v>0.2</v>
          </cell>
          <cell r="AH913">
            <v>0.2</v>
          </cell>
          <cell r="AI913">
            <v>0.2</v>
          </cell>
          <cell r="AJ913">
            <v>0.2</v>
          </cell>
          <cell r="AK913">
            <v>0.2</v>
          </cell>
          <cell r="AL913">
            <v>0.2</v>
          </cell>
          <cell r="AM913">
            <v>0.2</v>
          </cell>
          <cell r="AN913">
            <v>0.2</v>
          </cell>
          <cell r="AO913">
            <v>0.2</v>
          </cell>
          <cell r="AP913">
            <v>0.2</v>
          </cell>
          <cell r="AQ913">
            <v>0.2</v>
          </cell>
          <cell r="AR913">
            <v>0.2</v>
          </cell>
          <cell r="AS913">
            <v>0.2</v>
          </cell>
          <cell r="AT913">
            <v>-0.04</v>
          </cell>
          <cell r="AU913">
            <v>0.92</v>
          </cell>
          <cell r="AV913">
            <v>20</v>
          </cell>
          <cell r="AZ913">
            <v>0.2</v>
          </cell>
          <cell r="BA913">
            <v>0.2</v>
          </cell>
        </row>
        <row r="914">
          <cell r="A914" t="str">
            <v>FACCHINETTI FERRAMENTA UTENSILERIA</v>
          </cell>
          <cell r="B914" t="str">
            <v>VIALE SICILIA, 120/122 - MONZA</v>
          </cell>
          <cell r="D914" t="str">
            <v>VIA DEGLI ABETI, 7</v>
          </cell>
          <cell r="E914" t="str">
            <v>20064</v>
          </cell>
          <cell r="F914" t="str">
            <v>GORGONZOLA</v>
          </cell>
          <cell r="G914" t="str">
            <v>MI</v>
          </cell>
          <cell r="H914" t="str">
            <v>ITALIA</v>
          </cell>
          <cell r="J914" t="str">
            <v>01728830157</v>
          </cell>
          <cell r="M914" t="str">
            <v>UFFICIO ACQUISTI</v>
          </cell>
          <cell r="N914" t="str">
            <v>02 9513205</v>
          </cell>
          <cell r="P914" t="str">
            <v>info@facchinetti.tv</v>
          </cell>
          <cell r="R914" t="str">
            <v>BONIFICO BANCARIO, ALLA DATA DELLA NOSTRA CONFERMA D'ORDINE</v>
          </cell>
          <cell r="X914">
            <v>0.2</v>
          </cell>
          <cell r="Y914">
            <v>-0.04</v>
          </cell>
          <cell r="AB914">
            <v>0.2</v>
          </cell>
          <cell r="AC914">
            <v>0.2</v>
          </cell>
          <cell r="AD914">
            <v>0.2</v>
          </cell>
          <cell r="AE914">
            <v>0.2</v>
          </cell>
          <cell r="AF914">
            <v>0.2</v>
          </cell>
          <cell r="AG914">
            <v>0.2</v>
          </cell>
          <cell r="AH914">
            <v>0.2</v>
          </cell>
          <cell r="AI914">
            <v>0.2</v>
          </cell>
          <cell r="AJ914">
            <v>0.2</v>
          </cell>
          <cell r="AK914">
            <v>0.2</v>
          </cell>
          <cell r="AL914">
            <v>0.2</v>
          </cell>
          <cell r="AM914">
            <v>0.2</v>
          </cell>
          <cell r="AN914">
            <v>0.2</v>
          </cell>
          <cell r="AO914">
            <v>0.2</v>
          </cell>
          <cell r="AP914">
            <v>0.2</v>
          </cell>
          <cell r="AQ914">
            <v>0.2</v>
          </cell>
          <cell r="AR914">
            <v>0.2</v>
          </cell>
          <cell r="AS914">
            <v>0.2</v>
          </cell>
          <cell r="AT914">
            <v>-0.04</v>
          </cell>
          <cell r="AU914">
            <v>0.92</v>
          </cell>
          <cell r="AV914">
            <v>20</v>
          </cell>
          <cell r="AZ914">
            <v>0.2</v>
          </cell>
          <cell r="BA914">
            <v>0.2</v>
          </cell>
        </row>
        <row r="915">
          <cell r="A915" t="str">
            <v xml:space="preserve">FACCIO INFISSI &amp; PORTE </v>
          </cell>
          <cell r="D915" t="str">
            <v>VIA VERONA, 114</v>
          </cell>
          <cell r="E915" t="str">
            <v>37045</v>
          </cell>
          <cell r="F915" t="str">
            <v>LEGNANO</v>
          </cell>
          <cell r="G915" t="str">
            <v>VR</v>
          </cell>
          <cell r="H915" t="str">
            <v>ITALIA</v>
          </cell>
          <cell r="M915" t="str">
            <v>UFFICIO ACQUISTI</v>
          </cell>
          <cell r="N915" t="str">
            <v>0442 648192</v>
          </cell>
          <cell r="P915" t="str">
            <v>claudia@faccioserramenti.it</v>
          </cell>
          <cell r="R915" t="str">
            <v>BONIFICO BANCARIO, ALLA DATA DELLA NOSTRA CONFERMA D'ORDINE</v>
          </cell>
          <cell r="X915">
            <v>0.25</v>
          </cell>
          <cell r="Y915">
            <v>-0.04</v>
          </cell>
          <cell r="AB915">
            <v>0.25</v>
          </cell>
          <cell r="AC915">
            <v>0.25</v>
          </cell>
          <cell r="AD915">
            <v>0.25</v>
          </cell>
          <cell r="AE915">
            <v>0.25</v>
          </cell>
          <cell r="AF915">
            <v>0.25</v>
          </cell>
          <cell r="AG915">
            <v>0.25</v>
          </cell>
          <cell r="AH915">
            <v>0.25</v>
          </cell>
          <cell r="AI915">
            <v>0.25</v>
          </cell>
          <cell r="AJ915">
            <v>0.25</v>
          </cell>
          <cell r="AK915">
            <v>0.25</v>
          </cell>
          <cell r="AL915">
            <v>0.25</v>
          </cell>
          <cell r="AM915">
            <v>0.25</v>
          </cell>
          <cell r="AN915">
            <v>0.25</v>
          </cell>
          <cell r="AO915">
            <v>0.25</v>
          </cell>
          <cell r="AP915">
            <v>0.25</v>
          </cell>
          <cell r="AQ915">
            <v>0.25</v>
          </cell>
          <cell r="AR915">
            <v>0.25</v>
          </cell>
          <cell r="AS915">
            <v>0.25</v>
          </cell>
          <cell r="AT915">
            <v>-0.04</v>
          </cell>
          <cell r="AU915">
            <v>0.92</v>
          </cell>
          <cell r="AV915">
            <v>20</v>
          </cell>
          <cell r="AY915" t="str">
            <v/>
          </cell>
          <cell r="AZ915">
            <v>0.25</v>
          </cell>
          <cell r="BA915">
            <v>0.25</v>
          </cell>
        </row>
        <row r="916">
          <cell r="A916" t="str">
            <v>FAL SERRAMENTI DAL 1955 s.r.l.</v>
          </cell>
          <cell r="C916" t="str">
            <v>FI1</v>
          </cell>
          <cell r="D916" t="str">
            <v>VIALE J.F. KENNEDY, 178/B</v>
          </cell>
          <cell r="E916">
            <v>50038</v>
          </cell>
          <cell r="F916" t="str">
            <v>SCARPERIA</v>
          </cell>
          <cell r="G916" t="str">
            <v>FI</v>
          </cell>
          <cell r="H916" t="str">
            <v>ITALIA</v>
          </cell>
          <cell r="I916" t="str">
            <v xml:space="preserve"> 05799950480</v>
          </cell>
          <cell r="J916" t="str">
            <v xml:space="preserve"> 05799950480</v>
          </cell>
          <cell r="K916" t="str">
            <v>BA6ETII</v>
          </cell>
          <cell r="M916" t="str">
            <v>UFFICIO ACQUISTI</v>
          </cell>
          <cell r="N916" t="str">
            <v>055 609734</v>
          </cell>
          <cell r="O916" t="str">
            <v>328 1121700</v>
          </cell>
          <cell r="P916" t="str">
            <v>amministrazione@falserramenti.com;
f.a.lserramenti@libero.it</v>
          </cell>
          <cell r="R916" t="str">
            <v>BONIFICO BANCARIO, ALLA DATA DELLA NOSTRA CONFERMA D'ORDINE</v>
          </cell>
          <cell r="X916">
            <v>0.25</v>
          </cell>
          <cell r="Y916">
            <v>-0.04</v>
          </cell>
          <cell r="AB916">
            <v>0.25</v>
          </cell>
          <cell r="AC916">
            <v>0.25</v>
          </cell>
          <cell r="AD916">
            <v>0.25</v>
          </cell>
          <cell r="AE916">
            <v>0.25</v>
          </cell>
          <cell r="AF916">
            <v>0.25</v>
          </cell>
          <cell r="AG916">
            <v>0.25</v>
          </cell>
          <cell r="AH916">
            <v>0.25</v>
          </cell>
          <cell r="AI916">
            <v>0.25</v>
          </cell>
          <cell r="AJ916">
            <v>0.25</v>
          </cell>
          <cell r="AK916">
            <v>0.25</v>
          </cell>
          <cell r="AL916">
            <v>0.25</v>
          </cell>
          <cell r="AM916">
            <v>0.25</v>
          </cell>
          <cell r="AN916">
            <v>0.25</v>
          </cell>
          <cell r="AO916">
            <v>0.25</v>
          </cell>
          <cell r="AP916">
            <v>0.25</v>
          </cell>
          <cell r="AQ916">
            <v>0.25</v>
          </cell>
          <cell r="AR916">
            <v>0.25</v>
          </cell>
          <cell r="AS916">
            <v>0.25</v>
          </cell>
          <cell r="AT916">
            <v>-0.04</v>
          </cell>
          <cell r="AU916">
            <v>0.92</v>
          </cell>
          <cell r="AV916">
            <v>20</v>
          </cell>
          <cell r="AY916" t="str">
            <v/>
          </cell>
          <cell r="AZ916">
            <v>0.25</v>
          </cell>
          <cell r="BA916">
            <v>0.25</v>
          </cell>
        </row>
        <row r="917">
          <cell r="A917" t="str">
            <v xml:space="preserve">FALEGNAMERIA  DAL 1952 </v>
          </cell>
          <cell r="D917" t="str">
            <v xml:space="preserve">VIA DELLA CHIESA 6 </v>
          </cell>
          <cell r="E917">
            <v>26010</v>
          </cell>
          <cell r="F917" t="str">
            <v>RICENGO</v>
          </cell>
          <cell r="G917" t="str">
            <v>CR</v>
          </cell>
          <cell r="H917" t="str">
            <v>ITALIA</v>
          </cell>
          <cell r="M917" t="str">
            <v>UFFICIO ACQUISTI</v>
          </cell>
          <cell r="N917" t="str">
            <v>0373 267792</v>
          </cell>
          <cell r="R917" t="str">
            <v>BONIFICO BANCARIO, ALLA DATA DELLA NOSTRA CONFERMA D'ORDINE</v>
          </cell>
          <cell r="X917">
            <v>0.25</v>
          </cell>
          <cell r="Y917">
            <v>-0.04</v>
          </cell>
          <cell r="AB917">
            <v>0.25</v>
          </cell>
          <cell r="AC917">
            <v>0.25</v>
          </cell>
          <cell r="AD917">
            <v>0.25</v>
          </cell>
          <cell r="AE917">
            <v>0.25</v>
          </cell>
          <cell r="AF917">
            <v>0.25</v>
          </cell>
          <cell r="AG917">
            <v>0.25</v>
          </cell>
          <cell r="AH917">
            <v>0.25</v>
          </cell>
          <cell r="AI917">
            <v>0.25</v>
          </cell>
          <cell r="AJ917">
            <v>0.25</v>
          </cell>
          <cell r="AK917">
            <v>0.25</v>
          </cell>
          <cell r="AL917">
            <v>0.25</v>
          </cell>
          <cell r="AM917">
            <v>0.25</v>
          </cell>
          <cell r="AN917">
            <v>0.25</v>
          </cell>
          <cell r="AO917">
            <v>0.25</v>
          </cell>
          <cell r="AP917">
            <v>0.25</v>
          </cell>
          <cell r="AQ917">
            <v>0.25</v>
          </cell>
          <cell r="AR917">
            <v>0.25</v>
          </cell>
          <cell r="AS917">
            <v>0.25</v>
          </cell>
          <cell r="AT917">
            <v>-0.04</v>
          </cell>
          <cell r="AU917">
            <v>0.92</v>
          </cell>
          <cell r="AV917">
            <v>20</v>
          </cell>
          <cell r="AY917" t="str">
            <v/>
          </cell>
          <cell r="AZ917">
            <v>0.25</v>
          </cell>
          <cell r="BA917">
            <v>0.25</v>
          </cell>
        </row>
        <row r="918">
          <cell r="A918" t="str">
            <v>FALEGNAMERIA A.T. DI ASTUTI E TARABELLI SNC</v>
          </cell>
          <cell r="D918" t="str">
            <v>VIA SCANDALLI 11</v>
          </cell>
          <cell r="E918" t="str">
            <v>60022</v>
          </cell>
          <cell r="F918" t="str">
            <v>CASTELFIDARDO</v>
          </cell>
          <cell r="G918" t="str">
            <v>AN</v>
          </cell>
          <cell r="H918" t="str">
            <v>ITALIA</v>
          </cell>
          <cell r="J918" t="str">
            <v>00189650427</v>
          </cell>
          <cell r="M918" t="str">
            <v>UFFICIO ACQUISTI</v>
          </cell>
          <cell r="N918" t="str">
            <v>071 7821366</v>
          </cell>
          <cell r="R918" t="str">
            <v>BONIFICO BANCARIO, ALLA DATA DELLA NOSTRA CONFERMA D'ORDINE</v>
          </cell>
          <cell r="X918">
            <v>0.25</v>
          </cell>
          <cell r="Y918">
            <v>-0.04</v>
          </cell>
          <cell r="AB918">
            <v>0.25</v>
          </cell>
          <cell r="AC918">
            <v>0.25</v>
          </cell>
          <cell r="AD918">
            <v>0.25</v>
          </cell>
          <cell r="AE918">
            <v>0.25</v>
          </cell>
          <cell r="AF918">
            <v>0.25</v>
          </cell>
          <cell r="AG918">
            <v>0.25</v>
          </cell>
          <cell r="AH918">
            <v>0.25</v>
          </cell>
          <cell r="AI918">
            <v>0.25</v>
          </cell>
          <cell r="AJ918">
            <v>0.25</v>
          </cell>
          <cell r="AK918">
            <v>0.25</v>
          </cell>
          <cell r="AL918">
            <v>0.25</v>
          </cell>
          <cell r="AM918">
            <v>0.25</v>
          </cell>
          <cell r="AN918">
            <v>0.25</v>
          </cell>
          <cell r="AO918">
            <v>0.25</v>
          </cell>
          <cell r="AP918">
            <v>0.25</v>
          </cell>
          <cell r="AQ918">
            <v>0.25</v>
          </cell>
          <cell r="AR918">
            <v>0.25</v>
          </cell>
          <cell r="AS918">
            <v>0.25</v>
          </cell>
          <cell r="AT918">
            <v>-0.04</v>
          </cell>
          <cell r="AU918">
            <v>0.92</v>
          </cell>
          <cell r="AV918">
            <v>20</v>
          </cell>
          <cell r="AY918" t="str">
            <v/>
          </cell>
          <cell r="AZ918">
            <v>0.25</v>
          </cell>
          <cell r="BA918">
            <v>0.25</v>
          </cell>
        </row>
        <row r="919">
          <cell r="A919" t="str">
            <v>FALEGNAMERIA ARESI SRL</v>
          </cell>
          <cell r="B919" t="str">
            <v>DOTT.ROBERTO ARESI AMM.RE</v>
          </cell>
          <cell r="D919" t="str">
            <v>VIA ROGGIA VAILATA, 29</v>
          </cell>
          <cell r="E919" t="str">
            <v>24047</v>
          </cell>
          <cell r="F919" t="str">
            <v>TREVIGLIO</v>
          </cell>
          <cell r="G919" t="str">
            <v>BG</v>
          </cell>
          <cell r="H919" t="str">
            <v>ITALIA</v>
          </cell>
          <cell r="J919" t="str">
            <v>01567480163</v>
          </cell>
          <cell r="M919" t="str">
            <v>UFFICIO ACQUISTI</v>
          </cell>
          <cell r="N919" t="str">
            <v>0363 344837</v>
          </cell>
          <cell r="O919" t="str">
            <v>340 0714144 DOTT.ROBERTO ARESI</v>
          </cell>
          <cell r="P919" t="str">
            <v>info.aresi@falegnameriaarsi.com</v>
          </cell>
          <cell r="R919" t="str">
            <v>BONIFICO BANCARIO, ALLA DATA DELLA NOSTRA CONFERMA D'ORDINE</v>
          </cell>
          <cell r="X919">
            <v>0.2</v>
          </cell>
          <cell r="Y919">
            <v>-0.04</v>
          </cell>
          <cell r="AB919">
            <v>0.2</v>
          </cell>
          <cell r="AC919">
            <v>0.2</v>
          </cell>
          <cell r="AD919">
            <v>0.2</v>
          </cell>
          <cell r="AE919">
            <v>0.2</v>
          </cell>
          <cell r="AF919">
            <v>0.2</v>
          </cell>
          <cell r="AG919">
            <v>0.2</v>
          </cell>
          <cell r="AH919">
            <v>0.2</v>
          </cell>
          <cell r="AI919">
            <v>0.2</v>
          </cell>
          <cell r="AJ919">
            <v>0.2</v>
          </cell>
          <cell r="AK919">
            <v>0.2</v>
          </cell>
          <cell r="AL919">
            <v>0.2</v>
          </cell>
          <cell r="AM919">
            <v>0.2</v>
          </cell>
          <cell r="AN919">
            <v>0.2</v>
          </cell>
          <cell r="AO919">
            <v>0.2</v>
          </cell>
          <cell r="AP919">
            <v>0.2</v>
          </cell>
          <cell r="AQ919">
            <v>0.2</v>
          </cell>
          <cell r="AR919">
            <v>0.2</v>
          </cell>
          <cell r="AS919">
            <v>0.2</v>
          </cell>
          <cell r="AT919">
            <v>-0.04</v>
          </cell>
          <cell r="AU919">
            <v>0.92</v>
          </cell>
          <cell r="AV919">
            <v>20</v>
          </cell>
          <cell r="AZ919">
            <v>0.2</v>
          </cell>
          <cell r="BA919">
            <v>0.2</v>
          </cell>
        </row>
        <row r="920">
          <cell r="A920" t="str">
            <v>FALEGNAMERIA ART LEGNO</v>
          </cell>
          <cell r="D920" t="str">
            <v>VIA PORDELIO 420</v>
          </cell>
          <cell r="E920" t="str">
            <v>30013</v>
          </cell>
          <cell r="F920" t="str">
            <v>CAVALLINO-TREPORTI</v>
          </cell>
          <cell r="G920" t="str">
            <v>VE</v>
          </cell>
          <cell r="H920" t="str">
            <v>ITALIA</v>
          </cell>
          <cell r="J920" t="str">
            <v>01506230273</v>
          </cell>
          <cell r="M920" t="str">
            <v>UFFICIO ACQUISTI</v>
          </cell>
          <cell r="N920" t="str">
            <v>041 968061</v>
          </cell>
          <cell r="P920" t="str">
            <v>info@artlegnosnc.it</v>
          </cell>
          <cell r="R920" t="str">
            <v>BONIFICO BANCARIO, ALLA DATA DELLA NOSTRA CONFERMA D'ORDINE</v>
          </cell>
          <cell r="X920">
            <v>0.25</v>
          </cell>
          <cell r="Y920">
            <v>-0.04</v>
          </cell>
          <cell r="AB920">
            <v>0.25</v>
          </cell>
          <cell r="AC920">
            <v>0.25</v>
          </cell>
          <cell r="AD920">
            <v>0.25</v>
          </cell>
          <cell r="AE920">
            <v>0.25</v>
          </cell>
          <cell r="AF920">
            <v>0.25</v>
          </cell>
          <cell r="AG920">
            <v>0.25</v>
          </cell>
          <cell r="AH920">
            <v>0.25</v>
          </cell>
          <cell r="AI920">
            <v>0.25</v>
          </cell>
          <cell r="AJ920">
            <v>0.25</v>
          </cell>
          <cell r="AK920">
            <v>0.25</v>
          </cell>
          <cell r="AL920">
            <v>0.25</v>
          </cell>
          <cell r="AM920">
            <v>0.25</v>
          </cell>
          <cell r="AN920">
            <v>0.25</v>
          </cell>
          <cell r="AO920">
            <v>0.25</v>
          </cell>
          <cell r="AP920">
            <v>0.25</v>
          </cell>
          <cell r="AQ920">
            <v>0.25</v>
          </cell>
          <cell r="AR920">
            <v>0.25</v>
          </cell>
          <cell r="AS920">
            <v>0.25</v>
          </cell>
          <cell r="AT920">
            <v>-0.04</v>
          </cell>
          <cell r="AU920">
            <v>0.92</v>
          </cell>
          <cell r="AV920">
            <v>20</v>
          </cell>
          <cell r="AY920" t="str">
            <v/>
          </cell>
          <cell r="AZ920">
            <v>0.25</v>
          </cell>
          <cell r="BA920">
            <v>0.25</v>
          </cell>
        </row>
        <row r="921">
          <cell r="A921" t="str">
            <v>FALEGNAMERIA ARTIGIANA B.C.T. DI BONAZZOLI UMBERTO E C. SNC</v>
          </cell>
          <cell r="D921" t="str">
            <v>VIA ARTIGIANALE, 26</v>
          </cell>
          <cell r="E921" t="str">
            <v>25016</v>
          </cell>
          <cell r="F921" t="str">
            <v xml:space="preserve">GHEDI </v>
          </cell>
          <cell r="G921" t="str">
            <v>BS</v>
          </cell>
          <cell r="H921" t="str">
            <v>ITALIA</v>
          </cell>
          <cell r="M921" t="str">
            <v>UFFICIO ACQUISTI</v>
          </cell>
          <cell r="N921" t="str">
            <v>030 901806</v>
          </cell>
          <cell r="P921" t="str">
            <v>bctfalegnameria@libero.it</v>
          </cell>
          <cell r="R921" t="str">
            <v>BONIFICO BANCARIO, ALLA DATA DELLA NOSTRA CONFERMA D'ORDINE</v>
          </cell>
          <cell r="Y921">
            <v>-0.04</v>
          </cell>
          <cell r="AT921">
            <v>-0.04</v>
          </cell>
          <cell r="AV921">
            <v>20</v>
          </cell>
          <cell r="AZ921">
            <v>0</v>
          </cell>
          <cell r="BA921">
            <v>0</v>
          </cell>
        </row>
        <row r="922">
          <cell r="A922" t="str">
            <v>FALEGNAMERIA ARTIGIANA CABRAS E PISU DI ANDREA PISU SAS</v>
          </cell>
          <cell r="B922" t="str">
            <v>SOLO BIGLIETTO DA VISITA</v>
          </cell>
          <cell r="D922" t="str">
            <v>VIA SALANDRA, 110</v>
          </cell>
          <cell r="E922" t="str">
            <v>09045</v>
          </cell>
          <cell r="F922" t="str">
            <v>QUARTU S.ELENA</v>
          </cell>
          <cell r="G922" t="str">
            <v>CA</v>
          </cell>
          <cell r="H922" t="str">
            <v>ITALIA</v>
          </cell>
          <cell r="J922" t="str">
            <v>00157220922</v>
          </cell>
          <cell r="M922" t="str">
            <v>UFFICIO ACQUISTI</v>
          </cell>
          <cell r="N922" t="str">
            <v>070 811202</v>
          </cell>
          <cell r="O922" t="str">
            <v>328 2098637 EMANUELA 393 7037002 ANDREA</v>
          </cell>
          <cell r="P922" t="str">
            <v>cabrasepisu@alice.it</v>
          </cell>
          <cell r="R922" t="str">
            <v>BONIFICO BANCARIO, ALLA DATA DELLA NOSTRA CONFERMA D'ORDINE</v>
          </cell>
          <cell r="X922">
            <v>0.25</v>
          </cell>
          <cell r="Y922">
            <v>-0.04</v>
          </cell>
          <cell r="AB922">
            <v>0.25</v>
          </cell>
          <cell r="AC922">
            <v>0.25</v>
          </cell>
          <cell r="AD922">
            <v>0.25</v>
          </cell>
          <cell r="AE922">
            <v>0.25</v>
          </cell>
          <cell r="AF922">
            <v>0.25</v>
          </cell>
          <cell r="AG922">
            <v>0.25</v>
          </cell>
          <cell r="AH922">
            <v>0.25</v>
          </cell>
          <cell r="AI922">
            <v>0.25</v>
          </cell>
          <cell r="AJ922">
            <v>0.25</v>
          </cell>
          <cell r="AK922">
            <v>0.25</v>
          </cell>
          <cell r="AL922">
            <v>0.25</v>
          </cell>
          <cell r="AM922">
            <v>0.25</v>
          </cell>
          <cell r="AN922">
            <v>0.25</v>
          </cell>
          <cell r="AO922">
            <v>0.25</v>
          </cell>
          <cell r="AP922">
            <v>0.25</v>
          </cell>
          <cell r="AQ922">
            <v>0.25</v>
          </cell>
          <cell r="AR922">
            <v>0.25</v>
          </cell>
          <cell r="AS922">
            <v>0.25</v>
          </cell>
          <cell r="AT922">
            <v>-0.04</v>
          </cell>
          <cell r="AU922">
            <v>0.92</v>
          </cell>
          <cell r="AV922">
            <v>20</v>
          </cell>
          <cell r="AZ922">
            <v>0.25</v>
          </cell>
          <cell r="BA922">
            <v>0.25</v>
          </cell>
        </row>
        <row r="923">
          <cell r="A923" t="str">
            <v>FALEGNAMERIA ARTIGIANA DI LODA EMILIANO</v>
          </cell>
          <cell r="G923" t="str">
            <v>BS</v>
          </cell>
          <cell r="H923" t="str">
            <v>ITALIA</v>
          </cell>
          <cell r="M923" t="str">
            <v>UFFICIO ACQUISTI</v>
          </cell>
          <cell r="N923" t="str">
            <v>030 7386085</v>
          </cell>
          <cell r="R923" t="str">
            <v>BONIFICO BANCARIO, ALLA DATA DELLA NOSTRA CONFERMA D'ORDINE</v>
          </cell>
          <cell r="Y923">
            <v>-0.04</v>
          </cell>
          <cell r="AT923">
            <v>-0.04</v>
          </cell>
          <cell r="AV923">
            <v>20</v>
          </cell>
          <cell r="AZ923">
            <v>0</v>
          </cell>
          <cell r="BA923">
            <v>0</v>
          </cell>
        </row>
        <row r="924">
          <cell r="A924" t="str">
            <v>FALEGNAMERIA ARTIGIANA F.LLI STEVANIN</v>
          </cell>
          <cell r="D924" t="str">
            <v>VIA PIETRO GRADENIGO18</v>
          </cell>
          <cell r="E924" t="str">
            <v>30015</v>
          </cell>
          <cell r="F924" t="str">
            <v>BRONDOLO DI CHIOGGIA</v>
          </cell>
          <cell r="G924" t="str">
            <v>VE</v>
          </cell>
          <cell r="H924" t="str">
            <v>ITALIA</v>
          </cell>
          <cell r="J924" t="str">
            <v>02355760279</v>
          </cell>
          <cell r="M924" t="str">
            <v>UFFICIO ACQUISTI</v>
          </cell>
          <cell r="N924" t="str">
            <v>041 493434</v>
          </cell>
          <cell r="P924" t="str">
            <v>ennio.stevanin@fastwebnet.it</v>
          </cell>
          <cell r="R924" t="str">
            <v>BONIFICO BANCARIO, ALLA DATA DELLA NOSTRA CONFERMA D'ORDINE</v>
          </cell>
          <cell r="W924" t="str">
            <v>ACQUA SALATA</v>
          </cell>
          <cell r="X924">
            <v>0.25</v>
          </cell>
          <cell r="Y924">
            <v>-0.04</v>
          </cell>
          <cell r="AB924">
            <v>0.25</v>
          </cell>
          <cell r="AC924">
            <v>0.25</v>
          </cell>
          <cell r="AD924">
            <v>0.25</v>
          </cell>
          <cell r="AE924">
            <v>0.25</v>
          </cell>
          <cell r="AF924">
            <v>0.25</v>
          </cell>
          <cell r="AG924">
            <v>0.25</v>
          </cell>
          <cell r="AH924">
            <v>0.25</v>
          </cell>
          <cell r="AI924">
            <v>0.25</v>
          </cell>
          <cell r="AJ924">
            <v>0.25</v>
          </cell>
          <cell r="AK924">
            <v>0.25</v>
          </cell>
          <cell r="AL924">
            <v>0.25</v>
          </cell>
          <cell r="AM924">
            <v>0.25</v>
          </cell>
          <cell r="AN924">
            <v>0.25</v>
          </cell>
          <cell r="AO924">
            <v>0.25</v>
          </cell>
          <cell r="AP924">
            <v>0.25</v>
          </cell>
          <cell r="AQ924">
            <v>0.25</v>
          </cell>
          <cell r="AR924">
            <v>0.25</v>
          </cell>
          <cell r="AS924">
            <v>0.25</v>
          </cell>
          <cell r="AT924">
            <v>-0.04</v>
          </cell>
          <cell r="AU924">
            <v>0.92</v>
          </cell>
          <cell r="AV924">
            <v>20</v>
          </cell>
          <cell r="AY924" t="str">
            <v/>
          </cell>
          <cell r="AZ924">
            <v>0.25</v>
          </cell>
          <cell r="BA924">
            <v>0.25</v>
          </cell>
        </row>
        <row r="925">
          <cell r="A925" t="str">
            <v>FALEGNAMERIA AUGUSTO CAPOVILLA</v>
          </cell>
          <cell r="B925" t="str">
            <v>TITOLARE  FIGLIO DI MAURO</v>
          </cell>
          <cell r="D925" t="str">
            <v xml:space="preserve">SANTA CROCE, 853 A </v>
          </cell>
          <cell r="E925">
            <v>30135</v>
          </cell>
          <cell r="F925" t="str">
            <v>VENEZIA</v>
          </cell>
          <cell r="G925" t="str">
            <v>VE</v>
          </cell>
          <cell r="H925" t="str">
            <v>ITALIA</v>
          </cell>
          <cell r="I925">
            <v>2509480279</v>
          </cell>
          <cell r="J925">
            <v>2509480279</v>
          </cell>
          <cell r="M925" t="str">
            <v>UFFICIO ACQUISTI</v>
          </cell>
          <cell r="N925" t="str">
            <v>0417 18835</v>
          </cell>
          <cell r="P925" t="str">
            <v>info@falegnameriacapovilla.it</v>
          </cell>
          <cell r="R925" t="str">
            <v>BONIFICO BANCARIO, ALLA DATA DELLA NOSTRA CONFERMA D'ORDINE</v>
          </cell>
          <cell r="W925" t="str">
            <v>ACQUA SALATA</v>
          </cell>
          <cell r="X925">
            <v>0.25</v>
          </cell>
          <cell r="Y925">
            <v>-0.04</v>
          </cell>
          <cell r="AB925">
            <v>0.25</v>
          </cell>
          <cell r="AC925">
            <v>0.25</v>
          </cell>
          <cell r="AD925">
            <v>0.25</v>
          </cell>
          <cell r="AE925">
            <v>0.25</v>
          </cell>
          <cell r="AF925">
            <v>0.25</v>
          </cell>
          <cell r="AG925">
            <v>0.25</v>
          </cell>
          <cell r="AH925">
            <v>0.25</v>
          </cell>
          <cell r="AI925">
            <v>0.25</v>
          </cell>
          <cell r="AJ925">
            <v>0.25</v>
          </cell>
          <cell r="AK925">
            <v>0.25</v>
          </cell>
          <cell r="AL925">
            <v>0.25</v>
          </cell>
          <cell r="AM925">
            <v>0.25</v>
          </cell>
          <cell r="AN925">
            <v>0.25</v>
          </cell>
          <cell r="AO925">
            <v>0.25</v>
          </cell>
          <cell r="AP925">
            <v>0.25</v>
          </cell>
          <cell r="AQ925">
            <v>0.25</v>
          </cell>
          <cell r="AR925">
            <v>0.25</v>
          </cell>
          <cell r="AS925">
            <v>0.25</v>
          </cell>
          <cell r="AT925">
            <v>-0.04</v>
          </cell>
          <cell r="AU925">
            <v>0.92</v>
          </cell>
          <cell r="AV925">
            <v>20</v>
          </cell>
          <cell r="AZ925">
            <v>0.25</v>
          </cell>
          <cell r="BA925">
            <v>0.25</v>
          </cell>
        </row>
        <row r="926">
          <cell r="A926" t="str">
            <v>FALEGNAMERIA BARBI</v>
          </cell>
          <cell r="F926" t="str">
            <v>MANERBIO</v>
          </cell>
          <cell r="G926" t="str">
            <v>BS</v>
          </cell>
          <cell r="H926" t="str">
            <v>ITALIA</v>
          </cell>
          <cell r="M926" t="str">
            <v>UFFICIO ACQUISTI</v>
          </cell>
          <cell r="N926" t="str">
            <v>030 9380352</v>
          </cell>
          <cell r="R926" t="str">
            <v>BONIFICO BANCARIO, ALLA DATA DELLA NOSTRA CONFERMA D'ORDINE</v>
          </cell>
          <cell r="Y926">
            <v>-0.04</v>
          </cell>
          <cell r="AT926">
            <v>-0.04</v>
          </cell>
          <cell r="AV926">
            <v>20</v>
          </cell>
          <cell r="AZ926">
            <v>0</v>
          </cell>
          <cell r="BA926">
            <v>0</v>
          </cell>
        </row>
        <row r="927">
          <cell r="A927" t="str">
            <v>FALEGNAMERIA BELOTTI SNC DI BELOTTI P. ANGELO &amp; ROBERTO</v>
          </cell>
          <cell r="D927" t="str">
            <v>VIA MONTE SANTO, 7</v>
          </cell>
          <cell r="E927" t="str">
            <v>24047</v>
          </cell>
          <cell r="F927" t="str">
            <v>TRVIGLIO</v>
          </cell>
          <cell r="G927" t="str">
            <v>BG</v>
          </cell>
          <cell r="H927" t="str">
            <v>ITALIA</v>
          </cell>
          <cell r="M927" t="str">
            <v>UFFICIO ACQUISTI</v>
          </cell>
          <cell r="N927" t="str">
            <v>0363 43631</v>
          </cell>
          <cell r="P927" t="str">
            <v>info@falegnameriabelotti.it</v>
          </cell>
          <cell r="R927" t="str">
            <v>BONIFICO BANCARIO, ALLA DATA DELLA NOSTRA CONFERMA D'ORDINE</v>
          </cell>
          <cell r="X927">
            <v>0.2</v>
          </cell>
          <cell r="Y927">
            <v>-0.04</v>
          </cell>
          <cell r="AB927">
            <v>0.2</v>
          </cell>
          <cell r="AC927">
            <v>0.2</v>
          </cell>
          <cell r="AD927">
            <v>0.2</v>
          </cell>
          <cell r="AE927">
            <v>0.2</v>
          </cell>
          <cell r="AF927">
            <v>0.2</v>
          </cell>
          <cell r="AG927">
            <v>0.2</v>
          </cell>
          <cell r="AH927">
            <v>0.2</v>
          </cell>
          <cell r="AI927">
            <v>0.2</v>
          </cell>
          <cell r="AJ927">
            <v>0.2</v>
          </cell>
          <cell r="AK927">
            <v>0.2</v>
          </cell>
          <cell r="AL927">
            <v>0.2</v>
          </cell>
          <cell r="AM927">
            <v>0.2</v>
          </cell>
          <cell r="AN927">
            <v>0.2</v>
          </cell>
          <cell r="AO927">
            <v>0.2</v>
          </cell>
          <cell r="AP927">
            <v>0.2</v>
          </cell>
          <cell r="AQ927">
            <v>0.2</v>
          </cell>
          <cell r="AR927">
            <v>0.2</v>
          </cell>
          <cell r="AS927">
            <v>0.2</v>
          </cell>
          <cell r="AT927">
            <v>-0.04</v>
          </cell>
          <cell r="AU927">
            <v>0.92</v>
          </cell>
          <cell r="AV927">
            <v>20</v>
          </cell>
          <cell r="AZ927">
            <v>0.2</v>
          </cell>
          <cell r="BA927">
            <v>0.2</v>
          </cell>
        </row>
        <row r="928">
          <cell r="A928" t="str">
            <v>FALEGNAMERIA BERTOLA S.N.C.</v>
          </cell>
          <cell r="D928" t="str">
            <v>VIA CENTALLO, 117</v>
          </cell>
          <cell r="E928">
            <v>12044</v>
          </cell>
          <cell r="F928" t="str">
            <v>CENTALLO</v>
          </cell>
          <cell r="G928" t="str">
            <v>CN</v>
          </cell>
          <cell r="H928" t="str">
            <v>ITALIA</v>
          </cell>
          <cell r="J928" t="str">
            <v>00654460047</v>
          </cell>
          <cell r="K928" t="str">
            <v>SUBM70N</v>
          </cell>
          <cell r="M928" t="str">
            <v>UFFICIO ACQUISTI</v>
          </cell>
          <cell r="N928" t="str">
            <v>0171-719700</v>
          </cell>
          <cell r="P928" t="str">
            <v>falegnameria.bertola@gmail.com</v>
          </cell>
          <cell r="R928" t="str">
            <v>BONIFICO BANCARIO, ALLA DATA DELLA NOSTRA CONFERMA D'ORDINE</v>
          </cell>
          <cell r="X928">
            <v>0.25</v>
          </cell>
          <cell r="Y928">
            <v>-0.04</v>
          </cell>
          <cell r="AB928">
            <v>0.25</v>
          </cell>
          <cell r="AC928">
            <v>0.25</v>
          </cell>
          <cell r="AD928">
            <v>0.25</v>
          </cell>
          <cell r="AE928">
            <v>0.25</v>
          </cell>
          <cell r="AF928">
            <v>0.25</v>
          </cell>
          <cell r="AG928">
            <v>0.25</v>
          </cell>
          <cell r="AH928">
            <v>0.25</v>
          </cell>
          <cell r="AI928">
            <v>0.25</v>
          </cell>
          <cell r="AJ928">
            <v>0.25</v>
          </cell>
          <cell r="AK928">
            <v>0.25</v>
          </cell>
          <cell r="AL928">
            <v>0.25</v>
          </cell>
          <cell r="AM928">
            <v>0.25</v>
          </cell>
          <cell r="AN928">
            <v>0.25</v>
          </cell>
          <cell r="AO928">
            <v>0.25</v>
          </cell>
          <cell r="AP928">
            <v>0.25</v>
          </cell>
          <cell r="AQ928">
            <v>0.25</v>
          </cell>
          <cell r="AR928">
            <v>0.25</v>
          </cell>
          <cell r="AS928">
            <v>0.25</v>
          </cell>
          <cell r="AT928">
            <v>-0.04</v>
          </cell>
          <cell r="AU928">
            <v>0.92</v>
          </cell>
          <cell r="AV928">
            <v>20</v>
          </cell>
          <cell r="AY928" t="str">
            <v/>
          </cell>
          <cell r="AZ928">
            <v>0.25</v>
          </cell>
          <cell r="BA928">
            <v>0.25</v>
          </cell>
        </row>
        <row r="929">
          <cell r="A929" t="str">
            <v>FALEGNAMERIA BIANCHERA</v>
          </cell>
          <cell r="D929" t="str">
            <v>VIA MABELLINI, 32 34</v>
          </cell>
          <cell r="E929">
            <v>25015</v>
          </cell>
          <cell r="F929" t="str">
            <v>DESENZANO D.G.</v>
          </cell>
          <cell r="G929" t="str">
            <v>BS</v>
          </cell>
          <cell r="H929" t="str">
            <v>ITALIA</v>
          </cell>
          <cell r="J929" t="str">
            <v>00023260987</v>
          </cell>
          <cell r="M929" t="str">
            <v>UFFICIO ACQUISTI</v>
          </cell>
          <cell r="N929" t="str">
            <v>030 9901365</v>
          </cell>
          <cell r="O929" t="str">
            <v>338 5071898</v>
          </cell>
          <cell r="P929" t="str">
            <v>info@finestreblindate.com</v>
          </cell>
          <cell r="R929" t="str">
            <v>BONIFICO BANCARIO, ALLA DATA DELLA NOSTRA CONFERMA D'ORDINE</v>
          </cell>
          <cell r="X929">
            <v>0.25</v>
          </cell>
          <cell r="Y929">
            <v>-0.04</v>
          </cell>
          <cell r="AB929">
            <v>0.25</v>
          </cell>
          <cell r="AC929">
            <v>0.25</v>
          </cell>
          <cell r="AD929">
            <v>0.25</v>
          </cell>
          <cell r="AE929">
            <v>0.25</v>
          </cell>
          <cell r="AF929">
            <v>0.25</v>
          </cell>
          <cell r="AG929">
            <v>0.25</v>
          </cell>
          <cell r="AH929">
            <v>0.25</v>
          </cell>
          <cell r="AI929">
            <v>0.25</v>
          </cell>
          <cell r="AJ929">
            <v>0.25</v>
          </cell>
          <cell r="AK929">
            <v>0.25</v>
          </cell>
          <cell r="AL929">
            <v>0.25</v>
          </cell>
          <cell r="AM929">
            <v>0.25</v>
          </cell>
          <cell r="AN929">
            <v>0.25</v>
          </cell>
          <cell r="AO929">
            <v>0.25</v>
          </cell>
          <cell r="AP929">
            <v>0.25</v>
          </cell>
          <cell r="AQ929">
            <v>0.25</v>
          </cell>
          <cell r="AR929">
            <v>0.25</v>
          </cell>
          <cell r="AS929">
            <v>0.25</v>
          </cell>
          <cell r="AT929">
            <v>-0.04</v>
          </cell>
          <cell r="AU929">
            <v>0.92</v>
          </cell>
          <cell r="AV929">
            <v>20</v>
          </cell>
          <cell r="AY929" t="str">
            <v/>
          </cell>
          <cell r="AZ929">
            <v>0.25</v>
          </cell>
          <cell r="BA929">
            <v>0.25</v>
          </cell>
        </row>
        <row r="930">
          <cell r="A930" t="str">
            <v>FALEGNAMERIA BORDINA OLINDO E FIGLI SNC</v>
          </cell>
          <cell r="D930" t="str">
            <v>VIA V BRIGATO 57</v>
          </cell>
          <cell r="E930" t="str">
            <v>45010</v>
          </cell>
          <cell r="F930" t="str">
            <v>VOLTO DI ROSOLINA</v>
          </cell>
          <cell r="G930" t="str">
            <v>RO</v>
          </cell>
          <cell r="H930" t="str">
            <v>ITALIA</v>
          </cell>
          <cell r="J930" t="str">
            <v>01374870291</v>
          </cell>
          <cell r="M930" t="str">
            <v>UFFICIO ACQUISTI</v>
          </cell>
          <cell r="N930" t="str">
            <v>0426 337270</v>
          </cell>
          <cell r="O930" t="str">
            <v>329 2704287</v>
          </cell>
          <cell r="P930" t="str">
            <v>bordina2000@libero.it</v>
          </cell>
          <cell r="R930" t="str">
            <v>BONIFICO BANCARIO, ALLA DATA DELLA NOSTRA CONFERMA D'ORDINE</v>
          </cell>
          <cell r="X930">
            <v>0.25</v>
          </cell>
          <cell r="Y930">
            <v>-0.04</v>
          </cell>
          <cell r="AB930">
            <v>0.25</v>
          </cell>
          <cell r="AC930">
            <v>0.25</v>
          </cell>
          <cell r="AD930">
            <v>0.25</v>
          </cell>
          <cell r="AE930">
            <v>0.25</v>
          </cell>
          <cell r="AF930">
            <v>0.25</v>
          </cell>
          <cell r="AG930">
            <v>0.25</v>
          </cell>
          <cell r="AH930">
            <v>0.25</v>
          </cell>
          <cell r="AI930">
            <v>0.25</v>
          </cell>
          <cell r="AJ930">
            <v>0.25</v>
          </cell>
          <cell r="AK930">
            <v>0.25</v>
          </cell>
          <cell r="AL930">
            <v>0.25</v>
          </cell>
          <cell r="AM930">
            <v>0.25</v>
          </cell>
          <cell r="AN930">
            <v>0.25</v>
          </cell>
          <cell r="AO930">
            <v>0.25</v>
          </cell>
          <cell r="AP930">
            <v>0.25</v>
          </cell>
          <cell r="AQ930">
            <v>0.25</v>
          </cell>
          <cell r="AR930">
            <v>0.25</v>
          </cell>
          <cell r="AS930">
            <v>0.25</v>
          </cell>
          <cell r="AT930">
            <v>-0.04</v>
          </cell>
          <cell r="AU930">
            <v>0.92</v>
          </cell>
          <cell r="AV930">
            <v>20</v>
          </cell>
          <cell r="AY930" t="str">
            <v/>
          </cell>
          <cell r="AZ930">
            <v>0.25</v>
          </cell>
          <cell r="BA930">
            <v>0.25</v>
          </cell>
        </row>
        <row r="931">
          <cell r="A931" t="str">
            <v>FALEGNAMERIA BRACCINI DI BERTINI FAUSTO E DAVIDE SNC</v>
          </cell>
          <cell r="D931" t="str">
            <v>VIA GIOVANNI XXIII, 13</v>
          </cell>
          <cell r="E931">
            <v>56025</v>
          </cell>
          <cell r="F931" t="str">
            <v>PONTEDERA</v>
          </cell>
          <cell r="G931" t="str">
            <v>PI</v>
          </cell>
          <cell r="H931" t="str">
            <v>ITALIA</v>
          </cell>
          <cell r="J931" t="str">
            <v>01347810507</v>
          </cell>
          <cell r="M931" t="str">
            <v>UFFICIO ACQUISTI</v>
          </cell>
          <cell r="R931" t="str">
            <v>BONIFICO BANCARIO, ALLA DATA DELLA NOSTRA CONFERMA D'ORDINE</v>
          </cell>
          <cell r="X931">
            <v>0.25</v>
          </cell>
          <cell r="Y931">
            <v>-0.04</v>
          </cell>
          <cell r="AB931">
            <v>0.25</v>
          </cell>
          <cell r="AC931">
            <v>0.25</v>
          </cell>
          <cell r="AD931">
            <v>0.25</v>
          </cell>
          <cell r="AE931">
            <v>0.25</v>
          </cell>
          <cell r="AF931">
            <v>0.25</v>
          </cell>
          <cell r="AG931">
            <v>0.25</v>
          </cell>
          <cell r="AH931">
            <v>0.25</v>
          </cell>
          <cell r="AI931">
            <v>0.25</v>
          </cell>
          <cell r="AJ931">
            <v>0.25</v>
          </cell>
          <cell r="AK931">
            <v>0.25</v>
          </cell>
          <cell r="AL931">
            <v>0.25</v>
          </cell>
          <cell r="AM931">
            <v>0.25</v>
          </cell>
          <cell r="AN931">
            <v>0.25</v>
          </cell>
          <cell r="AO931">
            <v>0.25</v>
          </cell>
          <cell r="AP931">
            <v>0.25</v>
          </cell>
          <cell r="AQ931">
            <v>0.25</v>
          </cell>
          <cell r="AR931">
            <v>0.25</v>
          </cell>
          <cell r="AS931">
            <v>0.25</v>
          </cell>
          <cell r="AT931">
            <v>-0.04</v>
          </cell>
          <cell r="AU931">
            <v>0.92</v>
          </cell>
          <cell r="AV931">
            <v>20</v>
          </cell>
          <cell r="AY931" t="str">
            <v/>
          </cell>
          <cell r="AZ931">
            <v>0.25</v>
          </cell>
          <cell r="BA931">
            <v>0.25</v>
          </cell>
        </row>
        <row r="932">
          <cell r="A932" t="str">
            <v>FALEGNAMERIA CAPRA E DACCO' SRL</v>
          </cell>
          <cell r="D932" t="str">
            <v>VIA CAV. ANGELO MANZONI, 10</v>
          </cell>
          <cell r="F932" t="str">
            <v>SANT'ANGELO LODIGIANO</v>
          </cell>
          <cell r="G932" t="str">
            <v>LO</v>
          </cell>
          <cell r="H932" t="str">
            <v>ITALIA</v>
          </cell>
          <cell r="J932" t="str">
            <v>01175130150</v>
          </cell>
          <cell r="M932" t="str">
            <v>UFFICIO ACQUISTI</v>
          </cell>
          <cell r="N932" t="str">
            <v>333 3447955</v>
          </cell>
          <cell r="P932" t="str">
            <v>info@falegnameriacapraedacco.com</v>
          </cell>
          <cell r="R932" t="str">
            <v>BONIFICO BANCARIO, ALLA DATA DELLA NOSTRA CONFERMA D'ORDINE</v>
          </cell>
          <cell r="X932">
            <v>0.25</v>
          </cell>
          <cell r="Y932">
            <v>-0.04</v>
          </cell>
          <cell r="AB932">
            <v>0.25</v>
          </cell>
          <cell r="AC932">
            <v>0.25</v>
          </cell>
          <cell r="AD932">
            <v>0.25</v>
          </cell>
          <cell r="AE932">
            <v>0.25</v>
          </cell>
          <cell r="AF932">
            <v>0.25</v>
          </cell>
          <cell r="AG932">
            <v>0.25</v>
          </cell>
          <cell r="AH932">
            <v>0.25</v>
          </cell>
          <cell r="AI932">
            <v>0.25</v>
          </cell>
          <cell r="AJ932">
            <v>0.25</v>
          </cell>
          <cell r="AK932">
            <v>0.25</v>
          </cell>
          <cell r="AL932">
            <v>0.25</v>
          </cell>
          <cell r="AM932">
            <v>0.25</v>
          </cell>
          <cell r="AN932">
            <v>0.25</v>
          </cell>
          <cell r="AO932">
            <v>0.25</v>
          </cell>
          <cell r="AP932">
            <v>0.25</v>
          </cell>
          <cell r="AQ932">
            <v>0.25</v>
          </cell>
          <cell r="AR932">
            <v>0.25</v>
          </cell>
          <cell r="AS932">
            <v>0.25</v>
          </cell>
          <cell r="AT932">
            <v>-0.04</v>
          </cell>
          <cell r="AU932">
            <v>0.92</v>
          </cell>
          <cell r="AV932">
            <v>20</v>
          </cell>
          <cell r="AY932" t="str">
            <v/>
          </cell>
          <cell r="AZ932">
            <v>0.25</v>
          </cell>
          <cell r="BA932">
            <v>0.25</v>
          </cell>
        </row>
        <row r="933">
          <cell r="A933" t="str">
            <v>FALEGNAMERIA CAVAZZONI</v>
          </cell>
          <cell r="D933" t="str">
            <v>VIA G. MIGLIO, 3</v>
          </cell>
          <cell r="E933">
            <v>46030</v>
          </cell>
          <cell r="F933" t="str">
            <v>POMPONESCO</v>
          </cell>
          <cell r="G933" t="str">
            <v>MN</v>
          </cell>
          <cell r="H933" t="str">
            <v>ITALIA</v>
          </cell>
          <cell r="M933" t="str">
            <v>UFFICIO ACQUISTI</v>
          </cell>
          <cell r="N933" t="str">
            <v>0375 86778</v>
          </cell>
          <cell r="O933" t="str">
            <v>339 2846525 - 348 9235269</v>
          </cell>
          <cell r="R933" t="str">
            <v>BONIFICO BANCARIO, ALLA DATA DELLA NOSTRA CONFERMA D'ORDINE</v>
          </cell>
          <cell r="X933">
            <v>0.25</v>
          </cell>
          <cell r="Y933">
            <v>-0.04</v>
          </cell>
          <cell r="AB933">
            <v>0.25</v>
          </cell>
          <cell r="AC933">
            <v>0.25</v>
          </cell>
          <cell r="AD933">
            <v>0.25</v>
          </cell>
          <cell r="AE933">
            <v>0.25</v>
          </cell>
          <cell r="AF933">
            <v>0.25</v>
          </cell>
          <cell r="AG933">
            <v>0.25</v>
          </cell>
          <cell r="AH933">
            <v>0.25</v>
          </cell>
          <cell r="AI933">
            <v>0.25</v>
          </cell>
          <cell r="AJ933">
            <v>0.25</v>
          </cell>
          <cell r="AK933">
            <v>0.25</v>
          </cell>
          <cell r="AL933">
            <v>0.25</v>
          </cell>
          <cell r="AM933">
            <v>0.25</v>
          </cell>
          <cell r="AN933">
            <v>0.25</v>
          </cell>
          <cell r="AO933">
            <v>0.25</v>
          </cell>
          <cell r="AP933">
            <v>0.25</v>
          </cell>
          <cell r="AQ933">
            <v>0.25</v>
          </cell>
          <cell r="AR933">
            <v>0.25</v>
          </cell>
          <cell r="AS933">
            <v>0.25</v>
          </cell>
          <cell r="AT933">
            <v>-0.04</v>
          </cell>
          <cell r="AU933">
            <v>0.92</v>
          </cell>
          <cell r="AV933">
            <v>20</v>
          </cell>
          <cell r="AZ933">
            <v>0.25</v>
          </cell>
          <cell r="BA933">
            <v>0.25</v>
          </cell>
        </row>
        <row r="934">
          <cell r="A934" t="str">
            <v>FALEGNAMERIA COSTA</v>
          </cell>
          <cell r="B934" t="str">
            <v>INTERESSATO</v>
          </cell>
          <cell r="D934" t="str">
            <v>LARGO DEL CASEL, 43</v>
          </cell>
          <cell r="E934">
            <v>337011</v>
          </cell>
          <cell r="F934" t="str">
            <v>BARDOLINO</v>
          </cell>
          <cell r="G934" t="str">
            <v>VR</v>
          </cell>
          <cell r="H934" t="str">
            <v>ITALIA</v>
          </cell>
          <cell r="J934" t="str">
            <v>03642570232</v>
          </cell>
          <cell r="M934" t="str">
            <v>UFFICIO ACQUISTI</v>
          </cell>
          <cell r="N934" t="str">
            <v>045 6212377</v>
          </cell>
          <cell r="P934" t="str">
            <v>info.costainfissi@gmail.com</v>
          </cell>
          <cell r="R934" t="str">
            <v>BONIFICO BANCARIO, ALLA DATA DELLA NOSTRA CONFERMA D'ORDINE</v>
          </cell>
          <cell r="X934">
            <v>0.25</v>
          </cell>
          <cell r="Y934">
            <v>-0.04</v>
          </cell>
          <cell r="AB934">
            <v>0.25</v>
          </cell>
          <cell r="AC934">
            <v>0.25</v>
          </cell>
          <cell r="AD934">
            <v>0.25</v>
          </cell>
          <cell r="AE934">
            <v>0.25</v>
          </cell>
          <cell r="AF934">
            <v>0.25</v>
          </cell>
          <cell r="AG934">
            <v>0.25</v>
          </cell>
          <cell r="AH934">
            <v>0.25</v>
          </cell>
          <cell r="AI934">
            <v>0.25</v>
          </cell>
          <cell r="AJ934">
            <v>0.25</v>
          </cell>
          <cell r="AK934">
            <v>0.25</v>
          </cell>
          <cell r="AL934">
            <v>0.25</v>
          </cell>
          <cell r="AM934">
            <v>0.25</v>
          </cell>
          <cell r="AN934">
            <v>0.25</v>
          </cell>
          <cell r="AO934">
            <v>0.25</v>
          </cell>
          <cell r="AP934">
            <v>0.25</v>
          </cell>
          <cell r="AQ934">
            <v>0.25</v>
          </cell>
          <cell r="AR934">
            <v>0.25</v>
          </cell>
          <cell r="AS934">
            <v>0.25</v>
          </cell>
          <cell r="AT934">
            <v>-0.04</v>
          </cell>
          <cell r="AU934">
            <v>0.92</v>
          </cell>
          <cell r="AV934">
            <v>20</v>
          </cell>
          <cell r="AY934" t="str">
            <v/>
          </cell>
          <cell r="AZ934">
            <v>0.25</v>
          </cell>
          <cell r="BA934">
            <v>0.25</v>
          </cell>
        </row>
        <row r="935">
          <cell r="A935" t="str">
            <v>FALEGNAMERIA DALL'ORA ALBERTO</v>
          </cell>
          <cell r="D935" t="str">
            <v>VIALE DEL COMMERCIO, 36</v>
          </cell>
          <cell r="E935" t="str">
            <v>37066</v>
          </cell>
          <cell r="F935" t="str">
            <v>SOMMACAMPAGNA</v>
          </cell>
          <cell r="G935" t="str">
            <v>VR</v>
          </cell>
          <cell r="H935" t="str">
            <v>ITALIA</v>
          </cell>
          <cell r="I935" t="str">
            <v>DLLLRT65D10L781V</v>
          </cell>
          <cell r="J935" t="str">
            <v>01684070236</v>
          </cell>
          <cell r="M935" t="str">
            <v>UFFICIO ACQUISTI</v>
          </cell>
          <cell r="N935" t="str">
            <v>045 8961155</v>
          </cell>
          <cell r="P935" t="str">
            <v>dallora.alberto@gmail.com</v>
          </cell>
          <cell r="R935" t="str">
            <v>BONIFICO BANCARIO, ALLA DATA DELLA NOSTRA CONFERMA D'ORDINE</v>
          </cell>
          <cell r="X935">
            <v>0.25</v>
          </cell>
          <cell r="Y935">
            <v>-0.04</v>
          </cell>
          <cell r="AB935">
            <v>0.25</v>
          </cell>
          <cell r="AC935">
            <v>0.25</v>
          </cell>
          <cell r="AD935">
            <v>0.25</v>
          </cell>
          <cell r="AE935">
            <v>0.25</v>
          </cell>
          <cell r="AF935">
            <v>0.25</v>
          </cell>
          <cell r="AG935">
            <v>0.25</v>
          </cell>
          <cell r="AH935">
            <v>0.25</v>
          </cell>
          <cell r="AI935">
            <v>0.25</v>
          </cell>
          <cell r="AJ935">
            <v>0.25</v>
          </cell>
          <cell r="AK935">
            <v>0.25</v>
          </cell>
          <cell r="AL935">
            <v>0.25</v>
          </cell>
          <cell r="AM935">
            <v>0.25</v>
          </cell>
          <cell r="AN935">
            <v>0.25</v>
          </cell>
          <cell r="AO935">
            <v>0.25</v>
          </cell>
          <cell r="AP935">
            <v>0.25</v>
          </cell>
          <cell r="AQ935">
            <v>0.25</v>
          </cell>
          <cell r="AR935">
            <v>0.25</v>
          </cell>
          <cell r="AS935">
            <v>0.25</v>
          </cell>
          <cell r="AT935">
            <v>-0.04</v>
          </cell>
          <cell r="AU935">
            <v>0.92</v>
          </cell>
          <cell r="AV935">
            <v>20</v>
          </cell>
          <cell r="AY935" t="str">
            <v/>
          </cell>
          <cell r="AZ935">
            <v>0.25</v>
          </cell>
          <cell r="BA935">
            <v>0.25</v>
          </cell>
        </row>
        <row r="936">
          <cell r="A936" t="str">
            <v>FALEGNAMERIA DE BIASI FRANCO &amp; C SAS</v>
          </cell>
          <cell r="D936" t="str">
            <v>VIA NONGOLE 180</v>
          </cell>
          <cell r="E936" t="str">
            <v>32100</v>
          </cell>
          <cell r="F936" t="str">
            <v>CASTION</v>
          </cell>
          <cell r="G936" t="str">
            <v>BL</v>
          </cell>
          <cell r="H936" t="str">
            <v>ITALIA</v>
          </cell>
          <cell r="J936" t="str">
            <v>00102170255</v>
          </cell>
          <cell r="M936" t="str">
            <v>UFFICIO ACQUISTI</v>
          </cell>
          <cell r="N936" t="str">
            <v>0437 925094</v>
          </cell>
          <cell r="O936" t="str">
            <v>340 4238137</v>
          </cell>
          <cell r="P936" t="str">
            <v>fal.franco.de.biasi@alice.it</v>
          </cell>
          <cell r="R936" t="str">
            <v>BONIFICO BANCARIO, ALLA DATA DELLA NOSTRA CONFERMA D'ORDINE</v>
          </cell>
          <cell r="X936">
            <v>0.25</v>
          </cell>
          <cell r="Y936">
            <v>-0.04</v>
          </cell>
          <cell r="AB936">
            <v>0.25</v>
          </cell>
          <cell r="AC936">
            <v>0.25</v>
          </cell>
          <cell r="AD936">
            <v>0.25</v>
          </cell>
          <cell r="AE936">
            <v>0.25</v>
          </cell>
          <cell r="AF936">
            <v>0.25</v>
          </cell>
          <cell r="AG936">
            <v>0.25</v>
          </cell>
          <cell r="AH936">
            <v>0.25</v>
          </cell>
          <cell r="AI936">
            <v>0.25</v>
          </cell>
          <cell r="AJ936">
            <v>0.25</v>
          </cell>
          <cell r="AK936">
            <v>0.25</v>
          </cell>
          <cell r="AL936">
            <v>0.25</v>
          </cell>
          <cell r="AM936">
            <v>0.25</v>
          </cell>
          <cell r="AN936">
            <v>0.25</v>
          </cell>
          <cell r="AO936">
            <v>0.25</v>
          </cell>
          <cell r="AP936">
            <v>0.25</v>
          </cell>
          <cell r="AQ936">
            <v>0.25</v>
          </cell>
          <cell r="AR936">
            <v>0.25</v>
          </cell>
          <cell r="AS936">
            <v>0.25</v>
          </cell>
          <cell r="AT936">
            <v>-0.04</v>
          </cell>
          <cell r="AU936">
            <v>0.92</v>
          </cell>
          <cell r="AV936">
            <v>20</v>
          </cell>
          <cell r="AY936" t="str">
            <v/>
          </cell>
          <cell r="AZ936">
            <v>0.25</v>
          </cell>
          <cell r="BA936">
            <v>0.25</v>
          </cell>
        </row>
        <row r="937">
          <cell r="A937" t="str">
            <v>FALEGNAMERIA EMMEGI</v>
          </cell>
          <cell r="B937" t="str">
            <v>MASSIMO, PIERLUIGI</v>
          </cell>
          <cell r="D937" t="str">
            <v>VIA PER MONTALBODDO 18</v>
          </cell>
          <cell r="E937" t="str">
            <v>60013</v>
          </cell>
          <cell r="F937" t="str">
            <v>CORINALDO</v>
          </cell>
          <cell r="G937" t="str">
            <v>AN</v>
          </cell>
          <cell r="H937" t="str">
            <v>ITALIA</v>
          </cell>
          <cell r="J937" t="str">
            <v>02446760429</v>
          </cell>
          <cell r="M937" t="str">
            <v>UFFICIO ACQUISTI</v>
          </cell>
          <cell r="N937" t="str">
            <v>071 679036</v>
          </cell>
          <cell r="P937" t="str">
            <v>falegnameriaemmegi@gmail.com</v>
          </cell>
          <cell r="R937" t="str">
            <v>BONIFICO BANCARIO, ALLA DATA DELLA NOSTRA CONFERMA D'ORDINE</v>
          </cell>
          <cell r="X937">
            <v>0.25</v>
          </cell>
          <cell r="Y937">
            <v>-0.04</v>
          </cell>
          <cell r="AB937">
            <v>0.25</v>
          </cell>
          <cell r="AC937">
            <v>0.25</v>
          </cell>
          <cell r="AD937">
            <v>0.25</v>
          </cell>
          <cell r="AE937">
            <v>0.25</v>
          </cell>
          <cell r="AF937">
            <v>0.25</v>
          </cell>
          <cell r="AG937">
            <v>0.25</v>
          </cell>
          <cell r="AH937">
            <v>0.25</v>
          </cell>
          <cell r="AI937">
            <v>0.25</v>
          </cell>
          <cell r="AJ937">
            <v>0.25</v>
          </cell>
          <cell r="AK937">
            <v>0.25</v>
          </cell>
          <cell r="AL937">
            <v>0.25</v>
          </cell>
          <cell r="AM937">
            <v>0.25</v>
          </cell>
          <cell r="AN937">
            <v>0.25</v>
          </cell>
          <cell r="AO937">
            <v>0.25</v>
          </cell>
          <cell r="AP937">
            <v>0.25</v>
          </cell>
          <cell r="AQ937">
            <v>0.25</v>
          </cell>
          <cell r="AR937">
            <v>0.25</v>
          </cell>
          <cell r="AS937">
            <v>0.25</v>
          </cell>
          <cell r="AT937">
            <v>-0.04</v>
          </cell>
          <cell r="AU937">
            <v>0.92</v>
          </cell>
          <cell r="AV937">
            <v>20</v>
          </cell>
          <cell r="AY937" t="str">
            <v/>
          </cell>
          <cell r="AZ937">
            <v>0.25</v>
          </cell>
          <cell r="BA937">
            <v>0.25</v>
          </cell>
        </row>
        <row r="938">
          <cell r="A938" t="str">
            <v>FALEGNAMERIA F.LLI FLORIS SNC</v>
          </cell>
          <cell r="B938" t="str">
            <v>SOLO BIGLIETTO DA VISITA</v>
          </cell>
          <cell r="D938" t="str">
            <v>ZONA ARTIGIANALE-LOC.MUREDDA-LOTTO N.3</v>
          </cell>
          <cell r="E938" t="str">
            <v>09049</v>
          </cell>
          <cell r="F938" t="str">
            <v>VILLASIMIUS</v>
          </cell>
          <cell r="G938" t="str">
            <v>CA</v>
          </cell>
          <cell r="H938" t="str">
            <v>ITALIA</v>
          </cell>
          <cell r="M938" t="str">
            <v>UFFICIO ACQUISTI</v>
          </cell>
          <cell r="N938" t="str">
            <v>070 79088</v>
          </cell>
          <cell r="R938" t="str">
            <v>BONIFICO BANCARIO, ALLA DATA DELLA NOSTRA CONFERMA D'ORDINE</v>
          </cell>
          <cell r="X938">
            <v>0.25</v>
          </cell>
          <cell r="Y938">
            <v>-0.04</v>
          </cell>
          <cell r="AB938">
            <v>0.25</v>
          </cell>
          <cell r="AC938">
            <v>0.25</v>
          </cell>
          <cell r="AD938">
            <v>0.25</v>
          </cell>
          <cell r="AE938">
            <v>0.25</v>
          </cell>
          <cell r="AF938">
            <v>0.25</v>
          </cell>
          <cell r="AG938">
            <v>0.25</v>
          </cell>
          <cell r="AH938">
            <v>0.25</v>
          </cell>
          <cell r="AI938">
            <v>0.25</v>
          </cell>
          <cell r="AJ938">
            <v>0.25</v>
          </cell>
          <cell r="AK938">
            <v>0.25</v>
          </cell>
          <cell r="AL938">
            <v>0.25</v>
          </cell>
          <cell r="AM938">
            <v>0.25</v>
          </cell>
          <cell r="AN938">
            <v>0.25</v>
          </cell>
          <cell r="AO938">
            <v>0.25</v>
          </cell>
          <cell r="AP938">
            <v>0.25</v>
          </cell>
          <cell r="AQ938">
            <v>0.25</v>
          </cell>
          <cell r="AR938">
            <v>0.25</v>
          </cell>
          <cell r="AS938">
            <v>0.25</v>
          </cell>
          <cell r="AT938">
            <v>-0.04</v>
          </cell>
          <cell r="AU938">
            <v>0.92</v>
          </cell>
          <cell r="AV938">
            <v>20</v>
          </cell>
          <cell r="AZ938">
            <v>0.25</v>
          </cell>
          <cell r="BA938">
            <v>0.25</v>
          </cell>
        </row>
        <row r="939">
          <cell r="A939" t="str">
            <v>FALEGNAMERIA F.LLI PAGANO</v>
          </cell>
          <cell r="D939" t="str">
            <v>VIA DEL COMMERCIO, 54 R</v>
          </cell>
          <cell r="E939">
            <v>16167</v>
          </cell>
          <cell r="F939" t="str">
            <v>GENOVA</v>
          </cell>
          <cell r="G939" t="str">
            <v>GE</v>
          </cell>
          <cell r="H939" t="str">
            <v>ITALIA</v>
          </cell>
          <cell r="J939" t="str">
            <v>00589650100</v>
          </cell>
          <cell r="M939" t="str">
            <v>UFFICIO ACQUISTI</v>
          </cell>
          <cell r="N939" t="str">
            <v>010 3728936</v>
          </cell>
          <cell r="P939" t="str">
            <v>fratellipagano@hotmail.it</v>
          </cell>
          <cell r="R939" t="str">
            <v>BONIFICO BANCARIO, ALLA DATA DELLA NOSTRA CONFERMA D'ORDINE</v>
          </cell>
          <cell r="X939">
            <v>0.25</v>
          </cell>
          <cell r="Y939">
            <v>-0.04</v>
          </cell>
          <cell r="AB939">
            <v>0.25</v>
          </cell>
          <cell r="AC939">
            <v>0.25</v>
          </cell>
          <cell r="AD939">
            <v>0.25</v>
          </cell>
          <cell r="AE939">
            <v>0.25</v>
          </cell>
          <cell r="AF939">
            <v>0.25</v>
          </cell>
          <cell r="AG939">
            <v>0.25</v>
          </cell>
          <cell r="AH939">
            <v>0.25</v>
          </cell>
          <cell r="AI939">
            <v>0.25</v>
          </cell>
          <cell r="AJ939">
            <v>0.25</v>
          </cell>
          <cell r="AK939">
            <v>0.25</v>
          </cell>
          <cell r="AL939">
            <v>0.25</v>
          </cell>
          <cell r="AM939">
            <v>0.25</v>
          </cell>
          <cell r="AN939">
            <v>0.25</v>
          </cell>
          <cell r="AO939">
            <v>0.25</v>
          </cell>
          <cell r="AP939">
            <v>0.25</v>
          </cell>
          <cell r="AQ939">
            <v>0.25</v>
          </cell>
          <cell r="AR939">
            <v>0.25</v>
          </cell>
          <cell r="AS939">
            <v>0.25</v>
          </cell>
          <cell r="AT939">
            <v>-0.04</v>
          </cell>
          <cell r="AU939">
            <v>0.92</v>
          </cell>
          <cell r="AV939">
            <v>20</v>
          </cell>
          <cell r="AZ939">
            <v>0.25</v>
          </cell>
          <cell r="BA939">
            <v>0.25</v>
          </cell>
        </row>
        <row r="940">
          <cell r="A940" t="str">
            <v>FALEGNAMERIA F.LLI VOLUME DI VOLUME CLAUDIO E C. SNC</v>
          </cell>
          <cell r="D940" t="str">
            <v xml:space="preserve">VIA FOLLONE, 1 </v>
          </cell>
          <cell r="E940">
            <v>12084</v>
          </cell>
          <cell r="F940" t="str">
            <v>MONDOVI</v>
          </cell>
          <cell r="G940" t="str">
            <v>CN</v>
          </cell>
          <cell r="H940" t="str">
            <v>ITALIA</v>
          </cell>
          <cell r="J940" t="str">
            <v>02350690042</v>
          </cell>
          <cell r="K940" t="str">
            <v>W7YVJK9</v>
          </cell>
          <cell r="M940" t="str">
            <v>UFFICIO ACQUISTI</v>
          </cell>
          <cell r="N940" t="str">
            <v>0174 320067</v>
          </cell>
          <cell r="P940" t="str">
            <v>info@volumeserramenti.it</v>
          </cell>
          <cell r="R940" t="str">
            <v>BONIFICO BANCARIO, ALLA DATA DELLA NOSTRA CONFERMA D'ORDINE</v>
          </cell>
          <cell r="X940">
            <v>0.25</v>
          </cell>
          <cell r="Y940">
            <v>-0.04</v>
          </cell>
          <cell r="AB940">
            <v>0.25</v>
          </cell>
          <cell r="AC940">
            <v>0.25</v>
          </cell>
          <cell r="AD940">
            <v>0.25</v>
          </cell>
          <cell r="AE940">
            <v>0.25</v>
          </cell>
          <cell r="AF940">
            <v>0.25</v>
          </cell>
          <cell r="AG940">
            <v>0.25</v>
          </cell>
          <cell r="AH940">
            <v>0.25</v>
          </cell>
          <cell r="AI940">
            <v>0.25</v>
          </cell>
          <cell r="AJ940">
            <v>0.25</v>
          </cell>
          <cell r="AK940">
            <v>0.25</v>
          </cell>
          <cell r="AL940">
            <v>0.25</v>
          </cell>
          <cell r="AM940">
            <v>0.25</v>
          </cell>
          <cell r="AN940">
            <v>0.25</v>
          </cell>
          <cell r="AO940">
            <v>0.25</v>
          </cell>
          <cell r="AP940">
            <v>0.25</v>
          </cell>
          <cell r="AQ940">
            <v>0.25</v>
          </cell>
          <cell r="AR940">
            <v>0.25</v>
          </cell>
          <cell r="AS940">
            <v>0.25</v>
          </cell>
          <cell r="AT940">
            <v>-0.04</v>
          </cell>
          <cell r="AU940">
            <v>0.92</v>
          </cell>
          <cell r="AV940">
            <v>20</v>
          </cell>
          <cell r="AY940" t="str">
            <v/>
          </cell>
          <cell r="AZ940">
            <v>0.25</v>
          </cell>
          <cell r="BA940">
            <v>0.25</v>
          </cell>
          <cell r="BF940" t="str">
            <v>CLICK RAPID con carpenteria 07/01/2021</v>
          </cell>
        </row>
        <row r="941">
          <cell r="A941" t="str">
            <v>FALEGNAMERIA GABRIELLI</v>
          </cell>
          <cell r="D941" t="str">
            <v>PONTE A DIANA</v>
          </cell>
          <cell r="F941" t="str">
            <v>BAGNI DI LUCCA</v>
          </cell>
          <cell r="G941" t="str">
            <v>LC</v>
          </cell>
          <cell r="H941" t="str">
            <v>ITALIA</v>
          </cell>
          <cell r="M941" t="str">
            <v>UFFICIO ACQUISTI</v>
          </cell>
          <cell r="N941" t="str">
            <v>0583 853563</v>
          </cell>
          <cell r="R941" t="str">
            <v>BONIFICO BANCARIO, ALLA DATA DELLA NOSTRA CONFERMA D'ORDINE</v>
          </cell>
          <cell r="X941">
            <v>0.25</v>
          </cell>
          <cell r="Y941">
            <v>-0.04</v>
          </cell>
          <cell r="AB941">
            <v>0.25</v>
          </cell>
          <cell r="AC941">
            <v>0.25</v>
          </cell>
          <cell r="AD941">
            <v>0.25</v>
          </cell>
          <cell r="AE941">
            <v>0.25</v>
          </cell>
          <cell r="AF941">
            <v>0.25</v>
          </cell>
          <cell r="AG941">
            <v>0.25</v>
          </cell>
          <cell r="AH941">
            <v>0.25</v>
          </cell>
          <cell r="AI941">
            <v>0.25</v>
          </cell>
          <cell r="AJ941">
            <v>0.25</v>
          </cell>
          <cell r="AK941">
            <v>0.25</v>
          </cell>
          <cell r="AL941">
            <v>0.25</v>
          </cell>
          <cell r="AM941">
            <v>0.25</v>
          </cell>
          <cell r="AN941">
            <v>0.25</v>
          </cell>
          <cell r="AO941">
            <v>0.25</v>
          </cell>
          <cell r="AP941">
            <v>0.25</v>
          </cell>
          <cell r="AQ941">
            <v>0.25</v>
          </cell>
          <cell r="AR941">
            <v>0.25</v>
          </cell>
          <cell r="AS941">
            <v>0.25</v>
          </cell>
          <cell r="AT941">
            <v>-0.04</v>
          </cell>
          <cell r="AU941">
            <v>0.92</v>
          </cell>
          <cell r="AV941">
            <v>20</v>
          </cell>
          <cell r="AY941" t="str">
            <v/>
          </cell>
          <cell r="AZ941">
            <v>0.25</v>
          </cell>
          <cell r="BA941">
            <v>0.25</v>
          </cell>
        </row>
        <row r="942">
          <cell r="A942" t="str">
            <v>FALEGNAMERIA GBL</v>
          </cell>
          <cell r="D942" t="str">
            <v>VIA X GIORNATE, 15</v>
          </cell>
          <cell r="E942">
            <v>25017</v>
          </cell>
          <cell r="F942" t="str">
            <v>LONATO DEL GARDA</v>
          </cell>
          <cell r="G942" t="str">
            <v>BS</v>
          </cell>
          <cell r="H942" t="str">
            <v>ITALIA</v>
          </cell>
          <cell r="M942" t="str">
            <v>UFFICIO ACQUISTI</v>
          </cell>
          <cell r="N942" t="str">
            <v>0309 130291</v>
          </cell>
          <cell r="P942" t="str">
            <v>info@faelgnameriagbl.it</v>
          </cell>
          <cell r="R942" t="str">
            <v>BONIFICO BANCARIO, ALLA DATA DELLA NOSTRA CONFERMA D'ORDINE</v>
          </cell>
          <cell r="X942">
            <v>0.25</v>
          </cell>
          <cell r="Y942">
            <v>-0.04</v>
          </cell>
          <cell r="AB942">
            <v>0.25</v>
          </cell>
          <cell r="AC942">
            <v>0.25</v>
          </cell>
          <cell r="AD942">
            <v>0.25</v>
          </cell>
          <cell r="AE942">
            <v>0.25</v>
          </cell>
          <cell r="AF942">
            <v>0.25</v>
          </cell>
          <cell r="AG942">
            <v>0.25</v>
          </cell>
          <cell r="AH942">
            <v>0.25</v>
          </cell>
          <cell r="AI942">
            <v>0.25</v>
          </cell>
          <cell r="AJ942">
            <v>0.25</v>
          </cell>
          <cell r="AK942">
            <v>0.25</v>
          </cell>
          <cell r="AL942">
            <v>0.25</v>
          </cell>
          <cell r="AM942">
            <v>0.25</v>
          </cell>
          <cell r="AN942">
            <v>0.25</v>
          </cell>
          <cell r="AO942">
            <v>0.25</v>
          </cell>
          <cell r="AP942">
            <v>0.25</v>
          </cell>
          <cell r="AQ942">
            <v>0.25</v>
          </cell>
          <cell r="AR942">
            <v>0.25</v>
          </cell>
          <cell r="AS942">
            <v>0.25</v>
          </cell>
          <cell r="AT942">
            <v>-0.04</v>
          </cell>
          <cell r="AU942">
            <v>0.92</v>
          </cell>
          <cell r="AV942">
            <v>20</v>
          </cell>
          <cell r="AY942" t="str">
            <v/>
          </cell>
          <cell r="AZ942">
            <v>0.25</v>
          </cell>
          <cell r="BA942">
            <v>0.25</v>
          </cell>
        </row>
        <row r="943">
          <cell r="A943" t="str">
            <v>FALEGNAMERIA GERVASONI DI GERVASONI EMANUELE &amp; C.SAS</v>
          </cell>
          <cell r="D943" t="str">
            <v>VIA TENGATTINI, 1</v>
          </cell>
          <cell r="E943" t="str">
            <v>25030</v>
          </cell>
          <cell r="F943" t="str">
            <v>PARATICO</v>
          </cell>
          <cell r="G943" t="str">
            <v>BS</v>
          </cell>
          <cell r="H943" t="str">
            <v>ITALIA</v>
          </cell>
          <cell r="J943" t="str">
            <v>02772970980</v>
          </cell>
          <cell r="M943" t="str">
            <v>UFFICIO ACQUISTI</v>
          </cell>
          <cell r="N943" t="str">
            <v>035 910558</v>
          </cell>
          <cell r="O943" t="str">
            <v>347 5557877</v>
          </cell>
          <cell r="P943" t="str">
            <v>info@falegnameriagervasoni.it</v>
          </cell>
          <cell r="R943" t="str">
            <v>BONIFICO BANCARIO, ALLA DATA DELLA NOSTRA CONFERMA D'ORDINE</v>
          </cell>
          <cell r="X943">
            <v>0.2</v>
          </cell>
          <cell r="Y943">
            <v>-0.04</v>
          </cell>
          <cell r="AB943">
            <v>0.2</v>
          </cell>
          <cell r="AC943">
            <v>0.2</v>
          </cell>
          <cell r="AD943">
            <v>0.2</v>
          </cell>
          <cell r="AE943">
            <v>0.2</v>
          </cell>
          <cell r="AF943">
            <v>0.2</v>
          </cell>
          <cell r="AG943">
            <v>0.2</v>
          </cell>
          <cell r="AH943">
            <v>0.2</v>
          </cell>
          <cell r="AI943">
            <v>0.2</v>
          </cell>
          <cell r="AJ943">
            <v>0.2</v>
          </cell>
          <cell r="AK943">
            <v>0.2</v>
          </cell>
          <cell r="AL943">
            <v>0.2</v>
          </cell>
          <cell r="AM943">
            <v>0.2</v>
          </cell>
          <cell r="AN943">
            <v>0.2</v>
          </cell>
          <cell r="AO943">
            <v>0.2</v>
          </cell>
          <cell r="AP943">
            <v>0.2</v>
          </cell>
          <cell r="AQ943">
            <v>0.2</v>
          </cell>
          <cell r="AR943">
            <v>0.2</v>
          </cell>
          <cell r="AS943">
            <v>0.2</v>
          </cell>
          <cell r="AT943">
            <v>-0.04</v>
          </cell>
          <cell r="AU943">
            <v>0.92</v>
          </cell>
          <cell r="AV943">
            <v>20</v>
          </cell>
          <cell r="AZ943">
            <v>0.2</v>
          </cell>
          <cell r="BA943">
            <v>0.2</v>
          </cell>
        </row>
        <row r="944">
          <cell r="A944" t="str">
            <v>FALEGNAMERIA GIUSEPPE &amp; LUIGI MANENTI SNC</v>
          </cell>
          <cell r="D944" t="str">
            <v>VIA VENEZIA, 2/4</v>
          </cell>
          <cell r="E944" t="str">
            <v>24057</v>
          </cell>
          <cell r="F944" t="str">
            <v>MARTINENGO</v>
          </cell>
          <cell r="G944" t="str">
            <v>BG</v>
          </cell>
          <cell r="H944" t="str">
            <v>ITALIA</v>
          </cell>
          <cell r="J944" t="str">
            <v>01499170163</v>
          </cell>
          <cell r="M944" t="str">
            <v>UFFICIO ACQUISTI</v>
          </cell>
          <cell r="N944" t="str">
            <v>0363 904268</v>
          </cell>
          <cell r="P944" t="str">
            <v>info@falegnameriamanenti.it</v>
          </cell>
          <cell r="R944" t="str">
            <v>BONIFICO BANCARIO, ALLA DATA DELLA NOSTRA CONFERMA D'ORDINE</v>
          </cell>
          <cell r="X944">
            <v>0.2</v>
          </cell>
          <cell r="Y944">
            <v>-0.04</v>
          </cell>
          <cell r="AB944">
            <v>0.2</v>
          </cell>
          <cell r="AC944">
            <v>0.2</v>
          </cell>
          <cell r="AD944">
            <v>0.2</v>
          </cell>
          <cell r="AE944">
            <v>0.2</v>
          </cell>
          <cell r="AF944">
            <v>0.2</v>
          </cell>
          <cell r="AG944">
            <v>0.2</v>
          </cell>
          <cell r="AH944">
            <v>0.2</v>
          </cell>
          <cell r="AI944">
            <v>0.2</v>
          </cell>
          <cell r="AJ944">
            <v>0.2</v>
          </cell>
          <cell r="AK944">
            <v>0.2</v>
          </cell>
          <cell r="AL944">
            <v>0.2</v>
          </cell>
          <cell r="AM944">
            <v>0.2</v>
          </cell>
          <cell r="AN944">
            <v>0.2</v>
          </cell>
          <cell r="AO944">
            <v>0.2</v>
          </cell>
          <cell r="AP944">
            <v>0.2</v>
          </cell>
          <cell r="AQ944">
            <v>0.2</v>
          </cell>
          <cell r="AR944">
            <v>0.2</v>
          </cell>
          <cell r="AS944">
            <v>0.2</v>
          </cell>
          <cell r="AT944">
            <v>-0.04</v>
          </cell>
          <cell r="AU944">
            <v>0.92</v>
          </cell>
          <cell r="AV944">
            <v>20</v>
          </cell>
          <cell r="AZ944">
            <v>0.2</v>
          </cell>
          <cell r="BA944">
            <v>0.2</v>
          </cell>
        </row>
        <row r="945">
          <cell r="A945" t="str">
            <v>FALEGNAMERIA INVERNICI ATTILIO</v>
          </cell>
          <cell r="D945" t="str">
            <v>VIA IV NOVEMBRE, 16</v>
          </cell>
          <cell r="E945">
            <v>25067</v>
          </cell>
          <cell r="F945" t="str">
            <v>SALO'</v>
          </cell>
          <cell r="G945" t="str">
            <v>BS</v>
          </cell>
          <cell r="H945" t="str">
            <v>ITALIA</v>
          </cell>
          <cell r="I945" t="str">
            <v>NVRTTL63T20H717O</v>
          </cell>
          <cell r="J945" t="str">
            <v>00341670982</v>
          </cell>
          <cell r="M945" t="str">
            <v>UFFICIO ACQUISTI</v>
          </cell>
          <cell r="N945" t="str">
            <v>0365 41558</v>
          </cell>
          <cell r="O945" t="str">
            <v>338 8442813</v>
          </cell>
          <cell r="P945" t="str">
            <v>falegnameria.ivernici@virgilio.it</v>
          </cell>
          <cell r="R945" t="str">
            <v>BONIFICO BANCARIO, ALLA DATA DELLA NOSTRA CONFERMA D'ORDINE</v>
          </cell>
          <cell r="X945">
            <v>0.25</v>
          </cell>
          <cell r="Y945">
            <v>-0.04</v>
          </cell>
          <cell r="AB945">
            <v>0.25</v>
          </cell>
          <cell r="AC945">
            <v>0.25</v>
          </cell>
          <cell r="AD945">
            <v>0.25</v>
          </cell>
          <cell r="AE945">
            <v>0.25</v>
          </cell>
          <cell r="AF945">
            <v>0.25</v>
          </cell>
          <cell r="AG945">
            <v>0.25</v>
          </cell>
          <cell r="AH945">
            <v>0.25</v>
          </cell>
          <cell r="AI945">
            <v>0.25</v>
          </cell>
          <cell r="AJ945">
            <v>0.25</v>
          </cell>
          <cell r="AK945">
            <v>0.25</v>
          </cell>
          <cell r="AL945">
            <v>0.25</v>
          </cell>
          <cell r="AM945">
            <v>0.25</v>
          </cell>
          <cell r="AN945">
            <v>0.25</v>
          </cell>
          <cell r="AO945">
            <v>0.25</v>
          </cell>
          <cell r="AP945">
            <v>0.25</v>
          </cell>
          <cell r="AQ945">
            <v>0.25</v>
          </cell>
          <cell r="AR945">
            <v>0.25</v>
          </cell>
          <cell r="AS945">
            <v>0.25</v>
          </cell>
          <cell r="AT945">
            <v>-0.04</v>
          </cell>
          <cell r="AU945">
            <v>0.92</v>
          </cell>
          <cell r="AV945">
            <v>20</v>
          </cell>
          <cell r="AY945" t="str">
            <v/>
          </cell>
          <cell r="AZ945">
            <v>0.25</v>
          </cell>
          <cell r="BA945">
            <v>0.25</v>
          </cell>
        </row>
        <row r="946">
          <cell r="A946" t="str">
            <v>FALEGNAMERIA LA STAZIONE PORTAS</v>
          </cell>
          <cell r="D946" t="str">
            <v>VIA S.M. DI CAMPAGNATE, 28</v>
          </cell>
          <cell r="E946">
            <v>13900</v>
          </cell>
          <cell r="F946" t="str">
            <v>BIELLA</v>
          </cell>
          <cell r="G946" t="str">
            <v>BI</v>
          </cell>
          <cell r="H946" t="str">
            <v>ITALIA</v>
          </cell>
          <cell r="J946" t="str">
            <v>01709310021</v>
          </cell>
          <cell r="M946" t="str">
            <v>UFFICIO ACQUISTI</v>
          </cell>
          <cell r="N946" t="str">
            <v>015 404570</v>
          </cell>
          <cell r="P946" t="str">
            <v>andrea@gruppoinfix.it - attilio@gruppoinfix.it</v>
          </cell>
          <cell r="R946" t="str">
            <v>BONIFICO BANCARIO, ALLA DATA DELLA NOSTRA CONFERMA D'ORDINE</v>
          </cell>
          <cell r="X946">
            <v>0.25</v>
          </cell>
          <cell r="Y946">
            <v>-0.04</v>
          </cell>
          <cell r="AB946">
            <v>0.25</v>
          </cell>
          <cell r="AC946">
            <v>0.25</v>
          </cell>
          <cell r="AD946">
            <v>0.25</v>
          </cell>
          <cell r="AE946">
            <v>0.25</v>
          </cell>
          <cell r="AF946">
            <v>0.25</v>
          </cell>
          <cell r="AG946">
            <v>0.25</v>
          </cell>
          <cell r="AH946">
            <v>0.25</v>
          </cell>
          <cell r="AI946">
            <v>0.25</v>
          </cell>
          <cell r="AJ946">
            <v>0.25</v>
          </cell>
          <cell r="AK946">
            <v>0.25</v>
          </cell>
          <cell r="AL946">
            <v>0.25</v>
          </cell>
          <cell r="AM946">
            <v>0.25</v>
          </cell>
          <cell r="AN946">
            <v>0.25</v>
          </cell>
          <cell r="AO946">
            <v>0.25</v>
          </cell>
          <cell r="AP946">
            <v>0.25</v>
          </cell>
          <cell r="AQ946">
            <v>0.25</v>
          </cell>
          <cell r="AR946">
            <v>0.25</v>
          </cell>
          <cell r="AS946">
            <v>0.25</v>
          </cell>
          <cell r="AT946">
            <v>-0.04</v>
          </cell>
          <cell r="AU946">
            <v>0.92</v>
          </cell>
          <cell r="AV946">
            <v>20</v>
          </cell>
          <cell r="AY946" t="str">
            <v/>
          </cell>
          <cell r="AZ946">
            <v>0.25</v>
          </cell>
          <cell r="BA946">
            <v>0.25</v>
          </cell>
        </row>
        <row r="947">
          <cell r="A947" t="str">
            <v>FALEGNAMERIA LECAP SNC</v>
          </cell>
          <cell r="D947" t="str">
            <v xml:space="preserve">SP ANDRIA - TRANI KM 2  </v>
          </cell>
          <cell r="E947" t="str">
            <v>76123</v>
          </cell>
          <cell r="F947" t="str">
            <v>ANDRIA</v>
          </cell>
          <cell r="G947" t="str">
            <v>BT</v>
          </cell>
          <cell r="H947" t="str">
            <v>ITALIA</v>
          </cell>
          <cell r="J947" t="str">
            <v>04968820722</v>
          </cell>
          <cell r="M947" t="str">
            <v>UFFICIO ACQUISTI</v>
          </cell>
          <cell r="N947" t="str">
            <v>0883 292292</v>
          </cell>
          <cell r="O947" t="str">
            <v>368 3052815</v>
          </cell>
          <cell r="P947" t="str">
            <v>lecapfalegnameria@gmail.com</v>
          </cell>
          <cell r="R947" t="str">
            <v>BONIFICO BANCARIO, ALLA DATA DELLA NOSTRA CONFERMA D'ORDINE</v>
          </cell>
          <cell r="X947">
            <v>0.25</v>
          </cell>
          <cell r="Y947">
            <v>-0.04</v>
          </cell>
          <cell r="AB947">
            <v>0.25</v>
          </cell>
          <cell r="AC947">
            <v>0.25</v>
          </cell>
          <cell r="AD947">
            <v>0.25</v>
          </cell>
          <cell r="AE947">
            <v>0.25</v>
          </cell>
          <cell r="AF947">
            <v>0.25</v>
          </cell>
          <cell r="AG947">
            <v>0.25</v>
          </cell>
          <cell r="AH947">
            <v>0.25</v>
          </cell>
          <cell r="AI947">
            <v>0.25</v>
          </cell>
          <cell r="AJ947">
            <v>0.25</v>
          </cell>
          <cell r="AK947">
            <v>0.25</v>
          </cell>
          <cell r="AL947">
            <v>0.25</v>
          </cell>
          <cell r="AM947">
            <v>0.25</v>
          </cell>
          <cell r="AN947">
            <v>0.25</v>
          </cell>
          <cell r="AO947">
            <v>0.25</v>
          </cell>
          <cell r="AP947">
            <v>0.25</v>
          </cell>
          <cell r="AQ947">
            <v>0.25</v>
          </cell>
          <cell r="AR947">
            <v>0.25</v>
          </cell>
          <cell r="AS947">
            <v>0.25</v>
          </cell>
          <cell r="AT947">
            <v>-0.04</v>
          </cell>
          <cell r="AU947">
            <v>0.92</v>
          </cell>
          <cell r="AV947">
            <v>20</v>
          </cell>
          <cell r="AY947" t="str">
            <v/>
          </cell>
          <cell r="AZ947">
            <v>0.25</v>
          </cell>
          <cell r="BA947">
            <v>0.25</v>
          </cell>
        </row>
        <row r="948">
          <cell r="A948" t="str">
            <v>FALEGNAMERIA LEGNOWOOD</v>
          </cell>
          <cell r="D948" t="str">
            <v>CORSO LUIGI EINAUDI, 38</v>
          </cell>
          <cell r="E948">
            <v>12062</v>
          </cell>
          <cell r="F948" t="str">
            <v>CHERASCO</v>
          </cell>
          <cell r="G948" t="str">
            <v>CN</v>
          </cell>
          <cell r="H948" t="str">
            <v>ITALIA</v>
          </cell>
          <cell r="J948" t="str">
            <v>02261110049</v>
          </cell>
          <cell r="M948" t="str">
            <v>UFFICIO ACQUISTI</v>
          </cell>
          <cell r="N948" t="str">
            <v>0172 487074</v>
          </cell>
          <cell r="P948" t="str">
            <v>info@legnowood.it</v>
          </cell>
          <cell r="R948" t="str">
            <v>BONIFICO BANCARIO, ALLA DATA DELLA NOSTRA CONFERMA D'ORDINE</v>
          </cell>
          <cell r="X948">
            <v>0.25</v>
          </cell>
          <cell r="Y948">
            <v>-0.04</v>
          </cell>
          <cell r="AB948">
            <v>0.25</v>
          </cell>
          <cell r="AC948">
            <v>0.25</v>
          </cell>
          <cell r="AD948">
            <v>0.25</v>
          </cell>
          <cell r="AE948">
            <v>0.25</v>
          </cell>
          <cell r="AF948">
            <v>0.25</v>
          </cell>
          <cell r="AG948">
            <v>0.25</v>
          </cell>
          <cell r="AH948">
            <v>0.25</v>
          </cell>
          <cell r="AI948">
            <v>0.25</v>
          </cell>
          <cell r="AJ948">
            <v>0.25</v>
          </cell>
          <cell r="AK948">
            <v>0.25</v>
          </cell>
          <cell r="AL948">
            <v>0.25</v>
          </cell>
          <cell r="AM948">
            <v>0.25</v>
          </cell>
          <cell r="AN948">
            <v>0.25</v>
          </cell>
          <cell r="AO948">
            <v>0.25</v>
          </cell>
          <cell r="AP948">
            <v>0.25</v>
          </cell>
          <cell r="AQ948">
            <v>0.25</v>
          </cell>
          <cell r="AR948">
            <v>0.25</v>
          </cell>
          <cell r="AS948">
            <v>0.25</v>
          </cell>
          <cell r="AT948">
            <v>-0.04</v>
          </cell>
          <cell r="AU948">
            <v>0.92</v>
          </cell>
          <cell r="AV948">
            <v>20</v>
          </cell>
          <cell r="AY948" t="str">
            <v/>
          </cell>
          <cell r="AZ948">
            <v>0.25</v>
          </cell>
          <cell r="BA948">
            <v>0.25</v>
          </cell>
        </row>
        <row r="949">
          <cell r="A949" t="str">
            <v>FALEGNAMERIA MAGNANI &amp; MODIGLIANI</v>
          </cell>
          <cell r="D949" t="str">
            <v>VIA VENETO 44</v>
          </cell>
          <cell r="E949">
            <v>27017</v>
          </cell>
          <cell r="F949" t="str">
            <v xml:space="preserve">ZERBA </v>
          </cell>
          <cell r="G949" t="str">
            <v>PV</v>
          </cell>
          <cell r="H949" t="str">
            <v>ITALIA</v>
          </cell>
          <cell r="J949" t="str">
            <v>00120560180</v>
          </cell>
          <cell r="M949" t="str">
            <v>UFFICIO ACQUISTI</v>
          </cell>
          <cell r="N949" t="str">
            <v>0382 79063</v>
          </cell>
          <cell r="R949" t="str">
            <v>BONIFICO BANCARIO, ALLA DATA DELLA NOSTRA CONFERMA D'ORDINE</v>
          </cell>
          <cell r="X949">
            <v>0.25</v>
          </cell>
          <cell r="Y949">
            <v>-0.04</v>
          </cell>
          <cell r="AB949">
            <v>0.25</v>
          </cell>
          <cell r="AC949">
            <v>0.25</v>
          </cell>
          <cell r="AD949">
            <v>0.25</v>
          </cell>
          <cell r="AE949">
            <v>0.25</v>
          </cell>
          <cell r="AF949">
            <v>0.25</v>
          </cell>
          <cell r="AG949">
            <v>0.25</v>
          </cell>
          <cell r="AH949">
            <v>0.25</v>
          </cell>
          <cell r="AI949">
            <v>0.25</v>
          </cell>
          <cell r="AJ949">
            <v>0.25</v>
          </cell>
          <cell r="AK949">
            <v>0.25</v>
          </cell>
          <cell r="AL949">
            <v>0.25</v>
          </cell>
          <cell r="AM949">
            <v>0.25</v>
          </cell>
          <cell r="AN949">
            <v>0.25</v>
          </cell>
          <cell r="AO949">
            <v>0.25</v>
          </cell>
          <cell r="AP949">
            <v>0.25</v>
          </cell>
          <cell r="AQ949">
            <v>0.25</v>
          </cell>
          <cell r="AR949">
            <v>0.25</v>
          </cell>
          <cell r="AS949">
            <v>0.25</v>
          </cell>
          <cell r="AT949">
            <v>-0.04</v>
          </cell>
          <cell r="AU949">
            <v>0.92</v>
          </cell>
          <cell r="AV949">
            <v>20</v>
          </cell>
          <cell r="AY949" t="str">
            <v/>
          </cell>
          <cell r="AZ949">
            <v>0.25</v>
          </cell>
          <cell r="BA949">
            <v>0.25</v>
          </cell>
        </row>
        <row r="950">
          <cell r="A950" t="str">
            <v>FALEGNAMERIA MAGNI CARLO</v>
          </cell>
          <cell r="D950" t="str">
            <v>VIA D'ACQUISTO,</v>
          </cell>
          <cell r="E950" t="str">
            <v>20060</v>
          </cell>
          <cell r="F950" t="str">
            <v>POZZUOLO MARTESANA</v>
          </cell>
          <cell r="G950" t="str">
            <v>MI</v>
          </cell>
          <cell r="H950" t="str">
            <v>ITALIA</v>
          </cell>
          <cell r="I950" t="str">
            <v>MGNCRL67S07F205J</v>
          </cell>
          <cell r="J950" t="str">
            <v>10530770154</v>
          </cell>
          <cell r="M950" t="str">
            <v>UFFICIO ACQUISTI</v>
          </cell>
          <cell r="N950" t="str">
            <v>02 36542775</v>
          </cell>
          <cell r="O950" t="str">
            <v>347 7213256 CARLO 333 4514095 ISABELLA</v>
          </cell>
          <cell r="P950" t="str">
            <v>falegnameriamagni@fastwebnet.it</v>
          </cell>
          <cell r="R950" t="str">
            <v>BONIFICO BANCARIO, ALLA DATA DELLA NOSTRA CONFERMA D'ORDINE</v>
          </cell>
          <cell r="X950">
            <v>0.2</v>
          </cell>
          <cell r="Y950">
            <v>-0.04</v>
          </cell>
          <cell r="AB950">
            <v>0.2</v>
          </cell>
          <cell r="AC950">
            <v>0.2</v>
          </cell>
          <cell r="AD950">
            <v>0.2</v>
          </cell>
          <cell r="AE950">
            <v>0.2</v>
          </cell>
          <cell r="AF950">
            <v>0.2</v>
          </cell>
          <cell r="AG950">
            <v>0.2</v>
          </cell>
          <cell r="AH950">
            <v>0.2</v>
          </cell>
          <cell r="AI950">
            <v>0.2</v>
          </cell>
          <cell r="AJ950">
            <v>0.2</v>
          </cell>
          <cell r="AK950">
            <v>0.2</v>
          </cell>
          <cell r="AL950">
            <v>0.2</v>
          </cell>
          <cell r="AM950">
            <v>0.2</v>
          </cell>
          <cell r="AN950">
            <v>0.2</v>
          </cell>
          <cell r="AO950">
            <v>0.2</v>
          </cell>
          <cell r="AP950">
            <v>0.2</v>
          </cell>
          <cell r="AQ950">
            <v>0.2</v>
          </cell>
          <cell r="AR950">
            <v>0.2</v>
          </cell>
          <cell r="AS950">
            <v>0.2</v>
          </cell>
          <cell r="AT950">
            <v>-0.04</v>
          </cell>
          <cell r="AU950">
            <v>0.92</v>
          </cell>
          <cell r="AV950">
            <v>20</v>
          </cell>
          <cell r="AZ950">
            <v>0.2</v>
          </cell>
          <cell r="BA950">
            <v>0.2</v>
          </cell>
        </row>
        <row r="951">
          <cell r="A951" t="str">
            <v>FALEGNAMERIA MOMBELLI</v>
          </cell>
          <cell r="B951" t="str">
            <v>LA MATTINA HA COMPRATO , IL POMERIGGIO IL FRATELLO HA DISDETTO</v>
          </cell>
          <cell r="D951" t="str">
            <v>VIA GUIDO ROSSA, 14</v>
          </cell>
          <cell r="E951">
            <v>26025</v>
          </cell>
          <cell r="F951" t="str">
            <v>PANDINO</v>
          </cell>
          <cell r="G951" t="str">
            <v>CR</v>
          </cell>
          <cell r="H951" t="str">
            <v>ITALIA</v>
          </cell>
          <cell r="M951" t="str">
            <v>UFFICIO ACQUISTI</v>
          </cell>
          <cell r="N951" t="str">
            <v>0373 91968</v>
          </cell>
          <cell r="O951" t="str">
            <v>Maurizio 335 7796488  Fabio 366 3325292  Diego  366 3325200</v>
          </cell>
          <cell r="P951" t="str">
            <v>info@falegnameriamombelli.it</v>
          </cell>
          <cell r="R951" t="str">
            <v>BONIFICO BANCARIO, ALLA DATA DELLA NOSTRA CONFERMA D'ORDINE</v>
          </cell>
          <cell r="X951">
            <v>0.25</v>
          </cell>
          <cell r="Y951">
            <v>-0.04</v>
          </cell>
          <cell r="AB951">
            <v>0.25</v>
          </cell>
          <cell r="AC951">
            <v>0.25</v>
          </cell>
          <cell r="AD951">
            <v>0.25</v>
          </cell>
          <cell r="AE951">
            <v>0.25</v>
          </cell>
          <cell r="AF951">
            <v>0.25</v>
          </cell>
          <cell r="AG951">
            <v>0.25</v>
          </cell>
          <cell r="AH951">
            <v>0.25</v>
          </cell>
          <cell r="AI951">
            <v>0.25</v>
          </cell>
          <cell r="AJ951">
            <v>0.25</v>
          </cell>
          <cell r="AK951">
            <v>0.25</v>
          </cell>
          <cell r="AL951">
            <v>0.25</v>
          </cell>
          <cell r="AM951">
            <v>0.25</v>
          </cell>
          <cell r="AN951">
            <v>0.25</v>
          </cell>
          <cell r="AO951">
            <v>0.25</v>
          </cell>
          <cell r="AP951">
            <v>0.25</v>
          </cell>
          <cell r="AQ951">
            <v>0.25</v>
          </cell>
          <cell r="AR951">
            <v>0.25</v>
          </cell>
          <cell r="AS951">
            <v>0.25</v>
          </cell>
          <cell r="AT951">
            <v>-0.04</v>
          </cell>
          <cell r="AU951">
            <v>0.92</v>
          </cell>
          <cell r="AV951">
            <v>20</v>
          </cell>
          <cell r="AY951" t="str">
            <v/>
          </cell>
          <cell r="AZ951">
            <v>0.25</v>
          </cell>
          <cell r="BA951">
            <v>0.25</v>
          </cell>
        </row>
        <row r="952">
          <cell r="A952" t="str">
            <v>FALEGNAMERIA MOR SNC</v>
          </cell>
          <cell r="D952" t="str">
            <v>VIA ADAMELLO, 13</v>
          </cell>
          <cell r="E952">
            <v>25015</v>
          </cell>
          <cell r="F952" t="str">
            <v>DESENZANO DEL GARDA</v>
          </cell>
          <cell r="G952" t="str">
            <v>BS</v>
          </cell>
          <cell r="H952" t="str">
            <v>ITALIA</v>
          </cell>
          <cell r="J952" t="str">
            <v>01830790984</v>
          </cell>
          <cell r="K952" t="str">
            <v>M5UXCR1</v>
          </cell>
          <cell r="M952" t="str">
            <v>UFFICIO ACQUISTI</v>
          </cell>
          <cell r="N952" t="str">
            <v>0309 141077</v>
          </cell>
          <cell r="P952" t="str">
            <v>info@falegnameriamor.it</v>
          </cell>
          <cell r="R952" t="str">
            <v>BONIFICO BANCARIO, ALLA DATA DELLA NOSTRA CONFERMA D'ORDINE</v>
          </cell>
          <cell r="X952">
            <v>0.25</v>
          </cell>
          <cell r="Y952">
            <v>-0.04</v>
          </cell>
          <cell r="AB952">
            <v>0.25</v>
          </cell>
          <cell r="AC952">
            <v>0.25</v>
          </cell>
          <cell r="AD952">
            <v>0.25</v>
          </cell>
          <cell r="AE952">
            <v>0.25</v>
          </cell>
          <cell r="AF952">
            <v>0.25</v>
          </cell>
          <cell r="AG952">
            <v>0.25</v>
          </cell>
          <cell r="AH952">
            <v>0.25</v>
          </cell>
          <cell r="AI952">
            <v>0.25</v>
          </cell>
          <cell r="AJ952">
            <v>0.25</v>
          </cell>
          <cell r="AK952">
            <v>0.25</v>
          </cell>
          <cell r="AL952">
            <v>0.25</v>
          </cell>
          <cell r="AM952">
            <v>0.25</v>
          </cell>
          <cell r="AN952">
            <v>0.25</v>
          </cell>
          <cell r="AO952">
            <v>0.25</v>
          </cell>
          <cell r="AP952">
            <v>0.25</v>
          </cell>
          <cell r="AQ952">
            <v>0.25</v>
          </cell>
          <cell r="AR952">
            <v>0.25</v>
          </cell>
          <cell r="AS952">
            <v>0.25</v>
          </cell>
          <cell r="AT952">
            <v>-0.04</v>
          </cell>
          <cell r="AU952">
            <v>0.92</v>
          </cell>
          <cell r="AV952">
            <v>20</v>
          </cell>
          <cell r="AY952" t="str">
            <v/>
          </cell>
          <cell r="AZ952">
            <v>0.25</v>
          </cell>
          <cell r="BA952">
            <v>0.25</v>
          </cell>
          <cell r="BF952" t="str">
            <v>CLICK RAPID con carpenteria 22/07/2020</v>
          </cell>
        </row>
        <row r="953">
          <cell r="A953" t="str">
            <v>FALEGNAMERIA NITTOLI S.N.C.</v>
          </cell>
          <cell r="B953" t="str">
            <v xml:space="preserve"> FILMATO</v>
          </cell>
          <cell r="D953" t="str">
            <v>VIA VARESINA, 17</v>
          </cell>
          <cell r="E953">
            <v>21035</v>
          </cell>
          <cell r="F953" t="str">
            <v>CUNARDO</v>
          </cell>
          <cell r="G953" t="str">
            <v>VA</v>
          </cell>
          <cell r="H953" t="str">
            <v>ITALIA</v>
          </cell>
          <cell r="J953" t="str">
            <v>01663550125</v>
          </cell>
          <cell r="K953" t="str">
            <v>W7YVJK9</v>
          </cell>
          <cell r="M953" t="str">
            <v>UFFICIO ACQUISTI</v>
          </cell>
          <cell r="N953" t="str">
            <v>0332 997149</v>
          </cell>
          <cell r="O953" t="str">
            <v>328 3166230</v>
          </cell>
          <cell r="P953" t="str">
            <v>info@falegnamerianittoli.it</v>
          </cell>
          <cell r="R953" t="str">
            <v>BONIFICO BANCARIO, ALLA DATA DELLA NOSTRA CONFERMA D'ORDINE</v>
          </cell>
          <cell r="X953">
            <v>0.25</v>
          </cell>
          <cell r="Y953">
            <v>-0.04</v>
          </cell>
          <cell r="AB953">
            <v>0.25</v>
          </cell>
          <cell r="AC953">
            <v>0.25</v>
          </cell>
          <cell r="AD953">
            <v>0.25</v>
          </cell>
          <cell r="AE953">
            <v>0.25</v>
          </cell>
          <cell r="AF953">
            <v>0.25</v>
          </cell>
          <cell r="AG953">
            <v>0.25</v>
          </cell>
          <cell r="AH953">
            <v>0.25</v>
          </cell>
          <cell r="AI953">
            <v>0.25</v>
          </cell>
          <cell r="AJ953">
            <v>0.25</v>
          </cell>
          <cell r="AK953">
            <v>0.25</v>
          </cell>
          <cell r="AL953">
            <v>0.25</v>
          </cell>
          <cell r="AM953">
            <v>0.25</v>
          </cell>
          <cell r="AN953">
            <v>0.25</v>
          </cell>
          <cell r="AO953">
            <v>0.25</v>
          </cell>
          <cell r="AP953">
            <v>0.25</v>
          </cell>
          <cell r="AQ953">
            <v>0.25</v>
          </cell>
          <cell r="AR953">
            <v>0.25</v>
          </cell>
          <cell r="AS953">
            <v>0.25</v>
          </cell>
          <cell r="AT953">
            <v>-0.04</v>
          </cell>
          <cell r="AU953">
            <v>0.92</v>
          </cell>
          <cell r="AV953">
            <v>20</v>
          </cell>
          <cell r="AY953" t="str">
            <v/>
          </cell>
          <cell r="AZ953">
            <v>0.25</v>
          </cell>
          <cell r="BA953">
            <v>0.25</v>
          </cell>
        </row>
        <row r="954">
          <cell r="A954" t="str">
            <v>FALEGNAMERIA P E P DI MAZZEI E BELLAVEGLIA</v>
          </cell>
          <cell r="D954" t="str">
            <v>VIA DEGLI ARROTINI, 9   11</v>
          </cell>
          <cell r="E954">
            <v>57121</v>
          </cell>
          <cell r="F954" t="str">
            <v>LIVORNO</v>
          </cell>
          <cell r="G954" t="str">
            <v>LI</v>
          </cell>
          <cell r="H954" t="str">
            <v>ITALIA</v>
          </cell>
          <cell r="M954" t="str">
            <v>UFFICIO ACQUISTI</v>
          </cell>
          <cell r="N954" t="str">
            <v>0586 411125</v>
          </cell>
          <cell r="R954" t="str">
            <v>BONIFICO BANCARIO, ALLA DATA DELLA NOSTRA CONFERMA D'ORDINE</v>
          </cell>
          <cell r="X954">
            <v>0.25</v>
          </cell>
          <cell r="Y954">
            <v>-0.04</v>
          </cell>
          <cell r="AB954">
            <v>0.25</v>
          </cell>
          <cell r="AC954">
            <v>0.25</v>
          </cell>
          <cell r="AD954">
            <v>0.25</v>
          </cell>
          <cell r="AE954">
            <v>0.25</v>
          </cell>
          <cell r="AF954">
            <v>0.25</v>
          </cell>
          <cell r="AG954">
            <v>0.25</v>
          </cell>
          <cell r="AH954">
            <v>0.25</v>
          </cell>
          <cell r="AI954">
            <v>0.25</v>
          </cell>
          <cell r="AJ954">
            <v>0.25</v>
          </cell>
          <cell r="AK954">
            <v>0.25</v>
          </cell>
          <cell r="AL954">
            <v>0.25</v>
          </cell>
          <cell r="AM954">
            <v>0.25</v>
          </cell>
          <cell r="AN954">
            <v>0.25</v>
          </cell>
          <cell r="AO954">
            <v>0.25</v>
          </cell>
          <cell r="AP954">
            <v>0.25</v>
          </cell>
          <cell r="AQ954">
            <v>0.25</v>
          </cell>
          <cell r="AR954">
            <v>0.25</v>
          </cell>
          <cell r="AS954">
            <v>0.25</v>
          </cell>
          <cell r="AT954">
            <v>-0.04</v>
          </cell>
          <cell r="AU954">
            <v>0.92</v>
          </cell>
          <cell r="AV954">
            <v>20</v>
          </cell>
          <cell r="AZ954">
            <v>0.25</v>
          </cell>
          <cell r="BA954">
            <v>0.25</v>
          </cell>
        </row>
        <row r="955">
          <cell r="A955" t="str">
            <v>FALEGNAMERIA PADOAN</v>
          </cell>
          <cell r="B955" t="str">
            <v>LASCIATO LISTINO</v>
          </cell>
          <cell r="D955" t="str">
            <v>VIA MADONNA MARINA, 325</v>
          </cell>
          <cell r="E955">
            <v>30015</v>
          </cell>
          <cell r="F955" t="str">
            <v>SPOTTOMARINA</v>
          </cell>
          <cell r="G955" t="str">
            <v>VE</v>
          </cell>
          <cell r="H955" t="str">
            <v>ITALIA</v>
          </cell>
          <cell r="I955" t="str">
            <v>02614970271</v>
          </cell>
          <cell r="J955" t="str">
            <v>02614970271</v>
          </cell>
          <cell r="M955" t="str">
            <v>UFFICIO ACQUISTI</v>
          </cell>
          <cell r="N955" t="str">
            <v>041 491702</v>
          </cell>
          <cell r="P955" t="str">
            <v>info@falegnameriapadoan.it</v>
          </cell>
          <cell r="R955" t="str">
            <v>BONIFICO BANCARIO, ALLA DATA DELLA NOSTRA CONFERMA D'ORDINE</v>
          </cell>
          <cell r="X955">
            <v>0.25</v>
          </cell>
          <cell r="Y955">
            <v>-0.04</v>
          </cell>
          <cell r="AB955">
            <v>0.25</v>
          </cell>
          <cell r="AC955">
            <v>0.25</v>
          </cell>
          <cell r="AD955">
            <v>0.25</v>
          </cell>
          <cell r="AE955">
            <v>0.25</v>
          </cell>
          <cell r="AF955">
            <v>0.25</v>
          </cell>
          <cell r="AG955">
            <v>0.25</v>
          </cell>
          <cell r="AH955">
            <v>0.25</v>
          </cell>
          <cell r="AI955">
            <v>0.25</v>
          </cell>
          <cell r="AJ955">
            <v>0.25</v>
          </cell>
          <cell r="AK955">
            <v>0.25</v>
          </cell>
          <cell r="AL955">
            <v>0.25</v>
          </cell>
          <cell r="AM955">
            <v>0.25</v>
          </cell>
          <cell r="AN955">
            <v>0.25</v>
          </cell>
          <cell r="AO955">
            <v>0.25</v>
          </cell>
          <cell r="AP955">
            <v>0.25</v>
          </cell>
          <cell r="AQ955">
            <v>0.25</v>
          </cell>
          <cell r="AR955">
            <v>0.25</v>
          </cell>
          <cell r="AS955">
            <v>0.25</v>
          </cell>
          <cell r="AT955">
            <v>-0.04</v>
          </cell>
          <cell r="AU955">
            <v>0.92</v>
          </cell>
          <cell r="AV955">
            <v>20</v>
          </cell>
          <cell r="AZ955">
            <v>0.25</v>
          </cell>
          <cell r="BA955">
            <v>0.25</v>
          </cell>
        </row>
        <row r="956">
          <cell r="A956" t="str">
            <v>FALEGNAMERIA PESCIA</v>
          </cell>
          <cell r="B956" t="str">
            <v>pesciabruno@bluewin.ch (NON VUOLE RICEVERE MAIL)</v>
          </cell>
          <cell r="D956" t="str">
            <v>VIA INDUSTRIA</v>
          </cell>
          <cell r="E956">
            <v>6987</v>
          </cell>
          <cell r="F956" t="str">
            <v>CASLANO</v>
          </cell>
          <cell r="G956" t="str">
            <v>TI</v>
          </cell>
          <cell r="H956" t="str">
            <v>SVIZZERA</v>
          </cell>
          <cell r="M956" t="str">
            <v>UFFICIO ACQUISTI</v>
          </cell>
          <cell r="N956" t="str">
            <v>091 6061322</v>
          </cell>
          <cell r="O956" t="str">
            <v>333 9117833</v>
          </cell>
          <cell r="R956" t="str">
            <v>BONIFICO BANCARIO, ALLA DATA DELLA NOSTRA CONFERMA D'ORDINE</v>
          </cell>
          <cell r="X956">
            <v>0.25</v>
          </cell>
          <cell r="Y956">
            <v>-0.04</v>
          </cell>
          <cell r="AB956">
            <v>0.25</v>
          </cell>
          <cell r="AC956">
            <v>0.25</v>
          </cell>
          <cell r="AD956">
            <v>0.25</v>
          </cell>
          <cell r="AE956">
            <v>0.25</v>
          </cell>
          <cell r="AF956">
            <v>0.25</v>
          </cell>
          <cell r="AG956">
            <v>0.25</v>
          </cell>
          <cell r="AH956">
            <v>0.25</v>
          </cell>
          <cell r="AI956">
            <v>0.25</v>
          </cell>
          <cell r="AJ956">
            <v>0.25</v>
          </cell>
          <cell r="AK956">
            <v>0.25</v>
          </cell>
          <cell r="AL956">
            <v>0.25</v>
          </cell>
          <cell r="AM956">
            <v>0.25</v>
          </cell>
          <cell r="AN956">
            <v>0.25</v>
          </cell>
          <cell r="AO956">
            <v>0.25</v>
          </cell>
          <cell r="AP956">
            <v>0.25</v>
          </cell>
          <cell r="AQ956">
            <v>0.25</v>
          </cell>
          <cell r="AR956">
            <v>0.25</v>
          </cell>
          <cell r="AS956">
            <v>0.25</v>
          </cell>
          <cell r="AT956">
            <v>-0.04</v>
          </cell>
          <cell r="AU956">
            <v>0.92</v>
          </cell>
          <cell r="AV956">
            <v>20</v>
          </cell>
          <cell r="AZ956">
            <v>0.25</v>
          </cell>
          <cell r="BA956">
            <v>0.25</v>
          </cell>
        </row>
        <row r="957">
          <cell r="A957" t="str">
            <v>FALEGNAMERIA REPETTO</v>
          </cell>
          <cell r="D957" t="str">
            <v>VIA CASAGRANDE 15</v>
          </cell>
          <cell r="E957" t="str">
            <v>15011</v>
          </cell>
          <cell r="F957" t="str">
            <v xml:space="preserve">ACQUI TERME </v>
          </cell>
          <cell r="G957" t="str">
            <v>AL</v>
          </cell>
          <cell r="H957" t="str">
            <v>ITALIA</v>
          </cell>
          <cell r="M957" t="str">
            <v>UFFICIO ACQUISTI</v>
          </cell>
          <cell r="N957" t="str">
            <v>0144 55326</v>
          </cell>
          <cell r="R957" t="str">
            <v>BONIFICO BANCARIO, ALLA DATA DELLA NOSTRA CONFERMA D'ORDINE</v>
          </cell>
          <cell r="W957" t="str">
            <v>ACQUA SALATA</v>
          </cell>
          <cell r="X957">
            <v>0.25</v>
          </cell>
          <cell r="Y957">
            <v>-0.04</v>
          </cell>
          <cell r="AB957">
            <v>0.25</v>
          </cell>
          <cell r="AC957">
            <v>0.25</v>
          </cell>
          <cell r="AD957">
            <v>0.25</v>
          </cell>
          <cell r="AE957">
            <v>0.25</v>
          </cell>
          <cell r="AF957">
            <v>0.25</v>
          </cell>
          <cell r="AG957">
            <v>0.25</v>
          </cell>
          <cell r="AH957">
            <v>0.25</v>
          </cell>
          <cell r="AI957">
            <v>0.25</v>
          </cell>
          <cell r="AJ957">
            <v>0.25</v>
          </cell>
          <cell r="AK957">
            <v>0.25</v>
          </cell>
          <cell r="AL957">
            <v>0.25</v>
          </cell>
          <cell r="AM957">
            <v>0.25</v>
          </cell>
          <cell r="AN957">
            <v>0.25</v>
          </cell>
          <cell r="AO957">
            <v>0.25</v>
          </cell>
          <cell r="AP957">
            <v>0.25</v>
          </cell>
          <cell r="AQ957">
            <v>0.25</v>
          </cell>
          <cell r="AR957">
            <v>0.25</v>
          </cell>
          <cell r="AS957">
            <v>0.25</v>
          </cell>
          <cell r="AT957">
            <v>-0.04</v>
          </cell>
          <cell r="AU957">
            <v>0.92</v>
          </cell>
          <cell r="AV957">
            <v>20</v>
          </cell>
          <cell r="AZ957">
            <v>0.25</v>
          </cell>
          <cell r="BA957">
            <v>0.25</v>
          </cell>
        </row>
        <row r="958">
          <cell r="A958" t="str">
            <v>FALEGNAMERIA ROTA</v>
          </cell>
          <cell r="B958" t="str">
            <v>SIG.DIEGO</v>
          </cell>
          <cell r="D958" t="str">
            <v>VIA DELL'NDUSTRIA, 6</v>
          </cell>
          <cell r="E958">
            <v>24040</v>
          </cell>
          <cell r="F958" t="str">
            <v>CANONICA D'ADDA</v>
          </cell>
          <cell r="G958" t="str">
            <v>BG</v>
          </cell>
          <cell r="H958" t="str">
            <v>ITALIA</v>
          </cell>
          <cell r="M958" t="str">
            <v>UFFICIO ACQUISTI</v>
          </cell>
          <cell r="N958" t="str">
            <v>02 9094969</v>
          </cell>
          <cell r="P958" t="str">
            <v>info@falegnameriarota.it</v>
          </cell>
          <cell r="R958" t="str">
            <v>BONIFICO BANCARIO, ALLA DATA DELLA NOSTRA CONFERMA D'ORDINE</v>
          </cell>
          <cell r="X958">
            <v>0.25</v>
          </cell>
          <cell r="Y958">
            <v>-0.04</v>
          </cell>
          <cell r="AB958">
            <v>0.25</v>
          </cell>
          <cell r="AC958">
            <v>0.25</v>
          </cell>
          <cell r="AD958">
            <v>0.25</v>
          </cell>
          <cell r="AE958">
            <v>0.25</v>
          </cell>
          <cell r="AF958">
            <v>0.25</v>
          </cell>
          <cell r="AG958">
            <v>0.25</v>
          </cell>
          <cell r="AH958">
            <v>0.25</v>
          </cell>
          <cell r="AI958">
            <v>0.25</v>
          </cell>
          <cell r="AJ958">
            <v>0.25</v>
          </cell>
          <cell r="AK958">
            <v>0.25</v>
          </cell>
          <cell r="AL958">
            <v>0.25</v>
          </cell>
          <cell r="AM958">
            <v>0.25</v>
          </cell>
          <cell r="AN958">
            <v>0.25</v>
          </cell>
          <cell r="AO958">
            <v>0.25</v>
          </cell>
          <cell r="AP958">
            <v>0.25</v>
          </cell>
          <cell r="AQ958">
            <v>0.25</v>
          </cell>
          <cell r="AR958">
            <v>0.25</v>
          </cell>
          <cell r="AS958">
            <v>0.25</v>
          </cell>
          <cell r="AT958">
            <v>-0.04</v>
          </cell>
          <cell r="AU958">
            <v>0.92</v>
          </cell>
          <cell r="AV958">
            <v>20</v>
          </cell>
          <cell r="AZ958">
            <v>0.25</v>
          </cell>
          <cell r="BA958">
            <v>0.25</v>
          </cell>
        </row>
        <row r="959">
          <cell r="A959" t="str">
            <v>FALEGNAMERIA ROTA SRL</v>
          </cell>
          <cell r="D959" t="str">
            <v>VIA DELL'INDUSTRIA, 6</v>
          </cell>
          <cell r="E959" t="str">
            <v>24040</v>
          </cell>
          <cell r="F959" t="str">
            <v>CANONICA D'ADDA</v>
          </cell>
          <cell r="G959" t="str">
            <v>BG</v>
          </cell>
          <cell r="H959" t="str">
            <v>ITALIA</v>
          </cell>
          <cell r="J959" t="str">
            <v>02180610160</v>
          </cell>
          <cell r="M959" t="str">
            <v>UFFICIO ACQUISTI</v>
          </cell>
          <cell r="N959" t="str">
            <v>02 9094969</v>
          </cell>
          <cell r="P959" t="str">
            <v>info@falegnameriarota.it</v>
          </cell>
          <cell r="R959" t="str">
            <v>BONIFICO BANCARIO, ALLA DATA DELLA NOSTRA CONFERMA D'ORDINE</v>
          </cell>
          <cell r="X959">
            <v>0.2</v>
          </cell>
          <cell r="Y959">
            <v>-0.04</v>
          </cell>
          <cell r="AB959">
            <v>0.2</v>
          </cell>
          <cell r="AC959">
            <v>0.2</v>
          </cell>
          <cell r="AD959">
            <v>0.2</v>
          </cell>
          <cell r="AE959">
            <v>0.2</v>
          </cell>
          <cell r="AF959">
            <v>0.2</v>
          </cell>
          <cell r="AG959">
            <v>0.2</v>
          </cell>
          <cell r="AH959">
            <v>0.2</v>
          </cell>
          <cell r="AI959">
            <v>0.2</v>
          </cell>
          <cell r="AJ959">
            <v>0.2</v>
          </cell>
          <cell r="AK959">
            <v>0.2</v>
          </cell>
          <cell r="AL959">
            <v>0.2</v>
          </cell>
          <cell r="AM959">
            <v>0.2</v>
          </cell>
          <cell r="AN959">
            <v>0.2</v>
          </cell>
          <cell r="AO959">
            <v>0.2</v>
          </cell>
          <cell r="AP959">
            <v>0.2</v>
          </cell>
          <cell r="AQ959">
            <v>0.2</v>
          </cell>
          <cell r="AR959">
            <v>0.2</v>
          </cell>
          <cell r="AS959">
            <v>0.2</v>
          </cell>
          <cell r="AT959">
            <v>-0.04</v>
          </cell>
          <cell r="AU959">
            <v>0.92</v>
          </cell>
          <cell r="AV959">
            <v>20</v>
          </cell>
          <cell r="AZ959">
            <v>0.2</v>
          </cell>
          <cell r="BA959">
            <v>0.2</v>
          </cell>
        </row>
        <row r="960">
          <cell r="A960" t="str">
            <v>FALEGNAMERIA SACILOTTO VALENTINO</v>
          </cell>
          <cell r="D960" t="str">
            <v>VIA ALTOVITI 14</v>
          </cell>
          <cell r="E960" t="str">
            <v>30025</v>
          </cell>
          <cell r="F960" t="str">
            <v>FRATTA DI FOSSALTA DI PORTOGRUASRO</v>
          </cell>
          <cell r="G960" t="str">
            <v>VE</v>
          </cell>
          <cell r="H960" t="str">
            <v>ITALIA</v>
          </cell>
          <cell r="J960" t="str">
            <v>02978360275</v>
          </cell>
          <cell r="M960" t="str">
            <v>UFFICIO ACQUISTI</v>
          </cell>
          <cell r="N960" t="str">
            <v>0421 789782</v>
          </cell>
          <cell r="R960" t="str">
            <v>BONIFICO BANCARIO, ALLA DATA DELLA NOSTRA CONFERMA D'ORDINE</v>
          </cell>
          <cell r="X960">
            <v>0.25</v>
          </cell>
          <cell r="Y960">
            <v>-0.04</v>
          </cell>
          <cell r="AB960">
            <v>0.25</v>
          </cell>
          <cell r="AC960">
            <v>0.25</v>
          </cell>
          <cell r="AD960">
            <v>0.25</v>
          </cell>
          <cell r="AE960">
            <v>0.25</v>
          </cell>
          <cell r="AF960">
            <v>0.25</v>
          </cell>
          <cell r="AG960">
            <v>0.25</v>
          </cell>
          <cell r="AH960">
            <v>0.25</v>
          </cell>
          <cell r="AI960">
            <v>0.25</v>
          </cell>
          <cell r="AJ960">
            <v>0.25</v>
          </cell>
          <cell r="AK960">
            <v>0.25</v>
          </cell>
          <cell r="AL960">
            <v>0.25</v>
          </cell>
          <cell r="AM960">
            <v>0.25</v>
          </cell>
          <cell r="AN960">
            <v>0.25</v>
          </cell>
          <cell r="AO960">
            <v>0.25</v>
          </cell>
          <cell r="AP960">
            <v>0.25</v>
          </cell>
          <cell r="AQ960">
            <v>0.25</v>
          </cell>
          <cell r="AR960">
            <v>0.25</v>
          </cell>
          <cell r="AS960">
            <v>0.25</v>
          </cell>
          <cell r="AT960">
            <v>-0.04</v>
          </cell>
          <cell r="AU960">
            <v>0.92</v>
          </cell>
          <cell r="AV960">
            <v>20</v>
          </cell>
          <cell r="AY960" t="str">
            <v/>
          </cell>
          <cell r="AZ960">
            <v>0.25</v>
          </cell>
          <cell r="BA960">
            <v>0.25</v>
          </cell>
        </row>
        <row r="961">
          <cell r="A961" t="str">
            <v>FALEGNAMERIA SARTENA</v>
          </cell>
          <cell r="D961" t="str">
            <v>VIA CADUTI 14 SETTEMBRE 35</v>
          </cell>
          <cell r="E961" t="str">
            <v>32100</v>
          </cell>
          <cell r="F961" t="str">
            <v>BELLUNO</v>
          </cell>
          <cell r="G961" t="str">
            <v>BL</v>
          </cell>
          <cell r="H961" t="str">
            <v>ITALIA</v>
          </cell>
          <cell r="J961" t="str">
            <v>01010980256</v>
          </cell>
          <cell r="M961" t="str">
            <v>UFFICIO ACQUISTI</v>
          </cell>
          <cell r="N961" t="str">
            <v>0437 30688</v>
          </cell>
          <cell r="P961" t="str">
            <v>info@sartena.it</v>
          </cell>
          <cell r="R961" t="str">
            <v>BONIFICO BANCARIO, ALLA DATA DELLA NOSTRA CONFERMA D'ORDINE</v>
          </cell>
          <cell r="U961" t="str">
            <v>IT33C 01030 63730 000061104446</v>
          </cell>
          <cell r="W961" t="str">
            <v>ACQUA SALATA</v>
          </cell>
          <cell r="X961">
            <v>0.25</v>
          </cell>
          <cell r="Y961">
            <v>-0.04</v>
          </cell>
          <cell r="AB961">
            <v>0.25</v>
          </cell>
          <cell r="AC961">
            <v>0.25</v>
          </cell>
          <cell r="AD961">
            <v>0.25</v>
          </cell>
          <cell r="AE961">
            <v>0.25</v>
          </cell>
          <cell r="AF961">
            <v>0.25</v>
          </cell>
          <cell r="AG961">
            <v>0.25</v>
          </cell>
          <cell r="AH961">
            <v>0.25</v>
          </cell>
          <cell r="AI961">
            <v>0.25</v>
          </cell>
          <cell r="AJ961">
            <v>0.25</v>
          </cell>
          <cell r="AK961">
            <v>0.25</v>
          </cell>
          <cell r="AL961">
            <v>0.25</v>
          </cell>
          <cell r="AM961">
            <v>0.25</v>
          </cell>
          <cell r="AN961">
            <v>0.25</v>
          </cell>
          <cell r="AO961">
            <v>0.25</v>
          </cell>
          <cell r="AP961">
            <v>0.25</v>
          </cell>
          <cell r="AQ961">
            <v>0.25</v>
          </cell>
          <cell r="AR961">
            <v>0.25</v>
          </cell>
          <cell r="AS961">
            <v>0.25</v>
          </cell>
          <cell r="AT961">
            <v>-0.04</v>
          </cell>
          <cell r="AU961">
            <v>0.92</v>
          </cell>
          <cell r="AV961">
            <v>20</v>
          </cell>
          <cell r="AY961" t="str">
            <v/>
          </cell>
          <cell r="AZ961">
            <v>0.25</v>
          </cell>
          <cell r="BA961">
            <v>0.25</v>
          </cell>
        </row>
        <row r="962">
          <cell r="A962" t="str">
            <v>FALEGNAMERIA TARDIO MARIO</v>
          </cell>
          <cell r="D962" t="str">
            <v>P.LE PER SAN VITO, 76 B</v>
          </cell>
          <cell r="E962">
            <v>72100</v>
          </cell>
          <cell r="F962" t="str">
            <v>BRINDISI</v>
          </cell>
          <cell r="G962" t="str">
            <v>BR</v>
          </cell>
          <cell r="H962" t="str">
            <v>ITALIA</v>
          </cell>
          <cell r="J962" t="str">
            <v>01983250745</v>
          </cell>
          <cell r="M962" t="str">
            <v>UFFICIO ACQUISTI</v>
          </cell>
          <cell r="O962" t="str">
            <v>347 6493461</v>
          </cell>
          <cell r="P962" t="str">
            <v>tardio.mario@libero.it</v>
          </cell>
          <cell r="R962" t="str">
            <v>BONIFICO BANCARIO, ALLA DATA DELLA NOSTRA CONFERMA D'ORDINE</v>
          </cell>
          <cell r="X962">
            <v>0.25</v>
          </cell>
          <cell r="Y962">
            <v>-0.04</v>
          </cell>
          <cell r="AB962">
            <v>0.25</v>
          </cell>
          <cell r="AC962">
            <v>0.25</v>
          </cell>
          <cell r="AD962">
            <v>0.25</v>
          </cell>
          <cell r="AE962">
            <v>0.25</v>
          </cell>
          <cell r="AF962">
            <v>0.25</v>
          </cell>
          <cell r="AG962">
            <v>0.25</v>
          </cell>
          <cell r="AH962">
            <v>0.25</v>
          </cell>
          <cell r="AI962">
            <v>0.25</v>
          </cell>
          <cell r="AJ962">
            <v>0.25</v>
          </cell>
          <cell r="AK962">
            <v>0.25</v>
          </cell>
          <cell r="AL962">
            <v>0.25</v>
          </cell>
          <cell r="AM962">
            <v>0.25</v>
          </cell>
          <cell r="AN962">
            <v>0.25</v>
          </cell>
          <cell r="AO962">
            <v>0.25</v>
          </cell>
          <cell r="AP962">
            <v>0.25</v>
          </cell>
          <cell r="AQ962">
            <v>0.25</v>
          </cell>
          <cell r="AR962">
            <v>0.25</v>
          </cell>
          <cell r="AS962">
            <v>0.25</v>
          </cell>
          <cell r="AT962">
            <v>-0.04</v>
          </cell>
          <cell r="AU962">
            <v>0.92</v>
          </cell>
          <cell r="AV962">
            <v>20</v>
          </cell>
          <cell r="AZ962">
            <v>0.25</v>
          </cell>
          <cell r="BA962">
            <v>0.25</v>
          </cell>
        </row>
        <row r="963">
          <cell r="A963" t="str">
            <v>FALEGNAMERIA TEMPESTINI SRL</v>
          </cell>
          <cell r="D963" t="str">
            <v>VIA DELLE REGIONI, 2</v>
          </cell>
          <cell r="E963" t="str">
            <v>04012</v>
          </cell>
          <cell r="F963" t="str">
            <v>CISTERNA DI LATINA</v>
          </cell>
          <cell r="G963" t="str">
            <v>LT</v>
          </cell>
          <cell r="H963" t="str">
            <v>ITALIA</v>
          </cell>
          <cell r="J963" t="str">
            <v>02826950590</v>
          </cell>
          <cell r="M963" t="str">
            <v>UFFICIO ACQUISTI</v>
          </cell>
          <cell r="N963" t="str">
            <v>06 9699610</v>
          </cell>
          <cell r="O963" t="str">
            <v>330 628262 UGO-339 4211954 PIETRO-339 4773735 GIOV.NNI</v>
          </cell>
          <cell r="P963" t="str">
            <v>info@falegnameriatempestini@gmail.com</v>
          </cell>
          <cell r="R963" t="str">
            <v>BONIFICO BANCARIO, ALLA DATA DELLA NOSTRA CONFERMA D'ORDINE</v>
          </cell>
          <cell r="X963">
            <v>0.2</v>
          </cell>
          <cell r="Y963">
            <v>-0.04</v>
          </cell>
          <cell r="AB963">
            <v>0.2</v>
          </cell>
          <cell r="AC963">
            <v>0.2</v>
          </cell>
          <cell r="AD963">
            <v>0.2</v>
          </cell>
          <cell r="AE963">
            <v>0.2</v>
          </cell>
          <cell r="AF963">
            <v>0.2</v>
          </cell>
          <cell r="AG963">
            <v>0.2</v>
          </cell>
          <cell r="AH963">
            <v>0.2</v>
          </cell>
          <cell r="AI963">
            <v>0.2</v>
          </cell>
          <cell r="AJ963">
            <v>0.2</v>
          </cell>
          <cell r="AK963">
            <v>0.2</v>
          </cell>
          <cell r="AL963">
            <v>0.2</v>
          </cell>
          <cell r="AM963">
            <v>0.2</v>
          </cell>
          <cell r="AN963">
            <v>0.2</v>
          </cell>
          <cell r="AO963">
            <v>0.2</v>
          </cell>
          <cell r="AP963">
            <v>0.2</v>
          </cell>
          <cell r="AQ963">
            <v>0.2</v>
          </cell>
          <cell r="AR963">
            <v>0.2</v>
          </cell>
          <cell r="AS963">
            <v>0.2</v>
          </cell>
          <cell r="AT963">
            <v>-0.04</v>
          </cell>
          <cell r="AU963">
            <v>0.92</v>
          </cell>
          <cell r="AV963">
            <v>20</v>
          </cell>
          <cell r="AZ963">
            <v>0.2</v>
          </cell>
          <cell r="BA963">
            <v>0.2</v>
          </cell>
        </row>
        <row r="964">
          <cell r="A964" t="str">
            <v xml:space="preserve">FALEGNAMERIA VALERI </v>
          </cell>
          <cell r="D964" t="str">
            <v>VIA RUSTIGHEL, 50</v>
          </cell>
          <cell r="E964" t="str">
            <v>33080</v>
          </cell>
          <cell r="F964" t="str">
            <v>PORCIA</v>
          </cell>
          <cell r="G964" t="str">
            <v>PN</v>
          </cell>
          <cell r="H964" t="str">
            <v>ITALIA</v>
          </cell>
          <cell r="M964" t="str">
            <v>UFFICIO ACQUISTI</v>
          </cell>
          <cell r="N964" t="str">
            <v>0434 361097</v>
          </cell>
          <cell r="O964" t="str">
            <v>348 5488706</v>
          </cell>
          <cell r="P964" t="str">
            <v>falegnameria.valeri@gmail.com</v>
          </cell>
          <cell r="R964" t="str">
            <v>BONIFICO BANCARIO, ALLA DATA DELLA NOSTRA CONFERMA D'ORDINE</v>
          </cell>
          <cell r="X964">
            <v>0</v>
          </cell>
          <cell r="Y964">
            <v>-0.04</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-0.04</v>
          </cell>
          <cell r="AU964">
            <v>0.92</v>
          </cell>
          <cell r="AV964">
            <v>20</v>
          </cell>
          <cell r="AZ964">
            <v>0</v>
          </cell>
          <cell r="BA964">
            <v>0</v>
          </cell>
        </row>
        <row r="965">
          <cell r="A965" t="str">
            <v>FANARA SERRAMENTI DI FANARA SERGIO</v>
          </cell>
          <cell r="D965" t="str">
            <v>VIALE DELLE MAGNOLIE, 26</v>
          </cell>
          <cell r="E965" t="str">
            <v>90144</v>
          </cell>
          <cell r="F965" t="str">
            <v>PALERMO</v>
          </cell>
          <cell r="G965" t="str">
            <v>PA</v>
          </cell>
          <cell r="H965" t="str">
            <v>ITALIA</v>
          </cell>
          <cell r="J965" t="str">
            <v>06556350822</v>
          </cell>
          <cell r="M965" t="str">
            <v>UFFICIO ACQUISTI</v>
          </cell>
          <cell r="R965" t="str">
            <v>BONIFICO BANCARIO, ALLA DATA DELLA NOSTRA CONFERMA D'ORDINE</v>
          </cell>
          <cell r="X965">
            <v>0.25</v>
          </cell>
          <cell r="Y965">
            <v>-0.04</v>
          </cell>
          <cell r="AB965">
            <v>0.25</v>
          </cell>
          <cell r="AC965">
            <v>0.25</v>
          </cell>
          <cell r="AD965">
            <v>0.25</v>
          </cell>
          <cell r="AE965">
            <v>0.25</v>
          </cell>
          <cell r="AF965">
            <v>0.25</v>
          </cell>
          <cell r="AG965">
            <v>0.25</v>
          </cell>
          <cell r="AH965">
            <v>0.25</v>
          </cell>
          <cell r="AI965">
            <v>0.25</v>
          </cell>
          <cell r="AJ965">
            <v>0.25</v>
          </cell>
          <cell r="AK965">
            <v>0.25</v>
          </cell>
          <cell r="AL965">
            <v>0.25</v>
          </cell>
          <cell r="AM965">
            <v>0.25</v>
          </cell>
          <cell r="AN965">
            <v>0.25</v>
          </cell>
          <cell r="AO965">
            <v>0.25</v>
          </cell>
          <cell r="AP965">
            <v>0.25</v>
          </cell>
          <cell r="AQ965">
            <v>0.25</v>
          </cell>
          <cell r="AR965">
            <v>0.25</v>
          </cell>
          <cell r="AS965">
            <v>0.25</v>
          </cell>
          <cell r="AT965">
            <v>-0.04</v>
          </cell>
          <cell r="AU965">
            <v>0.92</v>
          </cell>
          <cell r="AV965">
            <v>20</v>
          </cell>
          <cell r="AY965" t="str">
            <v/>
          </cell>
          <cell r="AZ965">
            <v>0.25</v>
          </cell>
          <cell r="BA965">
            <v>0.25</v>
          </cell>
        </row>
        <row r="966">
          <cell r="A966" t="str">
            <v>FANCHIN S.R.L.</v>
          </cell>
          <cell r="D966" t="str">
            <v>VIA ZONA INDUSTRIALE , 30</v>
          </cell>
          <cell r="E966" t="str">
            <v>45010</v>
          </cell>
          <cell r="F966" t="str">
            <v>VILLADOSE</v>
          </cell>
          <cell r="G966" t="str">
            <v>RO</v>
          </cell>
          <cell r="H966" t="str">
            <v>ITALIA</v>
          </cell>
          <cell r="J966" t="str">
            <v>01161000292</v>
          </cell>
          <cell r="M966" t="str">
            <v>UFFICIO ACQUISTI</v>
          </cell>
          <cell r="N966" t="str">
            <v>0425 405312</v>
          </cell>
          <cell r="P966" t="str">
            <v>info@fanchinsrl.it</v>
          </cell>
          <cell r="R966" t="str">
            <v>BONIFICO BANCARIO, ALLA DATA DELLA NOSTRA CONFERMA D'ORDINE</v>
          </cell>
          <cell r="X966">
            <v>0.25</v>
          </cell>
          <cell r="Y966">
            <v>-0.04</v>
          </cell>
          <cell r="AB966">
            <v>0.25</v>
          </cell>
          <cell r="AC966">
            <v>0.25</v>
          </cell>
          <cell r="AD966">
            <v>0.25</v>
          </cell>
          <cell r="AE966">
            <v>0.25</v>
          </cell>
          <cell r="AF966">
            <v>0.25</v>
          </cell>
          <cell r="AG966">
            <v>0.25</v>
          </cell>
          <cell r="AH966">
            <v>0.25</v>
          </cell>
          <cell r="AI966">
            <v>0.25</v>
          </cell>
          <cell r="AJ966">
            <v>0.25</v>
          </cell>
          <cell r="AK966">
            <v>0.25</v>
          </cell>
          <cell r="AL966">
            <v>0.25</v>
          </cell>
          <cell r="AM966">
            <v>0.25</v>
          </cell>
          <cell r="AN966">
            <v>0.25</v>
          </cell>
          <cell r="AO966">
            <v>0.25</v>
          </cell>
          <cell r="AP966">
            <v>0.25</v>
          </cell>
          <cell r="AQ966">
            <v>0.25</v>
          </cell>
          <cell r="AR966">
            <v>0.25</v>
          </cell>
          <cell r="AS966">
            <v>0.25</v>
          </cell>
          <cell r="AT966">
            <v>-0.04</v>
          </cell>
          <cell r="AU966">
            <v>0.92</v>
          </cell>
          <cell r="AV966">
            <v>20</v>
          </cell>
          <cell r="AZ966">
            <v>0.25</v>
          </cell>
          <cell r="BA966">
            <v>0.25</v>
          </cell>
        </row>
        <row r="967">
          <cell r="A967" t="str">
            <v>FANTAFER</v>
          </cell>
          <cell r="B967" t="str">
            <v>76,3 x 40</v>
          </cell>
          <cell r="D967" t="str">
            <v>VIA DELLE COSTE, 41</v>
          </cell>
          <cell r="E967">
            <v>37017</v>
          </cell>
          <cell r="F967" t="str">
            <v>LAZISE</v>
          </cell>
          <cell r="G967" t="str">
            <v>VR</v>
          </cell>
          <cell r="H967" t="str">
            <v>ITALIA</v>
          </cell>
          <cell r="I967" t="str">
            <v>GLMMSM71E12B296N</v>
          </cell>
          <cell r="J967" t="str">
            <v>04584360236</v>
          </cell>
          <cell r="M967" t="str">
            <v>UFFICIO ACQUISTI</v>
          </cell>
          <cell r="N967" t="str">
            <v>045 6470269</v>
          </cell>
          <cell r="O967" t="str">
            <v>347 2449549</v>
          </cell>
          <cell r="P967" t="str">
            <v>info@fantafer.it</v>
          </cell>
          <cell r="R967" t="str">
            <v>BONIFICO BANCARIO, ALLA DATA DELLA NOSTRA CONFERMA D'ORDINE</v>
          </cell>
          <cell r="X967">
            <v>0.25</v>
          </cell>
          <cell r="Y967">
            <v>-0.04</v>
          </cell>
          <cell r="AB967">
            <v>0.25</v>
          </cell>
          <cell r="AC967">
            <v>0.25</v>
          </cell>
          <cell r="AD967">
            <v>0.25</v>
          </cell>
          <cell r="AE967">
            <v>0.25</v>
          </cell>
          <cell r="AF967">
            <v>0.25</v>
          </cell>
          <cell r="AG967">
            <v>0.25</v>
          </cell>
          <cell r="AH967">
            <v>0.25</v>
          </cell>
          <cell r="AI967">
            <v>0.25</v>
          </cell>
          <cell r="AJ967">
            <v>0.25</v>
          </cell>
          <cell r="AK967">
            <v>0.25</v>
          </cell>
          <cell r="AL967">
            <v>0.25</v>
          </cell>
          <cell r="AM967">
            <v>0.25</v>
          </cell>
          <cell r="AN967">
            <v>0.25</v>
          </cell>
          <cell r="AO967">
            <v>0.25</v>
          </cell>
          <cell r="AP967">
            <v>0.25</v>
          </cell>
          <cell r="AQ967">
            <v>0.25</v>
          </cell>
          <cell r="AR967">
            <v>0.25</v>
          </cell>
          <cell r="AS967">
            <v>0.25</v>
          </cell>
          <cell r="AT967">
            <v>-0.04</v>
          </cell>
          <cell r="AU967">
            <v>0.92</v>
          </cell>
          <cell r="AV967">
            <v>20</v>
          </cell>
          <cell r="AZ967">
            <v>0.25</v>
          </cell>
          <cell r="BA967">
            <v>0.25</v>
          </cell>
        </row>
        <row r="968">
          <cell r="A968" t="str">
            <v>FANTINELLI</v>
          </cell>
          <cell r="B968" t="str">
            <v>POTREBBE ESSERE INTERESSATO DA RISENTIRE DOPO LE FESTE</v>
          </cell>
          <cell r="D968" t="str">
            <v>VIA DEGLI SCARIOLANTI, 6</v>
          </cell>
          <cell r="E968" t="str">
            <v>47122</v>
          </cell>
          <cell r="F968" t="str">
            <v>FORLI</v>
          </cell>
          <cell r="G968" t="str">
            <v>FC</v>
          </cell>
          <cell r="H968" t="str">
            <v>ITALIA</v>
          </cell>
          <cell r="J968" t="str">
            <v>03177130402</v>
          </cell>
          <cell r="M968" t="str">
            <v>UFFICIO ACQUISTI</v>
          </cell>
          <cell r="N968" t="str">
            <v>0543 700235</v>
          </cell>
          <cell r="P968" t="str">
            <v>fantinellisnc@libero.it</v>
          </cell>
          <cell r="R968" t="str">
            <v>BONIFICO BANCARIO, ALLA DATA DELLA NOSTRA CONFERMA D'ORDINE</v>
          </cell>
          <cell r="X968">
            <v>0.2</v>
          </cell>
          <cell r="Y968">
            <v>-0.04</v>
          </cell>
          <cell r="AB968">
            <v>0.2</v>
          </cell>
          <cell r="AC968">
            <v>0.2</v>
          </cell>
          <cell r="AD968">
            <v>0.2</v>
          </cell>
          <cell r="AE968">
            <v>0.2</v>
          </cell>
          <cell r="AF968">
            <v>0.2</v>
          </cell>
          <cell r="AG968">
            <v>0.2</v>
          </cell>
          <cell r="AH968">
            <v>0.2</v>
          </cell>
          <cell r="AI968">
            <v>0.2</v>
          </cell>
          <cell r="AJ968">
            <v>0.2</v>
          </cell>
          <cell r="AK968">
            <v>0.2</v>
          </cell>
          <cell r="AL968">
            <v>0.2</v>
          </cell>
          <cell r="AM968">
            <v>0.2</v>
          </cell>
          <cell r="AN968">
            <v>0.2</v>
          </cell>
          <cell r="AO968">
            <v>0.2</v>
          </cell>
          <cell r="AP968">
            <v>0.2</v>
          </cell>
          <cell r="AQ968">
            <v>0.2</v>
          </cell>
          <cell r="AR968">
            <v>0.2</v>
          </cell>
          <cell r="AS968">
            <v>0.2</v>
          </cell>
          <cell r="AT968">
            <v>-0.04</v>
          </cell>
          <cell r="AU968">
            <v>0.92</v>
          </cell>
          <cell r="AV968">
            <v>20</v>
          </cell>
          <cell r="AZ968">
            <v>0.2</v>
          </cell>
          <cell r="BA968">
            <v>0.2</v>
          </cell>
        </row>
        <row r="969">
          <cell r="A969" t="str">
            <v>FANTONI SERRAMENTI SRL</v>
          </cell>
          <cell r="B969" t="str">
            <v>SEC.SEDE:VIA U.FOSCOLO,62 - APRLIA 06 87729555  331 3330917</v>
          </cell>
          <cell r="D969" t="str">
            <v>VIA A.LAMARMORA,9/11</v>
          </cell>
          <cell r="E969" t="str">
            <v>00071</v>
          </cell>
          <cell r="F969" t="str">
            <v>POMEZIA</v>
          </cell>
          <cell r="G969" t="str">
            <v>RM</v>
          </cell>
          <cell r="H969" t="str">
            <v>ITALIA</v>
          </cell>
          <cell r="M969" t="str">
            <v>UFFICIO ACQUISTI</v>
          </cell>
          <cell r="N969" t="str">
            <v>06 91802141</v>
          </cell>
          <cell r="O969" t="str">
            <v>348 3500086</v>
          </cell>
          <cell r="P969" t="str">
            <v>fantoniserramenti@tiscali.it</v>
          </cell>
          <cell r="R969" t="str">
            <v>BONIFICO BANCARIO, ALLA DATA DELLA NOSTRA CONFERMA D'ORDINE</v>
          </cell>
          <cell r="X969">
            <v>0.2</v>
          </cell>
          <cell r="Y969">
            <v>-0.04</v>
          </cell>
          <cell r="AB969">
            <v>0.2</v>
          </cell>
          <cell r="AC969">
            <v>0.2</v>
          </cell>
          <cell r="AD969">
            <v>0.2</v>
          </cell>
          <cell r="AE969">
            <v>0.2</v>
          </cell>
          <cell r="AF969">
            <v>0.2</v>
          </cell>
          <cell r="AG969">
            <v>0.2</v>
          </cell>
          <cell r="AH969">
            <v>0.2</v>
          </cell>
          <cell r="AI969">
            <v>0.2</v>
          </cell>
          <cell r="AJ969">
            <v>0.2</v>
          </cell>
          <cell r="AK969">
            <v>0.2</v>
          </cell>
          <cell r="AL969">
            <v>0.2</v>
          </cell>
          <cell r="AM969">
            <v>0.2</v>
          </cell>
          <cell r="AN969">
            <v>0.2</v>
          </cell>
          <cell r="AO969">
            <v>0.2</v>
          </cell>
          <cell r="AP969">
            <v>0.2</v>
          </cell>
          <cell r="AQ969">
            <v>0.2</v>
          </cell>
          <cell r="AR969">
            <v>0.2</v>
          </cell>
          <cell r="AS969">
            <v>0.2</v>
          </cell>
          <cell r="AT969">
            <v>-0.04</v>
          </cell>
          <cell r="AU969">
            <v>0.92</v>
          </cell>
          <cell r="AV969">
            <v>20</v>
          </cell>
          <cell r="AZ969">
            <v>0.2</v>
          </cell>
          <cell r="BA969">
            <v>0.2</v>
          </cell>
        </row>
        <row r="970">
          <cell r="A970" t="str">
            <v>FAP SRL</v>
          </cell>
          <cell r="D970" t="str">
            <v>VIA DELLA VANDRA, 560</v>
          </cell>
          <cell r="E970" t="str">
            <v>03042</v>
          </cell>
          <cell r="F970" t="str">
            <v>ATINA</v>
          </cell>
          <cell r="G970" t="str">
            <v>FR</v>
          </cell>
          <cell r="H970" t="str">
            <v>ITALIA</v>
          </cell>
          <cell r="M970" t="str">
            <v>UFFICIO ACQUISTI</v>
          </cell>
          <cell r="N970" t="str">
            <v>0776 691175</v>
          </cell>
          <cell r="R970" t="str">
            <v>BONIFICO BANCARIO, ALLA DATA DELLA NOSTRA CONFERMA D'ORDINE</v>
          </cell>
          <cell r="X970">
            <v>0.25</v>
          </cell>
          <cell r="Y970">
            <v>-0.04</v>
          </cell>
          <cell r="AB970">
            <v>0.25</v>
          </cell>
          <cell r="AC970">
            <v>0.25</v>
          </cell>
          <cell r="AD970">
            <v>0.25</v>
          </cell>
          <cell r="AE970">
            <v>0.25</v>
          </cell>
          <cell r="AF970">
            <v>0.25</v>
          </cell>
          <cell r="AG970">
            <v>0.25</v>
          </cell>
          <cell r="AH970">
            <v>0.25</v>
          </cell>
          <cell r="AI970">
            <v>0.25</v>
          </cell>
          <cell r="AJ970">
            <v>0.25</v>
          </cell>
          <cell r="AK970">
            <v>0.25</v>
          </cell>
          <cell r="AL970">
            <v>0.25</v>
          </cell>
          <cell r="AM970">
            <v>0.25</v>
          </cell>
          <cell r="AN970">
            <v>0.25</v>
          </cell>
          <cell r="AO970">
            <v>0.25</v>
          </cell>
          <cell r="AP970">
            <v>0.25</v>
          </cell>
          <cell r="AQ970">
            <v>0.25</v>
          </cell>
          <cell r="AR970">
            <v>0.25</v>
          </cell>
          <cell r="AS970">
            <v>0.25</v>
          </cell>
          <cell r="AT970">
            <v>-0.04</v>
          </cell>
          <cell r="AU970">
            <v>0.92</v>
          </cell>
          <cell r="AV970">
            <v>20</v>
          </cell>
          <cell r="AZ970">
            <v>0.25</v>
          </cell>
          <cell r="BA970">
            <v>0.25</v>
          </cell>
        </row>
        <row r="971">
          <cell r="A971" t="str">
            <v>FARB SERRAMENTI IN LEGNO</v>
          </cell>
          <cell r="D971" t="str">
            <v>VIA F.LLI SETTI, 3</v>
          </cell>
          <cell r="E971" t="str">
            <v>42019</v>
          </cell>
          <cell r="F971" t="str">
            <v>SCANDIANO</v>
          </cell>
          <cell r="G971" t="str">
            <v>RE</v>
          </cell>
          <cell r="H971" t="str">
            <v>ITALIA</v>
          </cell>
          <cell r="I971" t="str">
            <v>00261830350</v>
          </cell>
          <cell r="J971" t="str">
            <v>00261830350</v>
          </cell>
          <cell r="M971" t="str">
            <v>UFFICIO ACQUISTI</v>
          </cell>
          <cell r="O971" t="str">
            <v>Stefano Saccaggi 347 8472502</v>
          </cell>
          <cell r="P971" t="str">
            <v>infofarbserramenti@gmail.com</v>
          </cell>
          <cell r="R971" t="str">
            <v>BONIFICO BANCARIO, ALLA DATA DELLA NOSTRA CONFERMA D'ORDINE</v>
          </cell>
          <cell r="X971">
            <v>0.25</v>
          </cell>
          <cell r="Y971">
            <v>-0.04</v>
          </cell>
          <cell r="AB971">
            <v>0.25</v>
          </cell>
          <cell r="AC971">
            <v>0.25</v>
          </cell>
          <cell r="AD971">
            <v>0.25</v>
          </cell>
          <cell r="AE971">
            <v>0.25</v>
          </cell>
          <cell r="AF971">
            <v>0.25</v>
          </cell>
          <cell r="AG971">
            <v>0.25</v>
          </cell>
          <cell r="AH971">
            <v>0.25</v>
          </cell>
          <cell r="AI971">
            <v>0.25</v>
          </cell>
          <cell r="AJ971">
            <v>0.25</v>
          </cell>
          <cell r="AK971">
            <v>0.25</v>
          </cell>
          <cell r="AL971">
            <v>0.25</v>
          </cell>
          <cell r="AM971">
            <v>0.25</v>
          </cell>
          <cell r="AN971">
            <v>0.25</v>
          </cell>
          <cell r="AO971">
            <v>0.25</v>
          </cell>
          <cell r="AP971">
            <v>0.25</v>
          </cell>
          <cell r="AQ971">
            <v>0.25</v>
          </cell>
          <cell r="AR971">
            <v>0.25</v>
          </cell>
          <cell r="AS971">
            <v>0.25</v>
          </cell>
          <cell r="AT971">
            <v>-0.04</v>
          </cell>
          <cell r="AU971">
            <v>0.92</v>
          </cell>
          <cell r="AV971">
            <v>20</v>
          </cell>
          <cell r="AY971" t="str">
            <v/>
          </cell>
          <cell r="AZ971">
            <v>0.25</v>
          </cell>
          <cell r="BA971">
            <v>0.25</v>
          </cell>
        </row>
        <row r="972">
          <cell r="A972" t="str">
            <v>FARDELLI GIULIANO E C. SAS</v>
          </cell>
          <cell r="D972" t="str">
            <v>VIA RONDINERA, 51 A</v>
          </cell>
          <cell r="E972" t="str">
            <v>24060</v>
          </cell>
          <cell r="F972" t="str">
            <v>ROGNO</v>
          </cell>
          <cell r="G972" t="str">
            <v>BG</v>
          </cell>
          <cell r="H972" t="str">
            <v>ITALIA</v>
          </cell>
          <cell r="J972" t="str">
            <v>01314750165</v>
          </cell>
          <cell r="M972" t="str">
            <v>UFFICIO ACQUISTI</v>
          </cell>
          <cell r="N972" t="str">
            <v>035 967967</v>
          </cell>
          <cell r="O972" t="str">
            <v>338 2588038 WALTER</v>
          </cell>
          <cell r="P972" t="str">
            <v>info@fardelligiuliano.it</v>
          </cell>
          <cell r="R972" t="str">
            <v>BONIFICO BANCARIO, ALLA DATA DELLA NOSTRA CONFERMA D'ORDINE</v>
          </cell>
          <cell r="Y972">
            <v>-0.04</v>
          </cell>
          <cell r="AT972">
            <v>-0.04</v>
          </cell>
          <cell r="AV972">
            <v>20</v>
          </cell>
          <cell r="AZ972">
            <v>0</v>
          </cell>
          <cell r="BA972">
            <v>0</v>
          </cell>
        </row>
        <row r="973">
          <cell r="A973" t="str">
            <v>FARI DI VENIER A &amp; C SNC</v>
          </cell>
          <cell r="D973" t="str">
            <v>VIA OSOPPO 4</v>
          </cell>
          <cell r="E973" t="str">
            <v>33039</v>
          </cell>
          <cell r="F973" t="str">
            <v>GRADISCA DI SEDEGLIANO</v>
          </cell>
          <cell r="G973" t="str">
            <v>UD</v>
          </cell>
          <cell r="H973" t="str">
            <v>ITALIA</v>
          </cell>
          <cell r="M973" t="str">
            <v>UFFICIO ACQUISTI</v>
          </cell>
          <cell r="N973" t="str">
            <v>0432 916168</v>
          </cell>
          <cell r="P973" t="str">
            <v>farisnc@farisnc.it</v>
          </cell>
          <cell r="R973" t="str">
            <v>BONIFICO BANCARIO, ALLA DATA DELLA NOSTRA CONFERMA D'ORDINE</v>
          </cell>
          <cell r="X973">
            <v>0.1</v>
          </cell>
          <cell r="Y973">
            <v>-0.04</v>
          </cell>
          <cell r="AB973">
            <v>0.1</v>
          </cell>
          <cell r="AC973">
            <v>0.1</v>
          </cell>
          <cell r="AD973">
            <v>0.1</v>
          </cell>
          <cell r="AE973">
            <v>0.1</v>
          </cell>
          <cell r="AF973">
            <v>0.1</v>
          </cell>
          <cell r="AG973">
            <v>0.1</v>
          </cell>
          <cell r="AH973">
            <v>0.1</v>
          </cell>
          <cell r="AI973">
            <v>0.1</v>
          </cell>
          <cell r="AJ973">
            <v>0.1</v>
          </cell>
          <cell r="AK973">
            <v>0.1</v>
          </cell>
          <cell r="AL973">
            <v>0.1</v>
          </cell>
          <cell r="AM973">
            <v>0.1</v>
          </cell>
          <cell r="AN973">
            <v>0.1</v>
          </cell>
          <cell r="AO973">
            <v>0.1</v>
          </cell>
          <cell r="AP973">
            <v>0.1</v>
          </cell>
          <cell r="AQ973">
            <v>0.1</v>
          </cell>
          <cell r="AR973">
            <v>0.1</v>
          </cell>
          <cell r="AS973">
            <v>0.1</v>
          </cell>
          <cell r="AT973">
            <v>-0.04</v>
          </cell>
          <cell r="AU973">
            <v>0.92</v>
          </cell>
          <cell r="AV973">
            <v>20</v>
          </cell>
          <cell r="AZ973">
            <v>0.1</v>
          </cell>
          <cell r="BA973">
            <v>0.1</v>
          </cell>
        </row>
        <row r="974">
          <cell r="A974" t="str">
            <v xml:space="preserve">FARO INFISSI SRL </v>
          </cell>
          <cell r="B974" t="str">
            <v>PIO ROSCIANI</v>
          </cell>
          <cell r="D974" t="str">
            <v>VIA MAGGINI 55</v>
          </cell>
          <cell r="E974" t="str">
            <v>60127</v>
          </cell>
          <cell r="F974" t="str">
            <v>ANCONA</v>
          </cell>
          <cell r="G974" t="str">
            <v>AN</v>
          </cell>
          <cell r="H974" t="str">
            <v>ITALIA</v>
          </cell>
          <cell r="J974" t="str">
            <v>02503680429</v>
          </cell>
          <cell r="M974" t="str">
            <v>UFFICIO ACQUISTI</v>
          </cell>
          <cell r="N974" t="str">
            <v>071 890645</v>
          </cell>
          <cell r="O974" t="str">
            <v>335 7112572</v>
          </cell>
          <cell r="P974" t="str">
            <v>info@faroinfissi.it</v>
          </cell>
          <cell r="R974" t="str">
            <v>BONIFICO BANCARIO, ALLA DATA DELLA NOSTRA CONFERMA D'ORDINE</v>
          </cell>
          <cell r="X974">
            <v>0.25</v>
          </cell>
          <cell r="Y974">
            <v>-0.04</v>
          </cell>
          <cell r="AB974">
            <v>0.25</v>
          </cell>
          <cell r="AC974">
            <v>0.25</v>
          </cell>
          <cell r="AD974">
            <v>0.25</v>
          </cell>
          <cell r="AE974">
            <v>0.25</v>
          </cell>
          <cell r="AF974">
            <v>0.25</v>
          </cell>
          <cell r="AG974">
            <v>0.25</v>
          </cell>
          <cell r="AH974">
            <v>0.25</v>
          </cell>
          <cell r="AI974">
            <v>0.25</v>
          </cell>
          <cell r="AJ974">
            <v>0.25</v>
          </cell>
          <cell r="AK974">
            <v>0.25</v>
          </cell>
          <cell r="AL974">
            <v>0.25</v>
          </cell>
          <cell r="AM974">
            <v>0.25</v>
          </cell>
          <cell r="AN974">
            <v>0.25</v>
          </cell>
          <cell r="AO974">
            <v>0.25</v>
          </cell>
          <cell r="AP974">
            <v>0.25</v>
          </cell>
          <cell r="AQ974">
            <v>0.25</v>
          </cell>
          <cell r="AR974">
            <v>0.25</v>
          </cell>
          <cell r="AS974">
            <v>0.25</v>
          </cell>
          <cell r="AT974">
            <v>-0.04</v>
          </cell>
          <cell r="AU974">
            <v>0.92</v>
          </cell>
          <cell r="AV974">
            <v>20</v>
          </cell>
          <cell r="AZ974">
            <v>0.25</v>
          </cell>
          <cell r="BA974">
            <v>0.25</v>
          </cell>
        </row>
        <row r="975">
          <cell r="A975" t="str">
            <v>FAS SERRAMENTI</v>
          </cell>
          <cell r="B975" t="str">
            <v>Lorenzo Gregori</v>
          </cell>
          <cell r="D975" t="str">
            <v>VIA SAN LAZZARO, 11</v>
          </cell>
          <cell r="E975">
            <v>19020</v>
          </cell>
          <cell r="F975" t="str">
            <v>BRUGNATO</v>
          </cell>
          <cell r="G975" t="str">
            <v>SP</v>
          </cell>
          <cell r="H975" t="str">
            <v>ITALIA</v>
          </cell>
          <cell r="J975" t="str">
            <v>01457690111</v>
          </cell>
          <cell r="K975" t="str">
            <v>M5UXCR1</v>
          </cell>
          <cell r="M975" t="str">
            <v>UFFICIO ACQUISTI</v>
          </cell>
          <cell r="N975" t="str">
            <v>0187 894261</v>
          </cell>
          <cell r="O975" t="str">
            <v>389 6161119 LORENZO GREGORI</v>
          </cell>
          <cell r="P975" t="str">
            <v>fasbrugnato@gmail.com</v>
          </cell>
          <cell r="R975" t="str">
            <v>BONIFICO BANCARIO, ALLA DATA DELLA NOSTRA CONFERMA D'ORDINE</v>
          </cell>
          <cell r="X975">
            <v>0.25</v>
          </cell>
          <cell r="Y975">
            <v>-0.04</v>
          </cell>
          <cell r="AB975">
            <v>0.25</v>
          </cell>
          <cell r="AC975">
            <v>0.25</v>
          </cell>
          <cell r="AD975">
            <v>0.25</v>
          </cell>
          <cell r="AE975">
            <v>0.25</v>
          </cell>
          <cell r="AF975">
            <v>0.25</v>
          </cell>
          <cell r="AG975">
            <v>0.25</v>
          </cell>
          <cell r="AH975">
            <v>0.25</v>
          </cell>
          <cell r="AI975">
            <v>0.25</v>
          </cell>
          <cell r="AJ975">
            <v>0.25</v>
          </cell>
          <cell r="AK975">
            <v>0.25</v>
          </cell>
          <cell r="AL975">
            <v>0.25</v>
          </cell>
          <cell r="AM975">
            <v>0.25</v>
          </cell>
          <cell r="AN975">
            <v>0.25</v>
          </cell>
          <cell r="AO975">
            <v>0.25</v>
          </cell>
          <cell r="AP975">
            <v>0.25</v>
          </cell>
          <cell r="AQ975">
            <v>0.25</v>
          </cell>
          <cell r="AR975">
            <v>0.25</v>
          </cell>
          <cell r="AS975">
            <v>0.25</v>
          </cell>
          <cell r="AT975">
            <v>-0.04</v>
          </cell>
          <cell r="AU975">
            <v>0.92</v>
          </cell>
          <cell r="AV975">
            <v>20</v>
          </cell>
          <cell r="AY975" t="str">
            <v/>
          </cell>
          <cell r="AZ975">
            <v>0.25</v>
          </cell>
          <cell r="BA975">
            <v>0.25</v>
          </cell>
          <cell r="BF975" t="str">
            <v>CLICK RAPID con carpenteria 07/01/2021</v>
          </cell>
        </row>
        <row r="976">
          <cell r="A976" t="str">
            <v>FASAL SERRAMENTI</v>
          </cell>
          <cell r="D976" t="str">
            <v>VIA DELLE INDUSTRIE 8</v>
          </cell>
          <cell r="E976" t="str">
            <v>30020</v>
          </cell>
          <cell r="F976" t="str">
            <v>ERACLEA</v>
          </cell>
          <cell r="G976" t="str">
            <v>VE</v>
          </cell>
          <cell r="H976" t="str">
            <v>ITALIA</v>
          </cell>
          <cell r="M976" t="str">
            <v>UFFICIO ACQUISTI</v>
          </cell>
          <cell r="N976" t="str">
            <v>0421 234906</v>
          </cell>
          <cell r="P976" t="str">
            <v>info@fasalserramenti.it</v>
          </cell>
          <cell r="R976" t="str">
            <v>BONIFICO BANCARIO, ALLA DATA DELLA NOSTRA CONFERMA D'ORDINE</v>
          </cell>
          <cell r="X976">
            <v>0.25</v>
          </cell>
          <cell r="Y976">
            <v>-0.04</v>
          </cell>
          <cell r="AB976">
            <v>0.25</v>
          </cell>
          <cell r="AC976">
            <v>0.25</v>
          </cell>
          <cell r="AD976">
            <v>0.25</v>
          </cell>
          <cell r="AE976">
            <v>0.25</v>
          </cell>
          <cell r="AF976">
            <v>0.25</v>
          </cell>
          <cell r="AG976">
            <v>0.25</v>
          </cell>
          <cell r="AH976">
            <v>0.25</v>
          </cell>
          <cell r="AI976">
            <v>0.25</v>
          </cell>
          <cell r="AJ976">
            <v>0.25</v>
          </cell>
          <cell r="AK976">
            <v>0.25</v>
          </cell>
          <cell r="AL976">
            <v>0.25</v>
          </cell>
          <cell r="AM976">
            <v>0.25</v>
          </cell>
          <cell r="AN976">
            <v>0.25</v>
          </cell>
          <cell r="AO976">
            <v>0.25</v>
          </cell>
          <cell r="AP976">
            <v>0.25</v>
          </cell>
          <cell r="AQ976">
            <v>0.25</v>
          </cell>
          <cell r="AR976">
            <v>0.25</v>
          </cell>
          <cell r="AS976">
            <v>0.25</v>
          </cell>
          <cell r="AT976">
            <v>-0.04</v>
          </cell>
          <cell r="AU976">
            <v>0.92</v>
          </cell>
          <cell r="AV976">
            <v>20</v>
          </cell>
          <cell r="AY976" t="str">
            <v/>
          </cell>
          <cell r="AZ976">
            <v>0.25</v>
          </cell>
          <cell r="BA976">
            <v>0.25</v>
          </cell>
        </row>
        <row r="977">
          <cell r="A977" t="str">
            <v>FAVARO SRL</v>
          </cell>
          <cell r="B977" t="str">
            <v>12 PERSONE CARPENTERIA IN FERRO LEGGERO E PESANTE, FERRO BATTUTO INFISSI + BASCULANTI ; LAVORANO CON AGENTI IMMOBILIARI E CONDOMINI</v>
          </cell>
          <cell r="D977" t="str">
            <v>VIA DELL'ARTIGIANATO, 201</v>
          </cell>
          <cell r="E977" t="str">
            <v>36012</v>
          </cell>
          <cell r="F977" t="str">
            <v>ASIAGO</v>
          </cell>
          <cell r="G977" t="str">
            <v>VI</v>
          </cell>
          <cell r="H977" t="str">
            <v>ITALIA</v>
          </cell>
          <cell r="J977" t="str">
            <v>03979130246</v>
          </cell>
          <cell r="K977" t="str">
            <v>W7YVJK9</v>
          </cell>
          <cell r="M977" t="str">
            <v>UFFICIO ACQUISTI</v>
          </cell>
          <cell r="N977" t="str">
            <v>0424 460424</v>
          </cell>
          <cell r="O977" t="str">
            <v>351 7836751 SAMUEL FAVARO</v>
          </cell>
          <cell r="P977" t="str">
            <v>produzione.ferro@favarosrl.com</v>
          </cell>
          <cell r="R977" t="str">
            <v>BONIFICO BANCARIO, ALLA DATA DELLA NOSTRA CONFERMA D'ORDINE</v>
          </cell>
          <cell r="X977">
            <v>0.25</v>
          </cell>
          <cell r="Y977">
            <v>-0.04</v>
          </cell>
          <cell r="AB977">
            <v>0.25</v>
          </cell>
          <cell r="AC977">
            <v>0.25</v>
          </cell>
          <cell r="AD977">
            <v>0.25</v>
          </cell>
          <cell r="AE977">
            <v>0.25</v>
          </cell>
          <cell r="AF977">
            <v>0.25</v>
          </cell>
          <cell r="AG977">
            <v>0.25</v>
          </cell>
          <cell r="AH977">
            <v>0.25</v>
          </cell>
          <cell r="AI977">
            <v>0.25</v>
          </cell>
          <cell r="AJ977">
            <v>0.25</v>
          </cell>
          <cell r="AK977">
            <v>0.25</v>
          </cell>
          <cell r="AL977">
            <v>0.25</v>
          </cell>
          <cell r="AM977">
            <v>0.25</v>
          </cell>
          <cell r="AN977">
            <v>0.25</v>
          </cell>
          <cell r="AO977">
            <v>0.25</v>
          </cell>
          <cell r="AP977">
            <v>0.25</v>
          </cell>
          <cell r="AQ977">
            <v>0.25</v>
          </cell>
          <cell r="AR977">
            <v>0.25</v>
          </cell>
          <cell r="AS977">
            <v>0.25</v>
          </cell>
          <cell r="AT977">
            <v>-0.04</v>
          </cell>
          <cell r="AU977">
            <v>0.92</v>
          </cell>
          <cell r="AV977">
            <v>20</v>
          </cell>
          <cell r="AZ977">
            <v>0.25</v>
          </cell>
          <cell r="BA977">
            <v>0.25</v>
          </cell>
        </row>
        <row r="978">
          <cell r="A978" t="str">
            <v>FB DI BIZZARRI FRANCO E MATTEO</v>
          </cell>
          <cell r="B978" t="str">
            <v xml:space="preserve">INTERESSATO RISPONDE </v>
          </cell>
          <cell r="D978" t="str">
            <v>VIA GIORDANO, 5/7</v>
          </cell>
          <cell r="E978" t="str">
            <v>41122</v>
          </cell>
          <cell r="F978" t="str">
            <v>MODENA</v>
          </cell>
          <cell r="G978" t="str">
            <v>MO</v>
          </cell>
          <cell r="H978" t="str">
            <v>ITALIA</v>
          </cell>
          <cell r="J978" t="str">
            <v>02941300366</v>
          </cell>
          <cell r="K978" t="str">
            <v>M5UXCR1</v>
          </cell>
          <cell r="M978" t="str">
            <v>UFFICIO ACQUISTI</v>
          </cell>
          <cell r="N978" t="str">
            <v>059 372982</v>
          </cell>
          <cell r="O978" t="str">
            <v>335 8182728 FRANCO - 3406224163 MATTEO</v>
          </cell>
          <cell r="P978" t="str">
            <v>info@fbdibizzarri.it</v>
          </cell>
          <cell r="R978" t="str">
            <v>BONIFICO BANCARIO, ALLA DATA DELLA NOSTRA CONFERMA D'ORDINE</v>
          </cell>
          <cell r="X978">
            <v>0.25</v>
          </cell>
          <cell r="Y978">
            <v>-0.04</v>
          </cell>
          <cell r="AB978">
            <v>0.25</v>
          </cell>
          <cell r="AC978">
            <v>0.25</v>
          </cell>
          <cell r="AD978">
            <v>0.25</v>
          </cell>
          <cell r="AE978">
            <v>0.25</v>
          </cell>
          <cell r="AF978">
            <v>0.25</v>
          </cell>
          <cell r="AG978">
            <v>0.25</v>
          </cell>
          <cell r="AH978">
            <v>0.25</v>
          </cell>
          <cell r="AI978">
            <v>0.25</v>
          </cell>
          <cell r="AJ978">
            <v>0.25</v>
          </cell>
          <cell r="AK978">
            <v>0.25</v>
          </cell>
          <cell r="AL978">
            <v>0.25</v>
          </cell>
          <cell r="AM978">
            <v>0.25</v>
          </cell>
          <cell r="AN978">
            <v>0.25</v>
          </cell>
          <cell r="AO978">
            <v>0.25</v>
          </cell>
          <cell r="AP978">
            <v>0.25</v>
          </cell>
          <cell r="AQ978">
            <v>0.25</v>
          </cell>
          <cell r="AR978">
            <v>0.25</v>
          </cell>
          <cell r="AS978">
            <v>0.25</v>
          </cell>
          <cell r="AT978">
            <v>-0.04</v>
          </cell>
          <cell r="AU978">
            <v>0.92</v>
          </cell>
          <cell r="AV978">
            <v>20</v>
          </cell>
          <cell r="AY978" t="str">
            <v/>
          </cell>
          <cell r="AZ978">
            <v>0.25</v>
          </cell>
          <cell r="BA978">
            <v>0.25</v>
          </cell>
          <cell r="BF978" t="str">
            <v>CLICK RAPID con carpenteria 01/02/2021</v>
          </cell>
        </row>
        <row r="979">
          <cell r="A979" t="str">
            <v>FB DI FABRIZIO BOE</v>
          </cell>
          <cell r="B979" t="str">
            <v>SOLO BIGLIETTO DA VISITA</v>
          </cell>
          <cell r="D979" t="str">
            <v>VIA E.LUSSU, 2</v>
          </cell>
          <cell r="E979" t="str">
            <v>08025</v>
          </cell>
          <cell r="F979" t="str">
            <v>OLIENA</v>
          </cell>
          <cell r="G979" t="str">
            <v>NU</v>
          </cell>
          <cell r="H979" t="str">
            <v>ITALIA</v>
          </cell>
          <cell r="J979" t="str">
            <v>01166010913</v>
          </cell>
          <cell r="M979" t="str">
            <v>UFFICIO ACQUISTI</v>
          </cell>
          <cell r="N979" t="str">
            <v>0784 286048</v>
          </cell>
          <cell r="O979" t="str">
            <v>347 6185714</v>
          </cell>
          <cell r="P979" t="str">
            <v>boefabrizio@tiscali.it</v>
          </cell>
          <cell r="R979" t="str">
            <v>BONIFICO BANCARIO, ALLA DATA DELLA NOSTRA CONFERMA D'ORDINE</v>
          </cell>
          <cell r="X979">
            <v>0.25</v>
          </cell>
          <cell r="Y979">
            <v>-0.04</v>
          </cell>
          <cell r="AB979">
            <v>0.25</v>
          </cell>
          <cell r="AC979">
            <v>0.25</v>
          </cell>
          <cell r="AD979">
            <v>0.25</v>
          </cell>
          <cell r="AE979">
            <v>0.25</v>
          </cell>
          <cell r="AF979">
            <v>0.25</v>
          </cell>
          <cell r="AG979">
            <v>0.25</v>
          </cell>
          <cell r="AH979">
            <v>0.25</v>
          </cell>
          <cell r="AI979">
            <v>0.25</v>
          </cell>
          <cell r="AJ979">
            <v>0.25</v>
          </cell>
          <cell r="AK979">
            <v>0.25</v>
          </cell>
          <cell r="AL979">
            <v>0.25</v>
          </cell>
          <cell r="AM979">
            <v>0.25</v>
          </cell>
          <cell r="AN979">
            <v>0.25</v>
          </cell>
          <cell r="AO979">
            <v>0.25</v>
          </cell>
          <cell r="AP979">
            <v>0.25</v>
          </cell>
          <cell r="AQ979">
            <v>0.25</v>
          </cell>
          <cell r="AR979">
            <v>0.25</v>
          </cell>
          <cell r="AS979">
            <v>0.25</v>
          </cell>
          <cell r="AT979">
            <v>-0.04</v>
          </cell>
          <cell r="AU979">
            <v>0.92</v>
          </cell>
          <cell r="AV979">
            <v>20</v>
          </cell>
          <cell r="AZ979">
            <v>0.25</v>
          </cell>
          <cell r="BA979">
            <v>0.25</v>
          </cell>
        </row>
        <row r="980">
          <cell r="A980" t="str">
            <v>FB INFISSI DI BRANDO FRANCESCO</v>
          </cell>
          <cell r="D980" t="str">
            <v>VIA SAVUTANO</v>
          </cell>
          <cell r="E980">
            <v>88046</v>
          </cell>
          <cell r="F980" t="str">
            <v>LAMEZIA TERME</v>
          </cell>
          <cell r="G980" t="str">
            <v>CZ</v>
          </cell>
          <cell r="H980" t="str">
            <v>ITALIA</v>
          </cell>
          <cell r="I980" t="str">
            <v>BRNFNC81M02M208N</v>
          </cell>
          <cell r="J980" t="str">
            <v>02976370797</v>
          </cell>
          <cell r="K980" t="str">
            <v>5RUO82D</v>
          </cell>
          <cell r="M980" t="str">
            <v>UFFICIO ACQUISTI</v>
          </cell>
          <cell r="N980" t="str">
            <v>0968 407962</v>
          </cell>
          <cell r="O980" t="str">
            <v>328 9233251</v>
          </cell>
          <cell r="P980" t="str">
            <v>info@fbinfissi.com</v>
          </cell>
          <cell r="R980" t="str">
            <v>BONIFICO BANCARIO, ALLA DATA DELLA NOSTRA CONFERMA D'ORDINE</v>
          </cell>
          <cell r="X980">
            <v>0.25</v>
          </cell>
          <cell r="Y980">
            <v>-0.04</v>
          </cell>
          <cell r="AB980">
            <v>0.25</v>
          </cell>
          <cell r="AC980">
            <v>0.25</v>
          </cell>
          <cell r="AD980">
            <v>0.25</v>
          </cell>
          <cell r="AE980">
            <v>0.25</v>
          </cell>
          <cell r="AF980">
            <v>0.25</v>
          </cell>
          <cell r="AG980">
            <v>0.25</v>
          </cell>
          <cell r="AH980">
            <v>0.25</v>
          </cell>
          <cell r="AI980">
            <v>0.25</v>
          </cell>
          <cell r="AJ980">
            <v>0.25</v>
          </cell>
          <cell r="AK980">
            <v>0.25</v>
          </cell>
          <cell r="AL980">
            <v>0.25</v>
          </cell>
          <cell r="AM980">
            <v>0.25</v>
          </cell>
          <cell r="AN980">
            <v>0.25</v>
          </cell>
          <cell r="AO980">
            <v>0.25</v>
          </cell>
          <cell r="AP980">
            <v>0.25</v>
          </cell>
          <cell r="AQ980">
            <v>0.25</v>
          </cell>
          <cell r="AR980">
            <v>0.25</v>
          </cell>
          <cell r="AS980">
            <v>0.25</v>
          </cell>
          <cell r="AT980">
            <v>-0.04</v>
          </cell>
          <cell r="AU980">
            <v>0.92</v>
          </cell>
          <cell r="AV980">
            <v>20</v>
          </cell>
          <cell r="AW980" t="str">
            <v>PIETRO OLIVADOTI</v>
          </cell>
          <cell r="AX980">
            <v>0.95</v>
          </cell>
          <cell r="AY980" t="str">
            <v/>
          </cell>
          <cell r="AZ980">
            <v>0.25</v>
          </cell>
          <cell r="BA980">
            <v>0.25</v>
          </cell>
        </row>
        <row r="981">
          <cell r="A981" t="str">
            <v>FB INFISSI SRL</v>
          </cell>
          <cell r="B981" t="str">
            <v>17/03/23 VISITATO DA RIZZOLI. DICE CHE CREDE MOLTO NEL PRODOTTO MA NON RIESCE A VENDERLO. FARLO CHIAMARE DA MARCO</v>
          </cell>
          <cell r="D981" t="str">
            <v>VIA G GARIBALDI 136/F</v>
          </cell>
          <cell r="E981" t="str">
            <v>44020</v>
          </cell>
          <cell r="F981" t="str">
            <v>OSTELLATO</v>
          </cell>
          <cell r="G981" t="str">
            <v>FE</v>
          </cell>
          <cell r="H981" t="str">
            <v>ITALIA</v>
          </cell>
          <cell r="J981" t="str">
            <v>01384280382</v>
          </cell>
          <cell r="K981" t="str">
            <v>J6URRTW</v>
          </cell>
          <cell r="M981" t="str">
            <v>UFFICIO ACQUISTI</v>
          </cell>
          <cell r="N981" t="str">
            <v>0533 680937</v>
          </cell>
          <cell r="P981" t="str">
            <v>info@fbinfissi.it</v>
          </cell>
          <cell r="R981" t="str">
            <v>BONIFICO BANCARIO, ALLA DATA DELLA NOSTRA CONFERMA D'ORDINE</v>
          </cell>
          <cell r="X981">
            <v>0.25</v>
          </cell>
          <cell r="Y981">
            <v>-0.04</v>
          </cell>
          <cell r="AB981">
            <v>0.25</v>
          </cell>
          <cell r="AC981">
            <v>0.25</v>
          </cell>
          <cell r="AD981">
            <v>0.25</v>
          </cell>
          <cell r="AE981">
            <v>0.25</v>
          </cell>
          <cell r="AF981">
            <v>0.25</v>
          </cell>
          <cell r="AG981">
            <v>0.25</v>
          </cell>
          <cell r="AH981">
            <v>0.25</v>
          </cell>
          <cell r="AI981">
            <v>0.25</v>
          </cell>
          <cell r="AJ981">
            <v>0.25</v>
          </cell>
          <cell r="AK981">
            <v>0.25</v>
          </cell>
          <cell r="AL981">
            <v>0.25</v>
          </cell>
          <cell r="AM981">
            <v>0.25</v>
          </cell>
          <cell r="AN981">
            <v>0.25</v>
          </cell>
          <cell r="AO981">
            <v>0.25</v>
          </cell>
          <cell r="AP981">
            <v>0.25</v>
          </cell>
          <cell r="AQ981">
            <v>0.25</v>
          </cell>
          <cell r="AR981">
            <v>0.25</v>
          </cell>
          <cell r="AS981">
            <v>0.25</v>
          </cell>
          <cell r="AT981">
            <v>-0.04</v>
          </cell>
          <cell r="AU981">
            <v>0.92</v>
          </cell>
          <cell r="AV981">
            <v>20</v>
          </cell>
          <cell r="AY981" t="str">
            <v>CONTRASSEGNO corriere espresso GLS 3% (minimo 3 euro)</v>
          </cell>
          <cell r="AZ981">
            <v>0.25</v>
          </cell>
          <cell r="BA981">
            <v>0.25</v>
          </cell>
          <cell r="BF981" t="str">
            <v>CLICK RAPID con carpenteria 01/01/2021</v>
          </cell>
        </row>
        <row r="982">
          <cell r="A982" t="str">
            <v>FBM SRL</v>
          </cell>
          <cell r="B982" t="str">
            <v>N.B. EX FURLAN S.A.S. DI FURLAN DARIO AP 30/03/2022 - LETTERA USO IMMAGINE E MARCHIO + FILMATO    CAMPIONE 30 % CARPENTERIA GRATUITA     NOME SIGNORA</v>
          </cell>
          <cell r="D982" t="str">
            <v>VIA MAROSTICANA, 129</v>
          </cell>
          <cell r="E982">
            <v>36031</v>
          </cell>
          <cell r="F982" t="str">
            <v>DUEVILLE</v>
          </cell>
          <cell r="G982" t="str">
            <v>VI</v>
          </cell>
          <cell r="H982" t="str">
            <v>ITALIA</v>
          </cell>
          <cell r="J982" t="str">
            <v>03395290244</v>
          </cell>
          <cell r="K982" t="str">
            <v>SUBM70N</v>
          </cell>
          <cell r="M982" t="str">
            <v>UFFICIO ACQUISTI</v>
          </cell>
          <cell r="N982" t="str">
            <v>0444 504985</v>
          </cell>
          <cell r="O982" t="str">
            <v>324 6222491</v>
          </cell>
          <cell r="P982" t="str">
            <v>dario.furlan@fbmanufacturing.it</v>
          </cell>
          <cell r="R982" t="str">
            <v>BONIFICO BANCARIO, ALLA DATA DELLA NOSTRA CONFERMA D'ORDINE</v>
          </cell>
          <cell r="X982">
            <v>0.25</v>
          </cell>
          <cell r="Y982">
            <v>-0.04</v>
          </cell>
          <cell r="AB982">
            <v>0.25</v>
          </cell>
          <cell r="AC982">
            <v>0.25</v>
          </cell>
          <cell r="AD982">
            <v>0.25</v>
          </cell>
          <cell r="AE982">
            <v>0.25</v>
          </cell>
          <cell r="AF982">
            <v>0.25</v>
          </cell>
          <cell r="AG982">
            <v>0.25</v>
          </cell>
          <cell r="AH982">
            <v>0.25</v>
          </cell>
          <cell r="AI982">
            <v>0.25</v>
          </cell>
          <cell r="AJ982">
            <v>0.25</v>
          </cell>
          <cell r="AK982">
            <v>0.25</v>
          </cell>
          <cell r="AL982">
            <v>0.25</v>
          </cell>
          <cell r="AM982">
            <v>0.25</v>
          </cell>
          <cell r="AN982">
            <v>0.25</v>
          </cell>
          <cell r="AO982">
            <v>0.25</v>
          </cell>
          <cell r="AP982">
            <v>0.25</v>
          </cell>
          <cell r="AQ982">
            <v>0.25</v>
          </cell>
          <cell r="AR982">
            <v>0.25</v>
          </cell>
          <cell r="AS982">
            <v>0.25</v>
          </cell>
          <cell r="AT982">
            <v>-0.04</v>
          </cell>
          <cell r="AU982">
            <v>0.92</v>
          </cell>
          <cell r="AV982">
            <v>20</v>
          </cell>
          <cell r="AY982" t="str">
            <v/>
          </cell>
          <cell r="AZ982">
            <v>0.25</v>
          </cell>
          <cell r="BA982">
            <v>0.25</v>
          </cell>
          <cell r="BF982" t="str">
            <v>CLICK RAPID con carpenteria 24/09/2020</v>
          </cell>
        </row>
        <row r="983">
          <cell r="A983" t="str">
            <v>FEDELI S.R.L.</v>
          </cell>
          <cell r="B983" t="str">
            <v>VERIFICA PER SECONDO CAMPIONE      BUONO</v>
          </cell>
          <cell r="D983" t="str">
            <v xml:space="preserve">VIALE A. MORO, 1 </v>
          </cell>
          <cell r="E983">
            <v>26845</v>
          </cell>
          <cell r="F983" t="str">
            <v>CODOGNO</v>
          </cell>
          <cell r="G983" t="str">
            <v>LO</v>
          </cell>
          <cell r="H983" t="str">
            <v>ITALIA</v>
          </cell>
          <cell r="J983" t="str">
            <v>12156940152</v>
          </cell>
          <cell r="K983" t="str">
            <v>J6URRTW</v>
          </cell>
          <cell r="L983" t="str">
            <v>IDEM</v>
          </cell>
          <cell r="M983" t="str">
            <v>UFFICIO ACQUISTI</v>
          </cell>
          <cell r="N983" t="str">
            <v>0377 437031</v>
          </cell>
          <cell r="P983" t="str">
            <v>ivanfed21@virgilio.it</v>
          </cell>
          <cell r="R983" t="str">
            <v>BONIFICO BANCARIO, ALLA DATA DELLA NOSTRA CONFERMA D'ORDINE</v>
          </cell>
          <cell r="X983">
            <v>0.25</v>
          </cell>
          <cell r="Y983">
            <v>-0.04</v>
          </cell>
          <cell r="AB983">
            <v>0.25</v>
          </cell>
          <cell r="AC983">
            <v>0.25</v>
          </cell>
          <cell r="AD983">
            <v>0.25</v>
          </cell>
          <cell r="AE983">
            <v>0.25</v>
          </cell>
          <cell r="AF983">
            <v>0.25</v>
          </cell>
          <cell r="AG983">
            <v>0.25</v>
          </cell>
          <cell r="AH983">
            <v>0.25</v>
          </cell>
          <cell r="AI983">
            <v>0.25</v>
          </cell>
          <cell r="AJ983">
            <v>0.25</v>
          </cell>
          <cell r="AK983">
            <v>0.25</v>
          </cell>
          <cell r="AL983">
            <v>0.25</v>
          </cell>
          <cell r="AM983">
            <v>0.25</v>
          </cell>
          <cell r="AN983">
            <v>0.25</v>
          </cell>
          <cell r="AO983">
            <v>0.25</v>
          </cell>
          <cell r="AP983">
            <v>0.25</v>
          </cell>
          <cell r="AQ983">
            <v>0.25</v>
          </cell>
          <cell r="AR983">
            <v>0.25</v>
          </cell>
          <cell r="AS983">
            <v>0.25</v>
          </cell>
          <cell r="AT983">
            <v>-0.04</v>
          </cell>
          <cell r="AU983">
            <v>0.92</v>
          </cell>
          <cell r="AV983">
            <v>20</v>
          </cell>
          <cell r="AY983" t="str">
            <v/>
          </cell>
          <cell r="AZ983">
            <v>0.25</v>
          </cell>
          <cell r="BA983">
            <v>0.25</v>
          </cell>
          <cell r="BF983" t="str">
            <v>CLICK RAPID con carpenteria 24/09/2020</v>
          </cell>
        </row>
        <row r="984">
          <cell r="A984" t="str">
            <v>FELICI E MARINI DI FELICI CARLO</v>
          </cell>
          <cell r="B984" t="str">
            <v>FABBRO</v>
          </cell>
          <cell r="D984" t="str">
            <v>VIA NORVEGIA, 35</v>
          </cell>
          <cell r="F984" t="str">
            <v>SAN GIACOMO - SPOLETO</v>
          </cell>
          <cell r="G984" t="str">
            <v>PG</v>
          </cell>
          <cell r="H984" t="str">
            <v>ITALIA</v>
          </cell>
          <cell r="M984" t="str">
            <v>UFFICIO ACQUISTI</v>
          </cell>
          <cell r="N984" t="str">
            <v>0743 520181</v>
          </cell>
          <cell r="R984" t="str">
            <v>BONIFICO BANCARIO, ALLA DATA DELLA NOSTRA CONFERMA D'ORDINE</v>
          </cell>
          <cell r="Y984">
            <v>-0.04</v>
          </cell>
          <cell r="AT984">
            <v>-0.04</v>
          </cell>
          <cell r="AV984">
            <v>20</v>
          </cell>
          <cell r="AZ984">
            <v>0</v>
          </cell>
          <cell r="BA984">
            <v>0</v>
          </cell>
        </row>
        <row r="985">
          <cell r="A985" t="str">
            <v>FEMA SNC</v>
          </cell>
          <cell r="D985" t="str">
            <v>VIA GALILEO GALILEI, 36</v>
          </cell>
          <cell r="E985" t="str">
            <v>60012</v>
          </cell>
          <cell r="F985" t="str">
            <v>TRECASTELLI</v>
          </cell>
          <cell r="G985" t="str">
            <v>AN</v>
          </cell>
          <cell r="H985" t="str">
            <v>ITALIA</v>
          </cell>
          <cell r="M985" t="str">
            <v>UFFICIO ACQUISTI</v>
          </cell>
          <cell r="N985" t="str">
            <v>071 7958467</v>
          </cell>
          <cell r="P985" t="str">
            <v>femasnc21@libero.it</v>
          </cell>
          <cell r="R985" t="str">
            <v>BONIFICO BANCARIO, ALLA DATA DELLA NOSTRA CONFERMA D'ORDINE</v>
          </cell>
          <cell r="X985">
            <v>0.25</v>
          </cell>
          <cell r="Y985">
            <v>-0.04</v>
          </cell>
          <cell r="AB985">
            <v>0.25</v>
          </cell>
          <cell r="AC985">
            <v>0.25</v>
          </cell>
          <cell r="AD985">
            <v>0.25</v>
          </cell>
          <cell r="AE985">
            <v>0.25</v>
          </cell>
          <cell r="AF985">
            <v>0.25</v>
          </cell>
          <cell r="AG985">
            <v>0.25</v>
          </cell>
          <cell r="AH985">
            <v>0.25</v>
          </cell>
          <cell r="AI985">
            <v>0.25</v>
          </cell>
          <cell r="AJ985">
            <v>0.25</v>
          </cell>
          <cell r="AK985">
            <v>0.25</v>
          </cell>
          <cell r="AL985">
            <v>0.25</v>
          </cell>
          <cell r="AM985">
            <v>0.25</v>
          </cell>
          <cell r="AN985">
            <v>0.25</v>
          </cell>
          <cell r="AO985">
            <v>0.25</v>
          </cell>
          <cell r="AP985">
            <v>0.25</v>
          </cell>
          <cell r="AQ985">
            <v>0.25</v>
          </cell>
          <cell r="AR985">
            <v>0.25</v>
          </cell>
          <cell r="AS985">
            <v>0.25</v>
          </cell>
          <cell r="AT985">
            <v>-0.04</v>
          </cell>
          <cell r="AU985">
            <v>0.88</v>
          </cell>
          <cell r="AV985">
            <v>20</v>
          </cell>
          <cell r="AZ985">
            <v>0.25</v>
          </cell>
          <cell r="BA985">
            <v>0.25</v>
          </cell>
        </row>
        <row r="986">
          <cell r="A986" t="str">
            <v>FEMAP SRL</v>
          </cell>
          <cell r="D986" t="str">
            <v>VIA DEGLI ARGONAUTI, 5 TANAUNELLA</v>
          </cell>
          <cell r="E986" t="str">
            <v>08020</v>
          </cell>
          <cell r="F986" t="str">
            <v>BUDONI</v>
          </cell>
          <cell r="G986" t="str">
            <v>SS</v>
          </cell>
          <cell r="H986" t="str">
            <v>ITALIA</v>
          </cell>
          <cell r="J986" t="str">
            <v>01397920917</v>
          </cell>
          <cell r="M986" t="str">
            <v>UFFICIO ACQUISTI</v>
          </cell>
          <cell r="N986" t="str">
            <v>0784 837414</v>
          </cell>
          <cell r="O986" t="str">
            <v>338 6865048</v>
          </cell>
          <cell r="P986" t="str">
            <v>emanuele@femapcasa.it</v>
          </cell>
          <cell r="R986" t="str">
            <v>BONIFICO BANCARIO, ALLA DATA DELLA NOSTRA CONFERMA D'ORDINE</v>
          </cell>
          <cell r="X986">
            <v>0.2</v>
          </cell>
          <cell r="Y986">
            <v>-0.04</v>
          </cell>
          <cell r="AB986">
            <v>0.2</v>
          </cell>
          <cell r="AC986">
            <v>0.2</v>
          </cell>
          <cell r="AD986">
            <v>0.2</v>
          </cell>
          <cell r="AE986">
            <v>0.2</v>
          </cell>
          <cell r="AF986">
            <v>0.2</v>
          </cell>
          <cell r="AG986">
            <v>0.2</v>
          </cell>
          <cell r="AH986">
            <v>0.2</v>
          </cell>
          <cell r="AI986">
            <v>0.2</v>
          </cell>
          <cell r="AJ986">
            <v>0.2</v>
          </cell>
          <cell r="AK986">
            <v>0.2</v>
          </cell>
          <cell r="AL986">
            <v>0.2</v>
          </cell>
          <cell r="AM986">
            <v>0.2</v>
          </cell>
          <cell r="AN986">
            <v>0.2</v>
          </cell>
          <cell r="AO986">
            <v>0.2</v>
          </cell>
          <cell r="AP986">
            <v>0.2</v>
          </cell>
          <cell r="AQ986">
            <v>0.2</v>
          </cell>
          <cell r="AR986">
            <v>0.2</v>
          </cell>
          <cell r="AS986">
            <v>0.2</v>
          </cell>
          <cell r="AT986">
            <v>-0.04</v>
          </cell>
          <cell r="AU986">
            <v>0.92</v>
          </cell>
          <cell r="AV986">
            <v>20</v>
          </cell>
          <cell r="AZ986">
            <v>0.2</v>
          </cell>
          <cell r="BA986">
            <v>0.2</v>
          </cell>
        </row>
        <row r="987">
          <cell r="A987" t="str">
            <v>FENICE FERRAMENTA SRL</v>
          </cell>
          <cell r="D987" t="str">
            <v>VIA F. SANTOCCHIA, 63</v>
          </cell>
          <cell r="E987" t="str">
            <v>06034</v>
          </cell>
          <cell r="F987" t="str">
            <v>SAN ERACLIO - FOLIGNO</v>
          </cell>
          <cell r="G987" t="str">
            <v>PG</v>
          </cell>
          <cell r="H987" t="str">
            <v>ITALIA</v>
          </cell>
          <cell r="J987" t="str">
            <v>02326280548</v>
          </cell>
          <cell r="M987" t="str">
            <v>UFFICIO ACQUISTI</v>
          </cell>
          <cell r="N987" t="str">
            <v>0742 391096</v>
          </cell>
          <cell r="P987" t="str">
            <v>feniceferramenta@gmail.com</v>
          </cell>
          <cell r="R987" t="str">
            <v>BONIFICO BANCARIO, ALLA DATA DELLA NOSTRA CONFERMA D'ORDINE</v>
          </cell>
          <cell r="Y987">
            <v>-0.04</v>
          </cell>
          <cell r="AT987">
            <v>-0.04</v>
          </cell>
          <cell r="AV987">
            <v>20</v>
          </cell>
          <cell r="AZ987">
            <v>0</v>
          </cell>
          <cell r="BA987">
            <v>0</v>
          </cell>
        </row>
        <row r="988">
          <cell r="A988" t="str">
            <v>FENIX SRL</v>
          </cell>
          <cell r="D988" t="str">
            <v>VIA MONTE BIANCO 4</v>
          </cell>
          <cell r="E988" t="str">
            <v>31040</v>
          </cell>
          <cell r="F988" t="str">
            <v>TREVIGNANO</v>
          </cell>
          <cell r="G988" t="str">
            <v>TV</v>
          </cell>
          <cell r="H988" t="str">
            <v>ITALIA</v>
          </cell>
          <cell r="J988" t="str">
            <v>03906610260</v>
          </cell>
          <cell r="M988" t="str">
            <v>UFFICIO ACQUISTI</v>
          </cell>
          <cell r="N988" t="str">
            <v>0423 819682</v>
          </cell>
          <cell r="O988" t="str">
            <v>328 3855553</v>
          </cell>
          <cell r="P988" t="str">
            <v>commerciale@fenixserramenti.it</v>
          </cell>
          <cell r="R988" t="str">
            <v>BONIFICO BANCARIO, ALLA DATA DELLA NOSTRA CONFERMA D'ORDINE</v>
          </cell>
          <cell r="X988">
            <v>0.25</v>
          </cell>
          <cell r="Y988">
            <v>-0.04</v>
          </cell>
          <cell r="AB988">
            <v>0.25</v>
          </cell>
          <cell r="AC988">
            <v>0.25</v>
          </cell>
          <cell r="AD988">
            <v>0.25</v>
          </cell>
          <cell r="AE988">
            <v>0.25</v>
          </cell>
          <cell r="AF988">
            <v>0.25</v>
          </cell>
          <cell r="AG988">
            <v>0.25</v>
          </cell>
          <cell r="AH988">
            <v>0.25</v>
          </cell>
          <cell r="AI988">
            <v>0.25</v>
          </cell>
          <cell r="AJ988">
            <v>0.25</v>
          </cell>
          <cell r="AK988">
            <v>0.25</v>
          </cell>
          <cell r="AL988">
            <v>0.25</v>
          </cell>
          <cell r="AM988">
            <v>0.25</v>
          </cell>
          <cell r="AN988">
            <v>0.25</v>
          </cell>
          <cell r="AO988">
            <v>0.25</v>
          </cell>
          <cell r="AP988">
            <v>0.25</v>
          </cell>
          <cell r="AQ988">
            <v>0.25</v>
          </cell>
          <cell r="AR988">
            <v>0.25</v>
          </cell>
          <cell r="AS988">
            <v>0.25</v>
          </cell>
          <cell r="AT988">
            <v>-0.04</v>
          </cell>
          <cell r="AU988">
            <v>0.92</v>
          </cell>
          <cell r="AV988">
            <v>20</v>
          </cell>
          <cell r="AZ988">
            <v>0.25</v>
          </cell>
          <cell r="BA988">
            <v>0.25</v>
          </cell>
        </row>
        <row r="989">
          <cell r="A989" t="str">
            <v>FER GAMMA SPA</v>
          </cell>
          <cell r="D989" t="str">
            <v>VIA DELLA COSTITUZIONE</v>
          </cell>
          <cell r="E989">
            <v>46010</v>
          </cell>
          <cell r="F989" t="str">
            <v>LEVATA DI CURTATONE</v>
          </cell>
          <cell r="G989" t="str">
            <v>MN</v>
          </cell>
          <cell r="H989" t="str">
            <v>ITALIA</v>
          </cell>
          <cell r="J989" t="str">
            <v>01378120206</v>
          </cell>
          <cell r="M989" t="str">
            <v>UFFICIO ACQUISTI</v>
          </cell>
          <cell r="N989" t="str">
            <v>0376 478671</v>
          </cell>
          <cell r="P989" t="str">
            <v>v.gualdi@fergamma.it</v>
          </cell>
          <cell r="R989" t="str">
            <v>BONIFICO BANCARIO, ALLA DATA DELLA NOSTRA CONFERMA D'ORDINE</v>
          </cell>
          <cell r="X989">
            <v>0.25</v>
          </cell>
          <cell r="Y989">
            <v>-0.04</v>
          </cell>
          <cell r="AB989">
            <v>0.25</v>
          </cell>
          <cell r="AC989">
            <v>0.25</v>
          </cell>
          <cell r="AD989">
            <v>0.25</v>
          </cell>
          <cell r="AE989">
            <v>0.25</v>
          </cell>
          <cell r="AF989">
            <v>0.25</v>
          </cell>
          <cell r="AG989">
            <v>0.25</v>
          </cell>
          <cell r="AH989">
            <v>0.25</v>
          </cell>
          <cell r="AI989">
            <v>0.25</v>
          </cell>
          <cell r="AJ989">
            <v>0.25</v>
          </cell>
          <cell r="AK989">
            <v>0.25</v>
          </cell>
          <cell r="AL989">
            <v>0.25</v>
          </cell>
          <cell r="AM989">
            <v>0.25</v>
          </cell>
          <cell r="AN989">
            <v>0.25</v>
          </cell>
          <cell r="AO989">
            <v>0.25</v>
          </cell>
          <cell r="AP989">
            <v>0.25</v>
          </cell>
          <cell r="AQ989">
            <v>0.25</v>
          </cell>
          <cell r="AR989">
            <v>0.25</v>
          </cell>
          <cell r="AS989">
            <v>0.25</v>
          </cell>
          <cell r="AT989">
            <v>-0.04</v>
          </cell>
          <cell r="AU989">
            <v>0.92</v>
          </cell>
          <cell r="AV989">
            <v>20</v>
          </cell>
          <cell r="AY989" t="str">
            <v/>
          </cell>
          <cell r="AZ989">
            <v>0.25</v>
          </cell>
          <cell r="BA989">
            <v>0.25</v>
          </cell>
        </row>
        <row r="990">
          <cell r="A990" t="str">
            <v>FER.LAB</v>
          </cell>
          <cell r="D990" t="str">
            <v>VIA RISORGIMENTO, 146</v>
          </cell>
          <cell r="E990">
            <v>88021</v>
          </cell>
          <cell r="F990" t="str">
            <v>ROCCELLETTA DI BORGIA</v>
          </cell>
          <cell r="G990" t="str">
            <v>CZ</v>
          </cell>
          <cell r="H990" t="str">
            <v>ITALIA</v>
          </cell>
          <cell r="M990" t="str">
            <v>UFFICIO ACQUISTI</v>
          </cell>
          <cell r="N990" t="str">
            <v>0961 391391</v>
          </cell>
          <cell r="O990" t="str">
            <v>327 1259360 - 339 2141508</v>
          </cell>
          <cell r="P990" t="str">
            <v>preventivi@ferlab.it</v>
          </cell>
          <cell r="R990" t="str">
            <v>BONIFICO BANCARIO, ALLA DATA DELLA NOSTRA CONFERMA D'ORDINE</v>
          </cell>
          <cell r="X990">
            <v>0.25</v>
          </cell>
          <cell r="Y990">
            <v>-0.04</v>
          </cell>
          <cell r="AB990">
            <v>0.25</v>
          </cell>
          <cell r="AC990">
            <v>0.25</v>
          </cell>
          <cell r="AD990">
            <v>0.25</v>
          </cell>
          <cell r="AE990">
            <v>0.25</v>
          </cell>
          <cell r="AF990">
            <v>0.25</v>
          </cell>
          <cell r="AG990">
            <v>0.25</v>
          </cell>
          <cell r="AH990">
            <v>0.25</v>
          </cell>
          <cell r="AI990">
            <v>0.25</v>
          </cell>
          <cell r="AJ990">
            <v>0.25</v>
          </cell>
          <cell r="AK990">
            <v>0.25</v>
          </cell>
          <cell r="AL990">
            <v>0.25</v>
          </cell>
          <cell r="AM990">
            <v>0.25</v>
          </cell>
          <cell r="AN990">
            <v>0.25</v>
          </cell>
          <cell r="AO990">
            <v>0.25</v>
          </cell>
          <cell r="AP990">
            <v>0.25</v>
          </cell>
          <cell r="AQ990">
            <v>0.25</v>
          </cell>
          <cell r="AR990">
            <v>0.25</v>
          </cell>
          <cell r="AS990">
            <v>0.25</v>
          </cell>
          <cell r="AT990">
            <v>-0.04</v>
          </cell>
          <cell r="AU990">
            <v>0.92</v>
          </cell>
          <cell r="AV990">
            <v>20</v>
          </cell>
          <cell r="AW990" t="str">
            <v>PIETRO OLIVADOTI</v>
          </cell>
          <cell r="AX990">
            <v>0.95</v>
          </cell>
          <cell r="AY990" t="str">
            <v/>
          </cell>
          <cell r="AZ990">
            <v>0.25</v>
          </cell>
          <cell r="BA990">
            <v>0.25</v>
          </cell>
        </row>
        <row r="991">
          <cell r="A991" t="str">
            <v>FER-AL DI FORCONI L. E DI PROFIO M. SNC</v>
          </cell>
          <cell r="D991" t="str">
            <v>VIA BRONZINO 24/G ROSSO</v>
          </cell>
          <cell r="E991" t="str">
            <v>50142</v>
          </cell>
          <cell r="F991" t="str">
            <v>FIRENZE</v>
          </cell>
          <cell r="G991" t="str">
            <v>FI</v>
          </cell>
          <cell r="H991" t="str">
            <v>ITALIA</v>
          </cell>
          <cell r="J991" t="str">
            <v>03667190486</v>
          </cell>
          <cell r="K991" t="str">
            <v>UE2LXTM</v>
          </cell>
          <cell r="M991" t="str">
            <v>UFFICIO ACQUISTI</v>
          </cell>
          <cell r="N991" t="str">
            <v>055 7398703</v>
          </cell>
          <cell r="P991" t="str">
            <v>fer-al@libero.it</v>
          </cell>
          <cell r="R991" t="str">
            <v>BONIFICO BANCARIO, ALLA DATA DELLA NOSTRA CONFERMA D'ORDINE</v>
          </cell>
          <cell r="X991">
            <v>0.25</v>
          </cell>
          <cell r="Y991">
            <v>-0.04</v>
          </cell>
          <cell r="AB991">
            <v>0.25</v>
          </cell>
          <cell r="AC991">
            <v>0.25</v>
          </cell>
          <cell r="AD991">
            <v>0.25</v>
          </cell>
          <cell r="AE991">
            <v>0.25</v>
          </cell>
          <cell r="AF991">
            <v>0.25</v>
          </cell>
          <cell r="AG991">
            <v>0.25</v>
          </cell>
          <cell r="AH991">
            <v>0.25</v>
          </cell>
          <cell r="AI991">
            <v>0.25</v>
          </cell>
          <cell r="AJ991">
            <v>0.25</v>
          </cell>
          <cell r="AK991">
            <v>0.25</v>
          </cell>
          <cell r="AL991">
            <v>0.25</v>
          </cell>
          <cell r="AM991">
            <v>0.25</v>
          </cell>
          <cell r="AN991">
            <v>0.25</v>
          </cell>
          <cell r="AO991">
            <v>0.25</v>
          </cell>
          <cell r="AP991">
            <v>0.25</v>
          </cell>
          <cell r="AQ991">
            <v>0.25</v>
          </cell>
          <cell r="AR991">
            <v>0.25</v>
          </cell>
          <cell r="AS991">
            <v>0.25</v>
          </cell>
          <cell r="AT991">
            <v>-0.04</v>
          </cell>
          <cell r="AU991">
            <v>0.92</v>
          </cell>
          <cell r="AV991">
            <v>20</v>
          </cell>
          <cell r="AY991" t="str">
            <v/>
          </cell>
          <cell r="AZ991">
            <v>0.25</v>
          </cell>
          <cell r="BA991">
            <v>0.25</v>
          </cell>
        </row>
        <row r="992">
          <cell r="A992" t="str">
            <v>FERAL SRL</v>
          </cell>
          <cell r="D992" t="str">
            <v>VIA VENEZIA 8</v>
          </cell>
          <cell r="E992" t="str">
            <v>19020</v>
          </cell>
          <cell r="F992" t="str">
            <v>CEPARANA</v>
          </cell>
          <cell r="G992" t="str">
            <v>SP</v>
          </cell>
          <cell r="H992" t="str">
            <v>ITALIA</v>
          </cell>
          <cell r="J992" t="str">
            <v>01201850110</v>
          </cell>
          <cell r="M992" t="str">
            <v>UFFICIO ACQUISTI</v>
          </cell>
          <cell r="N992" t="str">
            <v>0187 933658</v>
          </cell>
          <cell r="R992" t="str">
            <v>BONIFICO BANCARIO, ALLA DATA DELLA NOSTRA CONFERMA D'ORDINE</v>
          </cell>
          <cell r="X992">
            <v>0.25</v>
          </cell>
          <cell r="Y992">
            <v>-0.04</v>
          </cell>
          <cell r="AB992">
            <v>0.25</v>
          </cell>
          <cell r="AC992">
            <v>0.25</v>
          </cell>
          <cell r="AD992">
            <v>0.25</v>
          </cell>
          <cell r="AE992">
            <v>0.25</v>
          </cell>
          <cell r="AF992">
            <v>0.25</v>
          </cell>
          <cell r="AG992">
            <v>0.25</v>
          </cell>
          <cell r="AH992">
            <v>0.25</v>
          </cell>
          <cell r="AI992">
            <v>0.25</v>
          </cell>
          <cell r="AJ992">
            <v>0.25</v>
          </cell>
          <cell r="AK992">
            <v>0.25</v>
          </cell>
          <cell r="AL992">
            <v>0.25</v>
          </cell>
          <cell r="AM992">
            <v>0.25</v>
          </cell>
          <cell r="AN992">
            <v>0.25</v>
          </cell>
          <cell r="AO992">
            <v>0.25</v>
          </cell>
          <cell r="AP992">
            <v>0.25</v>
          </cell>
          <cell r="AQ992">
            <v>0.25</v>
          </cell>
          <cell r="AR992">
            <v>0.25</v>
          </cell>
          <cell r="AS992">
            <v>0.25</v>
          </cell>
          <cell r="AT992">
            <v>-0.04</v>
          </cell>
          <cell r="AU992">
            <v>0.92</v>
          </cell>
          <cell r="AV992">
            <v>20</v>
          </cell>
          <cell r="AY992" t="str">
            <v/>
          </cell>
          <cell r="AZ992">
            <v>0.25</v>
          </cell>
          <cell r="BA992">
            <v>0.25</v>
          </cell>
        </row>
        <row r="993">
          <cell r="A993" t="str">
            <v>FERALL</v>
          </cell>
          <cell r="D993" t="str">
            <v>VIA DE AMICIS 7</v>
          </cell>
          <cell r="E993">
            <v>15069</v>
          </cell>
          <cell r="F993" t="str">
            <v>SERRAVALLE SCRIBIA A</v>
          </cell>
          <cell r="G993" t="str">
            <v>AL</v>
          </cell>
          <cell r="H993" t="str">
            <v>ITALIA</v>
          </cell>
          <cell r="M993" t="str">
            <v>UFFICIO ACQUISTI</v>
          </cell>
          <cell r="N993" t="str">
            <v>0143 61434</v>
          </cell>
          <cell r="P993" t="str">
            <v>info@ferallplus.it</v>
          </cell>
          <cell r="R993" t="str">
            <v>BONIFICO BANCARIO, ALLA DATA DELLA NOSTRA CONFERMA D'ORDINE</v>
          </cell>
          <cell r="X993">
            <v>0.25</v>
          </cell>
          <cell r="Y993">
            <v>-0.04</v>
          </cell>
          <cell r="AB993">
            <v>0.25</v>
          </cell>
          <cell r="AC993">
            <v>0.25</v>
          </cell>
          <cell r="AD993">
            <v>0.25</v>
          </cell>
          <cell r="AE993">
            <v>0.25</v>
          </cell>
          <cell r="AF993">
            <v>0.25</v>
          </cell>
          <cell r="AG993">
            <v>0.25</v>
          </cell>
          <cell r="AH993">
            <v>0.25</v>
          </cell>
          <cell r="AI993">
            <v>0.25</v>
          </cell>
          <cell r="AJ993">
            <v>0.25</v>
          </cell>
          <cell r="AK993">
            <v>0.25</v>
          </cell>
          <cell r="AL993">
            <v>0.25</v>
          </cell>
          <cell r="AM993">
            <v>0.25</v>
          </cell>
          <cell r="AN993">
            <v>0.25</v>
          </cell>
          <cell r="AO993">
            <v>0.25</v>
          </cell>
          <cell r="AP993">
            <v>0.25</v>
          </cell>
          <cell r="AQ993">
            <v>0.25</v>
          </cell>
          <cell r="AR993">
            <v>0.25</v>
          </cell>
          <cell r="AS993">
            <v>0.25</v>
          </cell>
          <cell r="AT993">
            <v>-0.04</v>
          </cell>
          <cell r="AU993">
            <v>0.92</v>
          </cell>
          <cell r="AV993">
            <v>20</v>
          </cell>
          <cell r="AY993" t="str">
            <v/>
          </cell>
          <cell r="AZ993">
            <v>0.25</v>
          </cell>
          <cell r="BA993">
            <v>0.25</v>
          </cell>
        </row>
        <row r="994">
          <cell r="A994" t="str">
            <v>FERALL</v>
          </cell>
          <cell r="D994" t="str">
            <v>VIA DELL'INDUSTRIA E COMMERCIO, 9H</v>
          </cell>
          <cell r="E994">
            <v>17055</v>
          </cell>
          <cell r="F994" t="str">
            <v>TOIRANO</v>
          </cell>
          <cell r="G994" t="str">
            <v>SV</v>
          </cell>
          <cell r="H994" t="str">
            <v>ITALIA</v>
          </cell>
          <cell r="J994">
            <v>1158130094</v>
          </cell>
          <cell r="M994" t="str">
            <v>UFFICIO ACQUISTI</v>
          </cell>
          <cell r="N994" t="str">
            <v>0182 921994</v>
          </cell>
          <cell r="O994" t="str">
            <v>347 2412772-9</v>
          </cell>
          <cell r="P994" t="str">
            <v>info@ferallinfissi.it</v>
          </cell>
          <cell r="R994" t="str">
            <v>BONIFICO BANCARIO, ALLA DATA DELLA NOSTRA CONFERMA D'ORDINE</v>
          </cell>
          <cell r="X994">
            <v>0.25</v>
          </cell>
          <cell r="Y994">
            <v>-0.04</v>
          </cell>
          <cell r="AB994">
            <v>0.25</v>
          </cell>
          <cell r="AC994">
            <v>0.25</v>
          </cell>
          <cell r="AD994">
            <v>0.25</v>
          </cell>
          <cell r="AE994">
            <v>0.25</v>
          </cell>
          <cell r="AF994">
            <v>0.25</v>
          </cell>
          <cell r="AG994">
            <v>0.25</v>
          </cell>
          <cell r="AH994">
            <v>0.25</v>
          </cell>
          <cell r="AI994">
            <v>0.25</v>
          </cell>
          <cell r="AJ994">
            <v>0.25</v>
          </cell>
          <cell r="AK994">
            <v>0.25</v>
          </cell>
          <cell r="AL994">
            <v>0.25</v>
          </cell>
          <cell r="AM994">
            <v>0.25</v>
          </cell>
          <cell r="AN994">
            <v>0.25</v>
          </cell>
          <cell r="AO994">
            <v>0.25</v>
          </cell>
          <cell r="AP994">
            <v>0.25</v>
          </cell>
          <cell r="AQ994">
            <v>0.25</v>
          </cell>
          <cell r="AR994">
            <v>0.25</v>
          </cell>
          <cell r="AS994">
            <v>0.25</v>
          </cell>
          <cell r="AT994">
            <v>-0.04</v>
          </cell>
          <cell r="AU994">
            <v>0.92</v>
          </cell>
          <cell r="AV994">
            <v>20</v>
          </cell>
          <cell r="AZ994">
            <v>0.25</v>
          </cell>
          <cell r="BA994">
            <v>0.25</v>
          </cell>
        </row>
        <row r="995">
          <cell r="A995" t="str">
            <v>FERARTE DI PAVANELLO RICCARDO</v>
          </cell>
          <cell r="D995" t="str">
            <v>VIA TORELLI, 237</v>
          </cell>
          <cell r="E995" t="str">
            <v>45033</v>
          </cell>
          <cell r="F995" t="str">
            <v>BOSARO</v>
          </cell>
          <cell r="G995" t="str">
            <v>RO</v>
          </cell>
          <cell r="H995" t="str">
            <v>ITALIA</v>
          </cell>
          <cell r="M995" t="str">
            <v>UFFICIO ACQUISTI</v>
          </cell>
          <cell r="N995" t="str">
            <v>0425 465326</v>
          </cell>
          <cell r="O995" t="str">
            <v>333 5735130</v>
          </cell>
          <cell r="P995" t="str">
            <v>info@ferarte.it</v>
          </cell>
          <cell r="R995" t="str">
            <v>BONIFICO BANCARIO, ALLA DATA DELLA NOSTRA CONFERMA D'ORDINE</v>
          </cell>
          <cell r="X995">
            <v>0.25</v>
          </cell>
          <cell r="Y995">
            <v>-0.04</v>
          </cell>
          <cell r="AB995">
            <v>0.25</v>
          </cell>
          <cell r="AC995">
            <v>0.25</v>
          </cell>
          <cell r="AD995">
            <v>0.25</v>
          </cell>
          <cell r="AE995">
            <v>0.25</v>
          </cell>
          <cell r="AF995">
            <v>0.25</v>
          </cell>
          <cell r="AG995">
            <v>0.25</v>
          </cell>
          <cell r="AH995">
            <v>0.25</v>
          </cell>
          <cell r="AI995">
            <v>0.25</v>
          </cell>
          <cell r="AJ995">
            <v>0.25</v>
          </cell>
          <cell r="AK995">
            <v>0.25</v>
          </cell>
          <cell r="AL995">
            <v>0.25</v>
          </cell>
          <cell r="AM995">
            <v>0.25</v>
          </cell>
          <cell r="AN995">
            <v>0.25</v>
          </cell>
          <cell r="AO995">
            <v>0.25</v>
          </cell>
          <cell r="AP995">
            <v>0.25</v>
          </cell>
          <cell r="AQ995">
            <v>0.25</v>
          </cell>
          <cell r="AR995">
            <v>0.25</v>
          </cell>
          <cell r="AS995">
            <v>0.25</v>
          </cell>
          <cell r="AT995">
            <v>-0.04</v>
          </cell>
          <cell r="AU995">
            <v>0.92</v>
          </cell>
          <cell r="AV995">
            <v>20</v>
          </cell>
          <cell r="AY995" t="str">
            <v/>
          </cell>
          <cell r="AZ995">
            <v>0.25</v>
          </cell>
          <cell r="BA995">
            <v>0.25</v>
          </cell>
        </row>
        <row r="996">
          <cell r="A996" t="str">
            <v>FER-DOR SRL</v>
          </cell>
          <cell r="B996" t="str">
            <v>ACQUASTOP GLI FA SCONTO 40% - PAGAMENTO A 60gg - ABI 05034 - CAB 12201</v>
          </cell>
          <cell r="D996" t="str">
            <v>VIA DELLA COOPERAZIONE 14</v>
          </cell>
          <cell r="E996" t="str">
            <v>45100</v>
          </cell>
          <cell r="F996" t="str">
            <v>ROVIGO</v>
          </cell>
          <cell r="G996" t="str">
            <v>RO</v>
          </cell>
          <cell r="H996" t="str">
            <v>ITALIA</v>
          </cell>
          <cell r="J996" t="str">
            <v>00196230296</v>
          </cell>
          <cell r="K996" t="str">
            <v>A4707H7</v>
          </cell>
          <cell r="M996" t="str">
            <v>UFFICIO ACQUISTI</v>
          </cell>
          <cell r="N996" t="str">
            <v>0425 474501-03</v>
          </cell>
          <cell r="P996" t="str">
            <v>ferdor@ferdor.it</v>
          </cell>
          <cell r="R996" t="str">
            <v>R.B. 30 FM</v>
          </cell>
          <cell r="U996" t="str">
            <v>IT60H0503412201000000001087</v>
          </cell>
          <cell r="X996">
            <v>0.25</v>
          </cell>
          <cell r="Y996">
            <v>-0.04</v>
          </cell>
          <cell r="Z996">
            <v>0.15</v>
          </cell>
          <cell r="AB996">
            <v>0.25</v>
          </cell>
          <cell r="AC996">
            <v>0.25</v>
          </cell>
          <cell r="AD996">
            <v>0.25</v>
          </cell>
          <cell r="AE996">
            <v>0.25</v>
          </cell>
          <cell r="AF996">
            <v>0.25</v>
          </cell>
          <cell r="AG996">
            <v>0.25</v>
          </cell>
          <cell r="AH996">
            <v>0.25</v>
          </cell>
          <cell r="AI996">
            <v>0.25</v>
          </cell>
          <cell r="AJ996">
            <v>0.25</v>
          </cell>
          <cell r="AK996">
            <v>0.25</v>
          </cell>
          <cell r="AL996">
            <v>0.25</v>
          </cell>
          <cell r="AM996">
            <v>0.25</v>
          </cell>
          <cell r="AN996">
            <v>0.25</v>
          </cell>
          <cell r="AO996">
            <v>0.25</v>
          </cell>
          <cell r="AP996">
            <v>0.25</v>
          </cell>
          <cell r="AQ996">
            <v>0.25</v>
          </cell>
          <cell r="AR996">
            <v>0.25</v>
          </cell>
          <cell r="AS996">
            <v>0.25</v>
          </cell>
          <cell r="AT996">
            <v>-0.04</v>
          </cell>
          <cell r="AU996">
            <v>0.92</v>
          </cell>
          <cell r="AV996">
            <v>20</v>
          </cell>
          <cell r="AY996" t="str">
            <v/>
          </cell>
          <cell r="AZ996">
            <v>0.25</v>
          </cell>
          <cell r="BA996">
            <v>0.25</v>
          </cell>
          <cell r="BF996" t="str">
            <v xml:space="preserve"> CLICK RAPID con espositore 27/09/2021</v>
          </cell>
        </row>
        <row r="997">
          <cell r="A997" t="str">
            <v>FERELCA SA METALCOSTRUZIONI</v>
          </cell>
          <cell r="D997" t="str">
            <v>VIA CADEPIANO</v>
          </cell>
          <cell r="E997">
            <v>6916</v>
          </cell>
          <cell r="F997" t="str">
            <v>GRANCIA</v>
          </cell>
          <cell r="H997" t="str">
            <v>SVIZZERA</v>
          </cell>
          <cell r="M997" t="str">
            <v>UFFICIO ACQUISTI</v>
          </cell>
          <cell r="N997" t="str">
            <v>091 9941723</v>
          </cell>
          <cell r="P997" t="str">
            <v>info@ferelca.ch</v>
          </cell>
          <cell r="R997" t="str">
            <v>BONIFICO BANCARIO, ALLA DATA DELLA NOSTRA CONFERMA D'ORDINE</v>
          </cell>
          <cell r="X997">
            <v>0.25</v>
          </cell>
          <cell r="Y997">
            <v>-0.04</v>
          </cell>
          <cell r="AB997">
            <v>0.25</v>
          </cell>
          <cell r="AC997">
            <v>0.25</v>
          </cell>
          <cell r="AD997">
            <v>0.25</v>
          </cell>
          <cell r="AE997">
            <v>0.25</v>
          </cell>
          <cell r="AF997">
            <v>0.25</v>
          </cell>
          <cell r="AG997">
            <v>0.25</v>
          </cell>
          <cell r="AH997">
            <v>0.25</v>
          </cell>
          <cell r="AI997">
            <v>0.25</v>
          </cell>
          <cell r="AJ997">
            <v>0.25</v>
          </cell>
          <cell r="AK997">
            <v>0.25</v>
          </cell>
          <cell r="AL997">
            <v>0.25</v>
          </cell>
          <cell r="AM997">
            <v>0.25</v>
          </cell>
          <cell r="AN997">
            <v>0.25</v>
          </cell>
          <cell r="AO997">
            <v>0.25</v>
          </cell>
          <cell r="AP997">
            <v>0.25</v>
          </cell>
          <cell r="AQ997">
            <v>0.25</v>
          </cell>
          <cell r="AR997">
            <v>0.25</v>
          </cell>
          <cell r="AS997">
            <v>0.25</v>
          </cell>
          <cell r="AT997">
            <v>-0.04</v>
          </cell>
          <cell r="AU997">
            <v>0.92</v>
          </cell>
          <cell r="AV997">
            <v>20</v>
          </cell>
          <cell r="AY997" t="str">
            <v/>
          </cell>
          <cell r="AZ997">
            <v>0.25</v>
          </cell>
          <cell r="BA997">
            <v>0.25</v>
          </cell>
        </row>
        <row r="998">
          <cell r="A998" t="str">
            <v>FERMAC SECURITY</v>
          </cell>
          <cell r="D998" t="str">
            <v>VIA LEONE PANCALDO, 8</v>
          </cell>
          <cell r="E998">
            <v>37138</v>
          </cell>
          <cell r="F998" t="str">
            <v>VERONA</v>
          </cell>
          <cell r="G998" t="str">
            <v>VR</v>
          </cell>
          <cell r="H998" t="str">
            <v>ITALIA</v>
          </cell>
          <cell r="J998" t="str">
            <v>04500720281</v>
          </cell>
          <cell r="M998" t="str">
            <v>UFFICIO ACQUISTI</v>
          </cell>
          <cell r="N998" t="str">
            <v>0455 117165</v>
          </cell>
          <cell r="O998" t="str">
            <v>389 5305836</v>
          </cell>
          <cell r="P998" t="str">
            <v>fermac@hotmail.it</v>
          </cell>
          <cell r="R998" t="str">
            <v>BONIFICO BANCARIO, ALLA DATA DELLA NOSTRA CONFERMA D'ORDINE</v>
          </cell>
          <cell r="X998">
            <v>0.25</v>
          </cell>
          <cell r="Y998">
            <v>-0.04</v>
          </cell>
          <cell r="AB998">
            <v>0.25</v>
          </cell>
          <cell r="AC998">
            <v>0.25</v>
          </cell>
          <cell r="AD998">
            <v>0.25</v>
          </cell>
          <cell r="AE998">
            <v>0.25</v>
          </cell>
          <cell r="AF998">
            <v>0.25</v>
          </cell>
          <cell r="AG998">
            <v>0.25</v>
          </cell>
          <cell r="AH998">
            <v>0.25</v>
          </cell>
          <cell r="AI998">
            <v>0.25</v>
          </cell>
          <cell r="AJ998">
            <v>0.25</v>
          </cell>
          <cell r="AK998">
            <v>0.25</v>
          </cell>
          <cell r="AL998">
            <v>0.25</v>
          </cell>
          <cell r="AM998">
            <v>0.25</v>
          </cell>
          <cell r="AN998">
            <v>0.25</v>
          </cell>
          <cell r="AO998">
            <v>0.25</v>
          </cell>
          <cell r="AP998">
            <v>0.25</v>
          </cell>
          <cell r="AQ998">
            <v>0.25</v>
          </cell>
          <cell r="AR998">
            <v>0.25</v>
          </cell>
          <cell r="AS998">
            <v>0.25</v>
          </cell>
          <cell r="AT998">
            <v>-0.04</v>
          </cell>
          <cell r="AU998">
            <v>0.92</v>
          </cell>
          <cell r="AV998">
            <v>20</v>
          </cell>
          <cell r="AZ998">
            <v>0.25</v>
          </cell>
          <cell r="BA998">
            <v>0.25</v>
          </cell>
        </row>
        <row r="999">
          <cell r="A999" t="str">
            <v>FERPORT SRL</v>
          </cell>
          <cell r="D999" t="str">
            <v>VIA CHIENTI 6-10</v>
          </cell>
          <cell r="E999" t="str">
            <v>20900</v>
          </cell>
          <cell r="F999" t="str">
            <v>MONZA</v>
          </cell>
          <cell r="G999" t="str">
            <v>MB</v>
          </cell>
          <cell r="H999" t="str">
            <v>ITALIA</v>
          </cell>
          <cell r="J999" t="str">
            <v>0078270963</v>
          </cell>
          <cell r="M999" t="str">
            <v>UFFICIO ACQUISTI</v>
          </cell>
          <cell r="N999" t="str">
            <v>039 735048</v>
          </cell>
          <cell r="O999" t="str">
            <v>335 6024423 MASSIMO BIASSONI</v>
          </cell>
          <cell r="R999" t="str">
            <v>BONIFICO BANCARIO, ALLA DATA DELLA NOSTRA CONFERMA D'ORDINE</v>
          </cell>
          <cell r="X999">
            <v>0.25</v>
          </cell>
          <cell r="Y999">
            <v>-0.04</v>
          </cell>
          <cell r="AB999">
            <v>0.25</v>
          </cell>
          <cell r="AC999">
            <v>0.25</v>
          </cell>
          <cell r="AD999">
            <v>0.25</v>
          </cell>
          <cell r="AE999">
            <v>0.25</v>
          </cell>
          <cell r="AF999">
            <v>0.25</v>
          </cell>
          <cell r="AG999">
            <v>0.25</v>
          </cell>
          <cell r="AH999">
            <v>0.25</v>
          </cell>
          <cell r="AI999">
            <v>0.25</v>
          </cell>
          <cell r="AJ999">
            <v>0.25</v>
          </cell>
          <cell r="AK999">
            <v>0.25</v>
          </cell>
          <cell r="AL999">
            <v>0.25</v>
          </cell>
          <cell r="AM999">
            <v>0.25</v>
          </cell>
          <cell r="AN999">
            <v>0.25</v>
          </cell>
          <cell r="AO999">
            <v>0.25</v>
          </cell>
          <cell r="AP999">
            <v>0.25</v>
          </cell>
          <cell r="AQ999">
            <v>0.25</v>
          </cell>
          <cell r="AR999">
            <v>0.25</v>
          </cell>
          <cell r="AS999">
            <v>0.25</v>
          </cell>
          <cell r="AT999">
            <v>-0.04</v>
          </cell>
          <cell r="AU999">
            <v>0.92</v>
          </cell>
          <cell r="AV999">
            <v>20</v>
          </cell>
          <cell r="AZ999">
            <v>0.25</v>
          </cell>
          <cell r="BA999">
            <v>0.25</v>
          </cell>
        </row>
        <row r="1000">
          <cell r="A1000" t="str">
            <v>FERRALL DI BORILE SERGIO &amp; C. SNC</v>
          </cell>
          <cell r="D1000" t="str">
            <v>VIA PORTA A MARE 12</v>
          </cell>
          <cell r="E1000" t="str">
            <v>45100</v>
          </cell>
          <cell r="F1000" t="str">
            <v>ROVIGO</v>
          </cell>
          <cell r="G1000" t="str">
            <v>RO</v>
          </cell>
          <cell r="H1000" t="str">
            <v>ITALIA</v>
          </cell>
          <cell r="J1000" t="str">
            <v>00947470290</v>
          </cell>
          <cell r="M1000" t="str">
            <v>UFFICIO ACQUISTI</v>
          </cell>
          <cell r="N1000" t="str">
            <v>0425 490322</v>
          </cell>
          <cell r="P1000" t="str">
            <v>info@ferrallsnc.it</v>
          </cell>
          <cell r="R1000" t="str">
            <v>BONIFICO BANCARIO, ALLA DATA DELLA NOSTRA CONFERMA D'ORDINE</v>
          </cell>
          <cell r="X1000">
            <v>0.25</v>
          </cell>
          <cell r="Y1000">
            <v>-0.04</v>
          </cell>
          <cell r="AB1000">
            <v>0.25</v>
          </cell>
          <cell r="AC1000">
            <v>0.25</v>
          </cell>
          <cell r="AD1000">
            <v>0.25</v>
          </cell>
          <cell r="AE1000">
            <v>0.25</v>
          </cell>
          <cell r="AF1000">
            <v>0.25</v>
          </cell>
          <cell r="AG1000">
            <v>0.25</v>
          </cell>
          <cell r="AH1000">
            <v>0.25</v>
          </cell>
          <cell r="AI1000">
            <v>0.25</v>
          </cell>
          <cell r="AJ1000">
            <v>0.25</v>
          </cell>
          <cell r="AK1000">
            <v>0.25</v>
          </cell>
          <cell r="AL1000">
            <v>0.25</v>
          </cell>
          <cell r="AM1000">
            <v>0.25</v>
          </cell>
          <cell r="AN1000">
            <v>0.25</v>
          </cell>
          <cell r="AO1000">
            <v>0.25</v>
          </cell>
          <cell r="AP1000">
            <v>0.25</v>
          </cell>
          <cell r="AQ1000">
            <v>0.25</v>
          </cell>
          <cell r="AR1000">
            <v>0.25</v>
          </cell>
          <cell r="AS1000">
            <v>0.25</v>
          </cell>
          <cell r="AT1000">
            <v>-0.04</v>
          </cell>
          <cell r="AU1000">
            <v>0.92</v>
          </cell>
          <cell r="AV1000">
            <v>20</v>
          </cell>
          <cell r="AY1000" t="str">
            <v/>
          </cell>
          <cell r="AZ1000">
            <v>0.25</v>
          </cell>
          <cell r="BA1000">
            <v>0.25</v>
          </cell>
        </row>
        <row r="1001">
          <cell r="A1001" t="str">
            <v>FERRALLUMINIO SRL</v>
          </cell>
          <cell r="D1001" t="str">
            <v>VIA RIGOLO 12</v>
          </cell>
          <cell r="E1001" t="str">
            <v>33070</v>
          </cell>
          <cell r="F1001" t="str">
            <v>SAVORGNANO</v>
          </cell>
          <cell r="G1001" t="str">
            <v>PN</v>
          </cell>
          <cell r="H1001" t="str">
            <v>ITALIA</v>
          </cell>
          <cell r="J1001" t="str">
            <v>00436080931</v>
          </cell>
          <cell r="M1001" t="str">
            <v>UFFICIO ACQUISTI</v>
          </cell>
          <cell r="N1001" t="str">
            <v>0434 875932</v>
          </cell>
          <cell r="P1001" t="str">
            <v>ferralluminio.snc@gmail.com</v>
          </cell>
          <cell r="R1001" t="str">
            <v>BONIFICO BANCARIO, ALLA DATA DELLA NOSTRA CONFERMA D'ORDINE</v>
          </cell>
          <cell r="X1001">
            <v>0.25</v>
          </cell>
          <cell r="Y1001">
            <v>-0.04</v>
          </cell>
          <cell r="AB1001">
            <v>0.25</v>
          </cell>
          <cell r="AC1001">
            <v>0.25</v>
          </cell>
          <cell r="AD1001">
            <v>0.25</v>
          </cell>
          <cell r="AE1001">
            <v>0.25</v>
          </cell>
          <cell r="AF1001">
            <v>0.25</v>
          </cell>
          <cell r="AG1001">
            <v>0.25</v>
          </cell>
          <cell r="AH1001">
            <v>0.25</v>
          </cell>
          <cell r="AI1001">
            <v>0.25</v>
          </cell>
          <cell r="AJ1001">
            <v>0.25</v>
          </cell>
          <cell r="AK1001">
            <v>0.25</v>
          </cell>
          <cell r="AL1001">
            <v>0.25</v>
          </cell>
          <cell r="AM1001">
            <v>0.25</v>
          </cell>
          <cell r="AN1001">
            <v>0.25</v>
          </cell>
          <cell r="AO1001">
            <v>0.25</v>
          </cell>
          <cell r="AP1001">
            <v>0.25</v>
          </cell>
          <cell r="AQ1001">
            <v>0.25</v>
          </cell>
          <cell r="AR1001">
            <v>0.25</v>
          </cell>
          <cell r="AS1001">
            <v>0.25</v>
          </cell>
          <cell r="AT1001">
            <v>-0.04</v>
          </cell>
          <cell r="AU1001">
            <v>0.92</v>
          </cell>
          <cell r="AV1001">
            <v>20</v>
          </cell>
          <cell r="AY1001" t="str">
            <v/>
          </cell>
          <cell r="AZ1001">
            <v>0.25</v>
          </cell>
          <cell r="BA1001">
            <v>0.25</v>
          </cell>
        </row>
        <row r="1002">
          <cell r="A1002" t="str">
            <v>FERRALMETAL FM DI ANDREA PIRODDI</v>
          </cell>
          <cell r="D1002" t="str">
            <v>ZONA IND.LE SANTU PERDU</v>
          </cell>
          <cell r="E1002" t="str">
            <v>08047</v>
          </cell>
          <cell r="F1002" t="str">
            <v>TERTENIA</v>
          </cell>
          <cell r="G1002" t="str">
            <v>NU</v>
          </cell>
          <cell r="H1002" t="str">
            <v>ITALIA</v>
          </cell>
          <cell r="M1002" t="str">
            <v>UFFICIO ACQUISTI</v>
          </cell>
          <cell r="N1002" t="str">
            <v>0782 93166</v>
          </cell>
          <cell r="O1002" t="str">
            <v>340 3622123 ANDREA   329 3045730 ROBERTO</v>
          </cell>
          <cell r="P1002" t="str">
            <v>ferralferro@tiscali.it</v>
          </cell>
          <cell r="R1002" t="str">
            <v>BONIFICO BANCARIO, ALLA DATA DELLA NOSTRA CONFERMA D'ORDINE</v>
          </cell>
          <cell r="X1002">
            <v>0.2</v>
          </cell>
          <cell r="Y1002">
            <v>-0.04</v>
          </cell>
          <cell r="AB1002">
            <v>0.2</v>
          </cell>
          <cell r="AC1002">
            <v>0.2</v>
          </cell>
          <cell r="AD1002">
            <v>0.2</v>
          </cell>
          <cell r="AE1002">
            <v>0.2</v>
          </cell>
          <cell r="AF1002">
            <v>0.2</v>
          </cell>
          <cell r="AG1002">
            <v>0.2</v>
          </cell>
          <cell r="AH1002">
            <v>0.2</v>
          </cell>
          <cell r="AI1002">
            <v>0.2</v>
          </cell>
          <cell r="AJ1002">
            <v>0.2</v>
          </cell>
          <cell r="AK1002">
            <v>0.2</v>
          </cell>
          <cell r="AL1002">
            <v>0.2</v>
          </cell>
          <cell r="AM1002">
            <v>0.2</v>
          </cell>
          <cell r="AN1002">
            <v>0.2</v>
          </cell>
          <cell r="AO1002">
            <v>0.2</v>
          </cell>
          <cell r="AP1002">
            <v>0.2</v>
          </cell>
          <cell r="AQ1002">
            <v>0.2</v>
          </cell>
          <cell r="AR1002">
            <v>0.2</v>
          </cell>
          <cell r="AS1002">
            <v>0.2</v>
          </cell>
          <cell r="AT1002">
            <v>-0.04</v>
          </cell>
          <cell r="AU1002">
            <v>0.92</v>
          </cell>
          <cell r="AV1002">
            <v>20</v>
          </cell>
          <cell r="AZ1002">
            <v>0.2</v>
          </cell>
          <cell r="BA1002">
            <v>0.2</v>
          </cell>
        </row>
        <row r="1003">
          <cell r="A1003" t="str">
            <v>FERRAMENTA AL MEGIO</v>
          </cell>
          <cell r="D1003" t="str">
            <v>SANTA CROCE, 1759</v>
          </cell>
          <cell r="E1003">
            <v>30135</v>
          </cell>
          <cell r="F1003" t="str">
            <v>VENEZIA</v>
          </cell>
          <cell r="G1003" t="str">
            <v>VE</v>
          </cell>
          <cell r="H1003" t="str">
            <v>ITALIA</v>
          </cell>
          <cell r="I1003" t="str">
            <v>BNNRFL77M29L736D</v>
          </cell>
          <cell r="J1003" t="str">
            <v>04087920270</v>
          </cell>
          <cell r="M1003" t="str">
            <v>UFFICIO ACQUISTI</v>
          </cell>
          <cell r="N1003" t="str">
            <v>041 5241225</v>
          </cell>
          <cell r="P1003" t="str">
            <v>susanna.corberi@gmail.com</v>
          </cell>
          <cell r="R1003" t="str">
            <v>BONIFICO BANCARIO, ALLA DATA DELLA NOSTRA CONFERMA D'ORDINE</v>
          </cell>
          <cell r="W1003" t="str">
            <v>ACQUA SALATA</v>
          </cell>
          <cell r="X1003">
            <v>0.25</v>
          </cell>
          <cell r="Y1003">
            <v>-0.04</v>
          </cell>
          <cell r="AB1003">
            <v>0.25</v>
          </cell>
          <cell r="AC1003">
            <v>0.25</v>
          </cell>
          <cell r="AD1003">
            <v>0.25</v>
          </cell>
          <cell r="AE1003">
            <v>0.25</v>
          </cell>
          <cell r="AF1003">
            <v>0.25</v>
          </cell>
          <cell r="AG1003">
            <v>0.25</v>
          </cell>
          <cell r="AH1003">
            <v>0.25</v>
          </cell>
          <cell r="AI1003">
            <v>0.25</v>
          </cell>
          <cell r="AJ1003">
            <v>0.25</v>
          </cell>
          <cell r="AK1003">
            <v>0.25</v>
          </cell>
          <cell r="AL1003">
            <v>0.25</v>
          </cell>
          <cell r="AM1003">
            <v>0.25</v>
          </cell>
          <cell r="AN1003">
            <v>0.25</v>
          </cell>
          <cell r="AO1003">
            <v>0.25</v>
          </cell>
          <cell r="AP1003">
            <v>0.25</v>
          </cell>
          <cell r="AQ1003">
            <v>0.25</v>
          </cell>
          <cell r="AR1003">
            <v>0.25</v>
          </cell>
          <cell r="AS1003">
            <v>0.25</v>
          </cell>
          <cell r="AT1003">
            <v>-0.04</v>
          </cell>
          <cell r="AU1003">
            <v>0.92</v>
          </cell>
          <cell r="AV1003">
            <v>20</v>
          </cell>
          <cell r="AY1003" t="str">
            <v/>
          </cell>
          <cell r="AZ1003">
            <v>0.25</v>
          </cell>
          <cell r="BA1003">
            <v>0.25</v>
          </cell>
        </row>
        <row r="1004">
          <cell r="A1004" t="str">
            <v>FERRAMENTA ANTINCENDIO MARECCHIESE DI FANTINI IVAN E AQUADRANI ARIANNA</v>
          </cell>
          <cell r="D1004" t="str">
            <v>VIA MARECCHIESE 314/E</v>
          </cell>
          <cell r="E1004" t="str">
            <v>47922</v>
          </cell>
          <cell r="F1004" t="str">
            <v>RIMINI</v>
          </cell>
          <cell r="G1004" t="str">
            <v>RN</v>
          </cell>
          <cell r="H1004" t="str">
            <v>ITALIA</v>
          </cell>
          <cell r="J1004" t="str">
            <v>04036080408</v>
          </cell>
          <cell r="M1004" t="str">
            <v>UFFICIO ACQUISTI</v>
          </cell>
          <cell r="N1004" t="str">
            <v>0541 728264</v>
          </cell>
          <cell r="R1004" t="str">
            <v>BONIFICO BANCARIO, ALLA DATA DELLA NOSTRA CONFERMA D'ORDINE</v>
          </cell>
          <cell r="X1004">
            <v>0.25</v>
          </cell>
          <cell r="Y1004">
            <v>-0.04</v>
          </cell>
          <cell r="AB1004">
            <v>0.25</v>
          </cell>
          <cell r="AC1004">
            <v>0.25</v>
          </cell>
          <cell r="AD1004">
            <v>0.25</v>
          </cell>
          <cell r="AE1004">
            <v>0.25</v>
          </cell>
          <cell r="AF1004">
            <v>0.25</v>
          </cell>
          <cell r="AG1004">
            <v>0.25</v>
          </cell>
          <cell r="AH1004">
            <v>0.25</v>
          </cell>
          <cell r="AI1004">
            <v>0.25</v>
          </cell>
          <cell r="AJ1004">
            <v>0.25</v>
          </cell>
          <cell r="AK1004">
            <v>0.25</v>
          </cell>
          <cell r="AL1004">
            <v>0.25</v>
          </cell>
          <cell r="AM1004">
            <v>0.25</v>
          </cell>
          <cell r="AN1004">
            <v>0.25</v>
          </cell>
          <cell r="AO1004">
            <v>0.25</v>
          </cell>
          <cell r="AP1004">
            <v>0.25</v>
          </cell>
          <cell r="AQ1004">
            <v>0.25</v>
          </cell>
          <cell r="AR1004">
            <v>0.25</v>
          </cell>
          <cell r="AS1004">
            <v>0.25</v>
          </cell>
          <cell r="AT1004">
            <v>-0.04</v>
          </cell>
          <cell r="AU1004">
            <v>0.92</v>
          </cell>
          <cell r="AV1004">
            <v>20</v>
          </cell>
          <cell r="AZ1004">
            <v>0.25</v>
          </cell>
          <cell r="BA1004">
            <v>0.25</v>
          </cell>
        </row>
        <row r="1005">
          <cell r="A1005" t="str">
            <v>FERRAMENTA BARBIERI</v>
          </cell>
          <cell r="D1005" t="str">
            <v>VIA ANTICHE FORNACI, 18</v>
          </cell>
          <cell r="E1005" t="str">
            <v>26100</v>
          </cell>
          <cell r="F1005" t="str">
            <v>CREMONA</v>
          </cell>
          <cell r="G1005" t="str">
            <v>CR</v>
          </cell>
          <cell r="H1005" t="str">
            <v>ITALIA</v>
          </cell>
          <cell r="J1005" t="str">
            <v>01718130196</v>
          </cell>
          <cell r="M1005" t="str">
            <v>UFFICIO ACQUISTI</v>
          </cell>
          <cell r="N1005" t="str">
            <v>0372 434339</v>
          </cell>
          <cell r="O1005" t="str">
            <v>348 5134546 DINA</v>
          </cell>
          <cell r="P1005" t="str">
            <v>info@ferramentabarbieri.com</v>
          </cell>
          <cell r="R1005" t="str">
            <v>BONIFICO BANCARIO, ALLA DATA DELLA NOSTRA CONFERMA D'ORDINE</v>
          </cell>
          <cell r="X1005">
            <v>0.25</v>
          </cell>
          <cell r="Y1005">
            <v>-0.04</v>
          </cell>
          <cell r="AB1005">
            <v>0.25</v>
          </cell>
          <cell r="AC1005">
            <v>0.25</v>
          </cell>
          <cell r="AD1005">
            <v>0.25</v>
          </cell>
          <cell r="AE1005">
            <v>0.25</v>
          </cell>
          <cell r="AF1005">
            <v>0.25</v>
          </cell>
          <cell r="AG1005">
            <v>0.25</v>
          </cell>
          <cell r="AH1005">
            <v>0.25</v>
          </cell>
          <cell r="AI1005">
            <v>0.25</v>
          </cell>
          <cell r="AJ1005">
            <v>0.25</v>
          </cell>
          <cell r="AK1005">
            <v>0.25</v>
          </cell>
          <cell r="AL1005">
            <v>0.25</v>
          </cell>
          <cell r="AM1005">
            <v>0.25</v>
          </cell>
          <cell r="AN1005">
            <v>0.25</v>
          </cell>
          <cell r="AO1005">
            <v>0.25</v>
          </cell>
          <cell r="AP1005">
            <v>0.25</v>
          </cell>
          <cell r="AQ1005">
            <v>0.25</v>
          </cell>
          <cell r="AR1005">
            <v>0.25</v>
          </cell>
          <cell r="AS1005">
            <v>0.25</v>
          </cell>
          <cell r="AT1005">
            <v>-0.04</v>
          </cell>
          <cell r="AU1005">
            <v>0.92</v>
          </cell>
          <cell r="AV1005">
            <v>20</v>
          </cell>
          <cell r="AZ1005">
            <v>0.25</v>
          </cell>
          <cell r="BA1005">
            <v>0.25</v>
          </cell>
        </row>
        <row r="1006">
          <cell r="A1006" t="str">
            <v>FERRAMENTA BERTI S.R.L.</v>
          </cell>
          <cell r="D1006" t="str">
            <v>VIA MONTE VERLALDO, 101</v>
          </cell>
          <cell r="E1006" t="str">
            <v>36073</v>
          </cell>
          <cell r="F1006" t="str">
            <v>CORNEDO VICENTINO</v>
          </cell>
          <cell r="G1006" t="str">
            <v>VI</v>
          </cell>
          <cell r="H1006" t="str">
            <v>ITALIA</v>
          </cell>
          <cell r="J1006" t="str">
            <v>00729210245</v>
          </cell>
          <cell r="M1006" t="str">
            <v>UFFICIO ACQUISTI</v>
          </cell>
          <cell r="N1006" t="str">
            <v>0445 446095</v>
          </cell>
          <cell r="O1006" t="str">
            <v>335 1389129 CLAUDIO</v>
          </cell>
          <cell r="P1006" t="str">
            <v>magazzino@ferramentaberti.com</v>
          </cell>
          <cell r="R1006" t="str">
            <v>BONIFICO BANCARIO, ALLA DATA DELLA NOSTRA CONFERMA D'ORDINE</v>
          </cell>
          <cell r="X1006">
            <v>0.25</v>
          </cell>
          <cell r="Y1006">
            <v>-0.04</v>
          </cell>
          <cell r="AB1006">
            <v>0.25</v>
          </cell>
          <cell r="AC1006">
            <v>0.25</v>
          </cell>
          <cell r="AD1006">
            <v>0.25</v>
          </cell>
          <cell r="AE1006">
            <v>0.25</v>
          </cell>
          <cell r="AF1006">
            <v>0.25</v>
          </cell>
          <cell r="AG1006">
            <v>0.25</v>
          </cell>
          <cell r="AH1006">
            <v>0.25</v>
          </cell>
          <cell r="AI1006">
            <v>0.25</v>
          </cell>
          <cell r="AJ1006">
            <v>0.25</v>
          </cell>
          <cell r="AK1006">
            <v>0.25</v>
          </cell>
          <cell r="AL1006">
            <v>0.25</v>
          </cell>
          <cell r="AM1006">
            <v>0.25</v>
          </cell>
          <cell r="AN1006">
            <v>0.25</v>
          </cell>
          <cell r="AO1006">
            <v>0.25</v>
          </cell>
          <cell r="AP1006">
            <v>0.25</v>
          </cell>
          <cell r="AQ1006">
            <v>0.25</v>
          </cell>
          <cell r="AR1006">
            <v>0.25</v>
          </cell>
          <cell r="AS1006">
            <v>0.25</v>
          </cell>
          <cell r="AT1006">
            <v>-0.04</v>
          </cell>
          <cell r="AU1006">
            <v>0.87</v>
          </cell>
          <cell r="AV1006">
            <v>20</v>
          </cell>
          <cell r="AZ1006">
            <v>0.25</v>
          </cell>
          <cell r="BA1006">
            <v>0.25</v>
          </cell>
        </row>
        <row r="1007">
          <cell r="A1007" t="str">
            <v>FERRAMENTA BIAZZI SNC DI MASSIMILIANO E MATTEO BOZZINI</v>
          </cell>
          <cell r="D1007" t="str">
            <v>VIA SAN TOMASO, 24</v>
          </cell>
          <cell r="E1007" t="str">
            <v>26100</v>
          </cell>
          <cell r="F1007" t="str">
            <v>CREMONA</v>
          </cell>
          <cell r="G1007" t="str">
            <v>CR</v>
          </cell>
          <cell r="H1007" t="str">
            <v>ITALIA</v>
          </cell>
          <cell r="J1007" t="str">
            <v>00149930190</v>
          </cell>
          <cell r="M1007" t="str">
            <v>UFFICIO ACQUISTI</v>
          </cell>
          <cell r="N1007" t="str">
            <v>0372 23790</v>
          </cell>
          <cell r="R1007" t="str">
            <v>BONIFICO BANCARIO, ALLA DATA DELLA NOSTRA CONFERMA D'ORDINE</v>
          </cell>
          <cell r="X1007">
            <v>0.25</v>
          </cell>
          <cell r="Y1007">
            <v>-0.04</v>
          </cell>
          <cell r="AB1007">
            <v>0.25</v>
          </cell>
          <cell r="AC1007">
            <v>0.25</v>
          </cell>
          <cell r="AD1007">
            <v>0.25</v>
          </cell>
          <cell r="AE1007">
            <v>0.25</v>
          </cell>
          <cell r="AF1007">
            <v>0.25</v>
          </cell>
          <cell r="AG1007">
            <v>0.25</v>
          </cell>
          <cell r="AH1007">
            <v>0.25</v>
          </cell>
          <cell r="AI1007">
            <v>0.25</v>
          </cell>
          <cell r="AJ1007">
            <v>0.25</v>
          </cell>
          <cell r="AK1007">
            <v>0.25</v>
          </cell>
          <cell r="AL1007">
            <v>0.25</v>
          </cell>
          <cell r="AM1007">
            <v>0.25</v>
          </cell>
          <cell r="AN1007">
            <v>0.25</v>
          </cell>
          <cell r="AO1007">
            <v>0.25</v>
          </cell>
          <cell r="AP1007">
            <v>0.25</v>
          </cell>
          <cell r="AQ1007">
            <v>0.25</v>
          </cell>
          <cell r="AR1007">
            <v>0.25</v>
          </cell>
          <cell r="AS1007">
            <v>0.25</v>
          </cell>
          <cell r="AT1007">
            <v>-0.04</v>
          </cell>
          <cell r="AU1007">
            <v>0.92</v>
          </cell>
          <cell r="AV1007">
            <v>20</v>
          </cell>
          <cell r="AZ1007">
            <v>0.25</v>
          </cell>
          <cell r="BA1007">
            <v>0.25</v>
          </cell>
        </row>
        <row r="1008">
          <cell r="A1008" t="str">
            <v>FERRAMENTA BONFE' DI CLAUDIO BONFE'</v>
          </cell>
          <cell r="D1008" t="str">
            <v>VIA SANDRO PERTINI, 15</v>
          </cell>
          <cell r="E1008" t="str">
            <v>06049</v>
          </cell>
          <cell r="F1008" t="str">
            <v>SPOLETO</v>
          </cell>
          <cell r="G1008" t="str">
            <v>PG</v>
          </cell>
          <cell r="H1008" t="str">
            <v>ITALIA</v>
          </cell>
          <cell r="J1008" t="str">
            <v>01915350548</v>
          </cell>
          <cell r="M1008" t="str">
            <v>UFFICIO ACQUISTI</v>
          </cell>
          <cell r="N1008" t="str">
            <v>0743 49806</v>
          </cell>
          <cell r="O1008" t="str">
            <v>328 1331445</v>
          </cell>
          <cell r="P1008" t="str">
            <v>ferramenta.bonfe@yahoo.it</v>
          </cell>
          <cell r="R1008" t="str">
            <v>BONIFICO BANCARIO, ALLA DATA DELLA NOSTRA CONFERMA D'ORDINE</v>
          </cell>
          <cell r="X1008">
            <v>0.25</v>
          </cell>
          <cell r="Y1008">
            <v>-0.04</v>
          </cell>
          <cell r="AB1008">
            <v>0.25</v>
          </cell>
          <cell r="AC1008">
            <v>0.25</v>
          </cell>
          <cell r="AD1008">
            <v>0.25</v>
          </cell>
          <cell r="AE1008">
            <v>0.25</v>
          </cell>
          <cell r="AF1008">
            <v>0.25</v>
          </cell>
          <cell r="AG1008">
            <v>0.25</v>
          </cell>
          <cell r="AH1008">
            <v>0.25</v>
          </cell>
          <cell r="AI1008">
            <v>0.25</v>
          </cell>
          <cell r="AJ1008">
            <v>0.25</v>
          </cell>
          <cell r="AK1008">
            <v>0.25</v>
          </cell>
          <cell r="AL1008">
            <v>0.25</v>
          </cell>
          <cell r="AM1008">
            <v>0.25</v>
          </cell>
          <cell r="AN1008">
            <v>0.25</v>
          </cell>
          <cell r="AO1008">
            <v>0.25</v>
          </cell>
          <cell r="AP1008">
            <v>0.25</v>
          </cell>
          <cell r="AQ1008">
            <v>0.25</v>
          </cell>
          <cell r="AR1008">
            <v>0.25</v>
          </cell>
          <cell r="AS1008">
            <v>0.25</v>
          </cell>
          <cell r="AT1008">
            <v>-0.04</v>
          </cell>
          <cell r="AU1008">
            <v>0.92</v>
          </cell>
          <cell r="AV1008">
            <v>20</v>
          </cell>
          <cell r="AZ1008">
            <v>0.25</v>
          </cell>
          <cell r="BA1008">
            <v>0.25</v>
          </cell>
        </row>
        <row r="1009">
          <cell r="A1009" t="str">
            <v>FERRAMENTA BRIANZOLI GIANCARLO</v>
          </cell>
          <cell r="D1009" t="str">
            <v>VIA MONFALCONE, 10</v>
          </cell>
          <cell r="E1009" t="str">
            <v>70121</v>
          </cell>
          <cell r="F1009" t="str">
            <v>BARI</v>
          </cell>
          <cell r="G1009" t="str">
            <v>BA</v>
          </cell>
          <cell r="H1009" t="str">
            <v>ITALIA</v>
          </cell>
          <cell r="J1009" t="str">
            <v>04852790726</v>
          </cell>
          <cell r="M1009" t="str">
            <v>UFFICIO ACQUISTI</v>
          </cell>
          <cell r="N1009" t="str">
            <v>080 9909197</v>
          </cell>
          <cell r="R1009" t="str">
            <v>BONIFICO BANCARIO, ALLA DATA DELLA NOSTRA CONFERMA D'ORDINE</v>
          </cell>
          <cell r="X1009">
            <v>0.2</v>
          </cell>
          <cell r="Y1009">
            <v>-0.04</v>
          </cell>
          <cell r="AB1009">
            <v>0.2</v>
          </cell>
          <cell r="AC1009">
            <v>0.2</v>
          </cell>
          <cell r="AD1009">
            <v>0.2</v>
          </cell>
          <cell r="AE1009">
            <v>0.2</v>
          </cell>
          <cell r="AF1009">
            <v>0.2</v>
          </cell>
          <cell r="AG1009">
            <v>0.2</v>
          </cell>
          <cell r="AH1009">
            <v>0.2</v>
          </cell>
          <cell r="AI1009">
            <v>0.2</v>
          </cell>
          <cell r="AJ1009">
            <v>0.2</v>
          </cell>
          <cell r="AK1009">
            <v>0.2</v>
          </cell>
          <cell r="AL1009">
            <v>0.2</v>
          </cell>
          <cell r="AM1009">
            <v>0.2</v>
          </cell>
          <cell r="AN1009">
            <v>0.2</v>
          </cell>
          <cell r="AO1009">
            <v>0.2</v>
          </cell>
          <cell r="AP1009">
            <v>0.2</v>
          </cell>
          <cell r="AQ1009">
            <v>0.2</v>
          </cell>
          <cell r="AR1009">
            <v>0.2</v>
          </cell>
          <cell r="AS1009">
            <v>0.2</v>
          </cell>
          <cell r="AT1009">
            <v>-0.04</v>
          </cell>
          <cell r="AU1009">
            <v>0.92</v>
          </cell>
          <cell r="AV1009">
            <v>20</v>
          </cell>
          <cell r="AZ1009">
            <v>0.2</v>
          </cell>
          <cell r="BA1009">
            <v>0.2</v>
          </cell>
        </row>
        <row r="1010">
          <cell r="A1010" t="str">
            <v>FERRAMENTA CASELLA</v>
          </cell>
          <cell r="B1010" t="str">
            <v>21/03/23 DICE CHE SIAMO GIA' PASSATI, CHE E' UN GRAN BEL PRODOTTO MA NON RIESCONO A PIAZZARLO</v>
          </cell>
          <cell r="D1010" t="str">
            <v>VIA SCAPUZZI, 35 L</v>
          </cell>
          <cell r="F1010" t="str">
            <v>FIORENZUOLA D'ARDA</v>
          </cell>
          <cell r="G1010" t="str">
            <v>PC</v>
          </cell>
          <cell r="H1010" t="str">
            <v>ITALIA</v>
          </cell>
          <cell r="J1010" t="str">
            <v>00925030330</v>
          </cell>
          <cell r="M1010" t="str">
            <v>UFFICIO ACQUISTI</v>
          </cell>
          <cell r="N1010" t="str">
            <v>0523 983866</v>
          </cell>
          <cell r="P1010" t="str">
            <v>ferramentacasella@libero.it</v>
          </cell>
          <cell r="R1010" t="str">
            <v>BONIFICO BANCARIO, ALLA DATA DELLA NOSTRA CONFERMA D'ORDINE</v>
          </cell>
          <cell r="X1010">
            <v>0.25</v>
          </cell>
          <cell r="Y1010">
            <v>-0.04</v>
          </cell>
          <cell r="AB1010">
            <v>0.25</v>
          </cell>
          <cell r="AC1010">
            <v>0.25</v>
          </cell>
          <cell r="AD1010">
            <v>0.25</v>
          </cell>
          <cell r="AE1010">
            <v>0.25</v>
          </cell>
          <cell r="AF1010">
            <v>0.25</v>
          </cell>
          <cell r="AG1010">
            <v>0.25</v>
          </cell>
          <cell r="AH1010">
            <v>0.25</v>
          </cell>
          <cell r="AI1010">
            <v>0.25</v>
          </cell>
          <cell r="AJ1010">
            <v>0.25</v>
          </cell>
          <cell r="AK1010">
            <v>0.25</v>
          </cell>
          <cell r="AL1010">
            <v>0.25</v>
          </cell>
          <cell r="AM1010">
            <v>0.25</v>
          </cell>
          <cell r="AN1010">
            <v>0.25</v>
          </cell>
          <cell r="AO1010">
            <v>0.25</v>
          </cell>
          <cell r="AP1010">
            <v>0.25</v>
          </cell>
          <cell r="AQ1010">
            <v>0.25</v>
          </cell>
          <cell r="AR1010">
            <v>0.25</v>
          </cell>
          <cell r="AS1010">
            <v>0.25</v>
          </cell>
          <cell r="AT1010">
            <v>-0.04</v>
          </cell>
          <cell r="AU1010">
            <v>0.92</v>
          </cell>
          <cell r="AV1010">
            <v>20</v>
          </cell>
          <cell r="AZ1010">
            <v>0.25</v>
          </cell>
          <cell r="BA1010">
            <v>0.25</v>
          </cell>
        </row>
        <row r="1011">
          <cell r="A1011" t="str">
            <v>FERRAMENTA CELANETTI</v>
          </cell>
          <cell r="B1011" t="str">
            <v>CARLO</v>
          </cell>
          <cell r="D1011" t="str">
            <v>VIA MAREMMANA INF.KM 0,250</v>
          </cell>
          <cell r="E1011" t="str">
            <v>00019</v>
          </cell>
          <cell r="F1011" t="str">
            <v>VILLA ADRIANA DI TIVOLI</v>
          </cell>
          <cell r="G1011" t="str">
            <v>RM</v>
          </cell>
          <cell r="H1011" t="str">
            <v>ITALIA</v>
          </cell>
          <cell r="M1011" t="str">
            <v>UFFICIO ACQUISTI</v>
          </cell>
          <cell r="N1011" t="str">
            <v>0774 280328</v>
          </cell>
          <cell r="R1011" t="str">
            <v>BONIFICO BANCARIO, ALLA DATA DELLA NOSTRA CONFERMA D'ORDINE</v>
          </cell>
          <cell r="X1011">
            <v>0.2</v>
          </cell>
          <cell r="Y1011">
            <v>-0.04</v>
          </cell>
          <cell r="AB1011">
            <v>0.2</v>
          </cell>
          <cell r="AC1011">
            <v>0.2</v>
          </cell>
          <cell r="AD1011">
            <v>0.2</v>
          </cell>
          <cell r="AE1011">
            <v>0.2</v>
          </cell>
          <cell r="AF1011">
            <v>0.2</v>
          </cell>
          <cell r="AG1011">
            <v>0.2</v>
          </cell>
          <cell r="AH1011">
            <v>0.2</v>
          </cell>
          <cell r="AI1011">
            <v>0.2</v>
          </cell>
          <cell r="AJ1011">
            <v>0.2</v>
          </cell>
          <cell r="AK1011">
            <v>0.2</v>
          </cell>
          <cell r="AL1011">
            <v>0.2</v>
          </cell>
          <cell r="AM1011">
            <v>0.2</v>
          </cell>
          <cell r="AN1011">
            <v>0.2</v>
          </cell>
          <cell r="AO1011">
            <v>0.2</v>
          </cell>
          <cell r="AP1011">
            <v>0.2</v>
          </cell>
          <cell r="AQ1011">
            <v>0.2</v>
          </cell>
          <cell r="AR1011">
            <v>0.2</v>
          </cell>
          <cell r="AS1011">
            <v>0.2</v>
          </cell>
          <cell r="AT1011">
            <v>-0.04</v>
          </cell>
          <cell r="AU1011">
            <v>0.92</v>
          </cell>
          <cell r="AV1011">
            <v>20</v>
          </cell>
          <cell r="AZ1011">
            <v>0.2</v>
          </cell>
          <cell r="BA1011">
            <v>0.2</v>
          </cell>
        </row>
        <row r="1012">
          <cell r="A1012" t="str">
            <v>FERRAMENTA CENTRO ITALIA</v>
          </cell>
          <cell r="D1012" t="str">
            <v>VIA DEL RIVO, 165</v>
          </cell>
          <cell r="F1012" t="str">
            <v>TERNI</v>
          </cell>
          <cell r="G1012" t="str">
            <v>TR</v>
          </cell>
          <cell r="H1012" t="str">
            <v>ITALIA</v>
          </cell>
          <cell r="J1012" t="str">
            <v>01247830555</v>
          </cell>
          <cell r="M1012" t="str">
            <v>UFFICIO ACQUISTI</v>
          </cell>
          <cell r="N1012" t="str">
            <v>0744 300280</v>
          </cell>
          <cell r="O1012" t="str">
            <v>347 1741380</v>
          </cell>
          <cell r="P1012" t="str">
            <v>info@ferramentacentroitalia.com</v>
          </cell>
          <cell r="R1012" t="str">
            <v>BONIFICO BANCARIO, ALLA DATA DELLA NOSTRA CONFERMA D'ORDINE</v>
          </cell>
          <cell r="Y1012">
            <v>-0.04</v>
          </cell>
          <cell r="AT1012">
            <v>-0.04</v>
          </cell>
          <cell r="AV1012">
            <v>20</v>
          </cell>
          <cell r="AZ1012">
            <v>0</v>
          </cell>
          <cell r="BA1012">
            <v>0</v>
          </cell>
        </row>
        <row r="1013">
          <cell r="A1013" t="str">
            <v>FERRAMENTA CERIN</v>
          </cell>
          <cell r="B1013" t="str">
            <v>01/02/23 BISOGNA CERCARE DI PARLARE CON SIG. CERIN, TITOLARE, MA NON ME LO PASSANO. SE IN ZONA IO FAREI UNA VISITA</v>
          </cell>
          <cell r="D1013" t="str">
            <v>VIA LAMARMORA 98</v>
          </cell>
          <cell r="E1013" t="str">
            <v>36100</v>
          </cell>
          <cell r="F1013" t="str">
            <v>VICENZA</v>
          </cell>
          <cell r="G1013" t="str">
            <v>VI</v>
          </cell>
          <cell r="H1013" t="str">
            <v>ITALIA</v>
          </cell>
          <cell r="M1013" t="str">
            <v>UFFICIO ACQUISTI</v>
          </cell>
          <cell r="N1013" t="str">
            <v>0444 921758</v>
          </cell>
          <cell r="P1013" t="str">
            <v>info@ferramentacerinsrl.it</v>
          </cell>
          <cell r="R1013" t="str">
            <v>BONIFICO BANCARIO, ALLA DATA DELLA NOSTRA CONFERMA D'ORDINE</v>
          </cell>
          <cell r="AU1013">
            <v>0.92</v>
          </cell>
          <cell r="AV1013">
            <v>20</v>
          </cell>
        </row>
        <row r="1014">
          <cell r="A1014" t="str">
            <v>FERRAMENTA CROCE DEI F.LLI PAOLO &amp; FRANCESCO SNC</v>
          </cell>
          <cell r="D1014" t="str">
            <v>VIA T.IORIO, 56,58</v>
          </cell>
          <cell r="E1014" t="str">
            <v xml:space="preserve">71121 </v>
          </cell>
          <cell r="F1014" t="str">
            <v>FOGGIA</v>
          </cell>
          <cell r="G1014" t="str">
            <v>FG</v>
          </cell>
          <cell r="H1014" t="str">
            <v>ITALIA</v>
          </cell>
          <cell r="J1014" t="str">
            <v>03775010717</v>
          </cell>
          <cell r="M1014" t="str">
            <v>UFFICIO ACQUISTI</v>
          </cell>
          <cell r="N1014" t="str">
            <v>0881 773495</v>
          </cell>
          <cell r="P1014" t="str">
            <v>ferramenta.croce@libero.it</v>
          </cell>
          <cell r="R1014" t="str">
            <v>BONIFICO BANCARIO, ALLA DATA DELLA NOSTRA CONFERMA D'ORDINE</v>
          </cell>
          <cell r="X1014">
            <v>0.2</v>
          </cell>
          <cell r="Y1014">
            <v>-0.04</v>
          </cell>
          <cell r="AB1014">
            <v>0.2</v>
          </cell>
          <cell r="AC1014">
            <v>0.2</v>
          </cell>
          <cell r="AD1014">
            <v>0.2</v>
          </cell>
          <cell r="AE1014">
            <v>0.2</v>
          </cell>
          <cell r="AF1014">
            <v>0.2</v>
          </cell>
          <cell r="AG1014">
            <v>0.2</v>
          </cell>
          <cell r="AH1014">
            <v>0.2</v>
          </cell>
          <cell r="AI1014">
            <v>0.2</v>
          </cell>
          <cell r="AJ1014">
            <v>0.2</v>
          </cell>
          <cell r="AK1014">
            <v>0.2</v>
          </cell>
          <cell r="AL1014">
            <v>0.2</v>
          </cell>
          <cell r="AM1014">
            <v>0.2</v>
          </cell>
          <cell r="AN1014">
            <v>0.2</v>
          </cell>
          <cell r="AO1014">
            <v>0.2</v>
          </cell>
          <cell r="AP1014">
            <v>0.2</v>
          </cell>
          <cell r="AQ1014">
            <v>0.2</v>
          </cell>
          <cell r="AR1014">
            <v>0.2</v>
          </cell>
          <cell r="AS1014">
            <v>0.2</v>
          </cell>
          <cell r="AT1014">
            <v>-0.04</v>
          </cell>
          <cell r="AU1014">
            <v>0.92</v>
          </cell>
          <cell r="AV1014">
            <v>20</v>
          </cell>
          <cell r="AZ1014">
            <v>0.2</v>
          </cell>
          <cell r="BA1014">
            <v>0.2</v>
          </cell>
        </row>
        <row r="1015">
          <cell r="A1015" t="str">
            <v>FERRAMENTA CROCE DI GIULIANI RACHELE</v>
          </cell>
          <cell r="D1015" t="str">
            <v>VIA TENENTE IORIO, 46/B</v>
          </cell>
          <cell r="E1015" t="str">
            <v>71121</v>
          </cell>
          <cell r="F1015" t="str">
            <v>FOGGIA</v>
          </cell>
          <cell r="G1015" t="str">
            <v>FG</v>
          </cell>
          <cell r="H1015" t="str">
            <v>ITALIA</v>
          </cell>
          <cell r="M1015" t="str">
            <v>UFFICIO ACQUISTI</v>
          </cell>
          <cell r="N1015" t="str">
            <v>0881 723132</v>
          </cell>
          <cell r="R1015" t="str">
            <v>BONIFICO BANCARIO, ALLA DATA DELLA NOSTRA CONFERMA D'ORDINE</v>
          </cell>
          <cell r="X1015">
            <v>0.2</v>
          </cell>
          <cell r="Y1015">
            <v>-0.04</v>
          </cell>
          <cell r="AB1015">
            <v>0.2</v>
          </cell>
          <cell r="AC1015">
            <v>0.2</v>
          </cell>
          <cell r="AD1015">
            <v>0.2</v>
          </cell>
          <cell r="AE1015">
            <v>0.2</v>
          </cell>
          <cell r="AF1015">
            <v>0.2</v>
          </cell>
          <cell r="AG1015">
            <v>0.2</v>
          </cell>
          <cell r="AH1015">
            <v>0.2</v>
          </cell>
          <cell r="AI1015">
            <v>0.2</v>
          </cell>
          <cell r="AJ1015">
            <v>0.2</v>
          </cell>
          <cell r="AK1015">
            <v>0.2</v>
          </cell>
          <cell r="AL1015">
            <v>0.2</v>
          </cell>
          <cell r="AM1015">
            <v>0.2</v>
          </cell>
          <cell r="AN1015">
            <v>0.2</v>
          </cell>
          <cell r="AO1015">
            <v>0.2</v>
          </cell>
          <cell r="AP1015">
            <v>0.2</v>
          </cell>
          <cell r="AQ1015">
            <v>0.2</v>
          </cell>
          <cell r="AR1015">
            <v>0.2</v>
          </cell>
          <cell r="AS1015">
            <v>0.2</v>
          </cell>
          <cell r="AT1015">
            <v>-0.04</v>
          </cell>
          <cell r="AU1015">
            <v>0.92</v>
          </cell>
          <cell r="AV1015">
            <v>20</v>
          </cell>
          <cell r="AZ1015">
            <v>0.2</v>
          </cell>
          <cell r="BA1015">
            <v>0.2</v>
          </cell>
        </row>
        <row r="1016">
          <cell r="A1016" t="str">
            <v>FERRAMENTA CUCCOVILLO</v>
          </cell>
          <cell r="D1016" t="str">
            <v>CORSO CAVOUR, 172</v>
          </cell>
          <cell r="E1016" t="str">
            <v>70121</v>
          </cell>
          <cell r="F1016" t="str">
            <v>BARI</v>
          </cell>
          <cell r="G1016" t="str">
            <v>BA</v>
          </cell>
          <cell r="H1016" t="str">
            <v>ITALIA</v>
          </cell>
          <cell r="I1016" t="str">
            <v>CCCMHL78C20A862H</v>
          </cell>
          <cell r="J1016" t="str">
            <v>04900420792</v>
          </cell>
          <cell r="M1016" t="str">
            <v>UFFICIO ACQUISTI</v>
          </cell>
          <cell r="N1016" t="str">
            <v>080 5212495</v>
          </cell>
          <cell r="R1016" t="str">
            <v>BONIFICO BANCARIO, ALLA DATA DELLA NOSTRA CONFERMA D'ORDINE</v>
          </cell>
          <cell r="X1016">
            <v>0.2</v>
          </cell>
          <cell r="Y1016">
            <v>-0.04</v>
          </cell>
          <cell r="AB1016">
            <v>0.2</v>
          </cell>
          <cell r="AC1016">
            <v>0.2</v>
          </cell>
          <cell r="AD1016">
            <v>0.2</v>
          </cell>
          <cell r="AE1016">
            <v>0.2</v>
          </cell>
          <cell r="AF1016">
            <v>0.2</v>
          </cell>
          <cell r="AG1016">
            <v>0.2</v>
          </cell>
          <cell r="AH1016">
            <v>0.2</v>
          </cell>
          <cell r="AI1016">
            <v>0.2</v>
          </cell>
          <cell r="AJ1016">
            <v>0.2</v>
          </cell>
          <cell r="AK1016">
            <v>0.2</v>
          </cell>
          <cell r="AL1016">
            <v>0.2</v>
          </cell>
          <cell r="AM1016">
            <v>0.2</v>
          </cell>
          <cell r="AN1016">
            <v>0.2</v>
          </cell>
          <cell r="AO1016">
            <v>0.2</v>
          </cell>
          <cell r="AP1016">
            <v>0.2</v>
          </cell>
          <cell r="AQ1016">
            <v>0.2</v>
          </cell>
          <cell r="AR1016">
            <v>0.2</v>
          </cell>
          <cell r="AS1016">
            <v>0.2</v>
          </cell>
          <cell r="AT1016">
            <v>-0.04</v>
          </cell>
          <cell r="AU1016">
            <v>0.92</v>
          </cell>
          <cell r="AV1016">
            <v>20</v>
          </cell>
          <cell r="AZ1016">
            <v>0.2</v>
          </cell>
          <cell r="BA1016">
            <v>0.2</v>
          </cell>
        </row>
        <row r="1017">
          <cell r="A1017" t="str">
            <v>FERRAMENTA DA NICOLA SNC DI CORSI BIAGIO</v>
          </cell>
          <cell r="B1017" t="str">
            <v>30/03/23 NON SONO INTERESSATI</v>
          </cell>
          <cell r="D1017" t="str">
            <v>VIA MICHETTI, 47</v>
          </cell>
          <cell r="E1017" t="str">
            <v>64014</v>
          </cell>
          <cell r="F1017" t="str">
            <v>MARTINSICURO</v>
          </cell>
          <cell r="G1017" t="str">
            <v>TE</v>
          </cell>
          <cell r="H1017" t="str">
            <v>ITALIA</v>
          </cell>
          <cell r="J1017" t="str">
            <v>00805860673</v>
          </cell>
          <cell r="M1017" t="str">
            <v>UFFICIO ACQUISTI</v>
          </cell>
          <cell r="N1017" t="str">
            <v>0861 761253</v>
          </cell>
          <cell r="R1017" t="str">
            <v>BONIFICO BANCARIO, ALLA DATA DELLA NOSTRA CONFERMA D'ORDINE</v>
          </cell>
          <cell r="X1017">
            <v>0.2</v>
          </cell>
          <cell r="Y1017">
            <v>-0.04</v>
          </cell>
          <cell r="AB1017">
            <v>0.2</v>
          </cell>
          <cell r="AC1017">
            <v>0.2</v>
          </cell>
          <cell r="AD1017">
            <v>0.2</v>
          </cell>
          <cell r="AE1017">
            <v>0.2</v>
          </cell>
          <cell r="AF1017">
            <v>0.2</v>
          </cell>
          <cell r="AG1017">
            <v>0.2</v>
          </cell>
          <cell r="AH1017">
            <v>0.2</v>
          </cell>
          <cell r="AI1017">
            <v>0.2</v>
          </cell>
          <cell r="AJ1017">
            <v>0.2</v>
          </cell>
          <cell r="AK1017">
            <v>0.2</v>
          </cell>
          <cell r="AL1017">
            <v>0.2</v>
          </cell>
          <cell r="AM1017">
            <v>0.2</v>
          </cell>
          <cell r="AN1017">
            <v>0.2</v>
          </cell>
          <cell r="AO1017">
            <v>0.2</v>
          </cell>
          <cell r="AP1017">
            <v>0.2</v>
          </cell>
          <cell r="AQ1017">
            <v>0.2</v>
          </cell>
          <cell r="AR1017">
            <v>0.2</v>
          </cell>
          <cell r="AS1017">
            <v>0.2</v>
          </cell>
          <cell r="AT1017">
            <v>-0.04</v>
          </cell>
          <cell r="AU1017">
            <v>0.92</v>
          </cell>
          <cell r="AV1017">
            <v>20</v>
          </cell>
          <cell r="AZ1017">
            <v>0.2</v>
          </cell>
          <cell r="BA1017">
            <v>0.2</v>
          </cell>
        </row>
        <row r="1018">
          <cell r="A1018" t="str">
            <v>FERRAMENTA DEL 2000 SRL</v>
          </cell>
          <cell r="D1018" t="str">
            <v>VIA DEVITO FRANCESCO</v>
          </cell>
          <cell r="E1018" t="str">
            <v>70124</v>
          </cell>
          <cell r="F1018" t="str">
            <v>BARI</v>
          </cell>
          <cell r="G1018" t="str">
            <v>BA</v>
          </cell>
          <cell r="H1018" t="str">
            <v>ITALIA</v>
          </cell>
          <cell r="J1018" t="str">
            <v>05087840723</v>
          </cell>
          <cell r="K1018" t="str">
            <v>M5UXCR1</v>
          </cell>
          <cell r="M1018" t="str">
            <v>UFFICIO ACQUISTI</v>
          </cell>
          <cell r="N1018" t="str">
            <v>080 5573947</v>
          </cell>
          <cell r="P1018" t="str">
            <v>ferramenta.2000@tiscali.it</v>
          </cell>
          <cell r="R1018" t="str">
            <v>BONIFICO BANCARIO, ALLA DATA DELLA NOSTRA CONFERMA D'ORDINE</v>
          </cell>
          <cell r="X1018">
            <v>0.2</v>
          </cell>
          <cell r="Y1018">
            <v>-0.04</v>
          </cell>
          <cell r="AB1018">
            <v>0.2</v>
          </cell>
          <cell r="AC1018">
            <v>0.2</v>
          </cell>
          <cell r="AD1018">
            <v>0.2</v>
          </cell>
          <cell r="AE1018">
            <v>0.2</v>
          </cell>
          <cell r="AF1018">
            <v>0.2</v>
          </cell>
          <cell r="AG1018">
            <v>0.2</v>
          </cell>
          <cell r="AH1018">
            <v>0.2</v>
          </cell>
          <cell r="AI1018">
            <v>0.2</v>
          </cell>
          <cell r="AJ1018">
            <v>0.2</v>
          </cell>
          <cell r="AK1018">
            <v>0.2</v>
          </cell>
          <cell r="AL1018">
            <v>0.2</v>
          </cell>
          <cell r="AM1018">
            <v>0.2</v>
          </cell>
          <cell r="AN1018">
            <v>0.2</v>
          </cell>
          <cell r="AO1018">
            <v>0.2</v>
          </cell>
          <cell r="AP1018">
            <v>0.2</v>
          </cell>
          <cell r="AQ1018">
            <v>0.2</v>
          </cell>
          <cell r="AR1018">
            <v>0.2</v>
          </cell>
          <cell r="AS1018">
            <v>0.2</v>
          </cell>
          <cell r="AT1018">
            <v>-0.04</v>
          </cell>
          <cell r="AU1018">
            <v>0.92</v>
          </cell>
          <cell r="AV1018">
            <v>20</v>
          </cell>
          <cell r="AZ1018">
            <v>0.2</v>
          </cell>
          <cell r="BA1018">
            <v>0.2</v>
          </cell>
        </row>
        <row r="1019">
          <cell r="A1019" t="str">
            <v>FERRAMENTA DEL BORGO</v>
          </cell>
          <cell r="D1019" t="str">
            <v>VIA TRE VENEZIE, 168 A</v>
          </cell>
          <cell r="E1019" t="str">
            <v>05100</v>
          </cell>
          <cell r="F1019" t="str">
            <v>TERNI</v>
          </cell>
          <cell r="G1019" t="str">
            <v>TR</v>
          </cell>
          <cell r="H1019" t="str">
            <v>ITALIA</v>
          </cell>
          <cell r="M1019" t="str">
            <v>UFFICIO ACQUISTI</v>
          </cell>
          <cell r="N1019" t="str">
            <v>0744 412648</v>
          </cell>
          <cell r="R1019" t="str">
            <v>BONIFICO BANCARIO, ALLA DATA DELLA NOSTRA CONFERMA D'ORDINE</v>
          </cell>
          <cell r="Y1019">
            <v>-0.04</v>
          </cell>
          <cell r="AT1019">
            <v>-0.04</v>
          </cell>
          <cell r="AV1019">
            <v>20</v>
          </cell>
          <cell r="AZ1019">
            <v>0</v>
          </cell>
          <cell r="BA1019">
            <v>0</v>
          </cell>
        </row>
        <row r="1020">
          <cell r="A1020" t="str">
            <v>FERRAMENTA DEL LIDO SNC DI GAVAGNIN M.</v>
          </cell>
          <cell r="D1020" t="str">
            <v>LIDO DI VENEZIA</v>
          </cell>
          <cell r="E1020">
            <v>30126</v>
          </cell>
          <cell r="F1020" t="str">
            <v>LIDO DI VENEZIA</v>
          </cell>
          <cell r="G1020" t="str">
            <v>VE</v>
          </cell>
          <cell r="H1020" t="str">
            <v>ITALIA</v>
          </cell>
          <cell r="J1020" t="str">
            <v>00161990270</v>
          </cell>
          <cell r="M1020" t="str">
            <v>UFFICIO ACQUISTI</v>
          </cell>
          <cell r="N1020" t="str">
            <v>0415 265301</v>
          </cell>
          <cell r="R1020" t="str">
            <v>BONIFICO BANCARIO, ALLA DATA DELLA NOSTRA CONFERMA D'ORDINE</v>
          </cell>
          <cell r="W1020" t="str">
            <v>ACQUA SALATA</v>
          </cell>
          <cell r="X1020">
            <v>0.25</v>
          </cell>
          <cell r="Y1020">
            <v>-0.04</v>
          </cell>
          <cell r="AB1020">
            <v>0.25</v>
          </cell>
          <cell r="AC1020">
            <v>0.25</v>
          </cell>
          <cell r="AD1020">
            <v>0.25</v>
          </cell>
          <cell r="AE1020">
            <v>0.25</v>
          </cell>
          <cell r="AF1020">
            <v>0.25</v>
          </cell>
          <cell r="AG1020">
            <v>0.25</v>
          </cell>
          <cell r="AH1020">
            <v>0.25</v>
          </cell>
          <cell r="AI1020">
            <v>0.25</v>
          </cell>
          <cell r="AJ1020">
            <v>0.25</v>
          </cell>
          <cell r="AK1020">
            <v>0.25</v>
          </cell>
          <cell r="AL1020">
            <v>0.25</v>
          </cell>
          <cell r="AM1020">
            <v>0.25</v>
          </cell>
          <cell r="AN1020">
            <v>0.25</v>
          </cell>
          <cell r="AO1020">
            <v>0.25</v>
          </cell>
          <cell r="AP1020">
            <v>0.25</v>
          </cell>
          <cell r="AQ1020">
            <v>0.25</v>
          </cell>
          <cell r="AR1020">
            <v>0.25</v>
          </cell>
          <cell r="AS1020">
            <v>0.25</v>
          </cell>
          <cell r="AT1020">
            <v>-0.04</v>
          </cell>
          <cell r="AU1020">
            <v>0.92</v>
          </cell>
          <cell r="AV1020">
            <v>20</v>
          </cell>
          <cell r="AY1020" t="str">
            <v/>
          </cell>
          <cell r="AZ1020">
            <v>0.25</v>
          </cell>
          <cell r="BA1020">
            <v>0.25</v>
          </cell>
        </row>
        <row r="1021">
          <cell r="A1021" t="str">
            <v>FERRAMENTA FACCHINETTI ANGELO SRL</v>
          </cell>
          <cell r="B1021" t="str">
            <v>UFFICIO ACQUISTI CLAUDIO MARCIONI</v>
          </cell>
          <cell r="D1021" t="str">
            <v>VIA PROVINCIALE, 7</v>
          </cell>
          <cell r="E1021" t="str">
            <v>24040</v>
          </cell>
          <cell r="F1021" t="str">
            <v>LALLIO</v>
          </cell>
          <cell r="G1021" t="str">
            <v>BG</v>
          </cell>
          <cell r="H1021" t="str">
            <v>ITALIA</v>
          </cell>
          <cell r="J1021" t="str">
            <v>02999210160</v>
          </cell>
          <cell r="M1021" t="str">
            <v>UFFICIO ACQUISTI</v>
          </cell>
          <cell r="N1021" t="str">
            <v>035 690016</v>
          </cell>
          <cell r="P1021" t="str">
            <v>giorgio@ferramentafacchinetti.it</v>
          </cell>
          <cell r="R1021" t="str">
            <v>BONIFICO BANCARIO, ALLA DATA DELLA NOSTRA CONFERMA D'ORDINE</v>
          </cell>
          <cell r="X1021">
            <v>0.2</v>
          </cell>
          <cell r="Y1021">
            <v>-0.04</v>
          </cell>
          <cell r="AB1021">
            <v>0.2</v>
          </cell>
          <cell r="AC1021">
            <v>0.2</v>
          </cell>
          <cell r="AD1021">
            <v>0.2</v>
          </cell>
          <cell r="AE1021">
            <v>0.2</v>
          </cell>
          <cell r="AF1021">
            <v>0.2</v>
          </cell>
          <cell r="AG1021">
            <v>0.2</v>
          </cell>
          <cell r="AH1021">
            <v>0.2</v>
          </cell>
          <cell r="AI1021">
            <v>0.2</v>
          </cell>
          <cell r="AJ1021">
            <v>0.2</v>
          </cell>
          <cell r="AK1021">
            <v>0.2</v>
          </cell>
          <cell r="AL1021">
            <v>0.2</v>
          </cell>
          <cell r="AM1021">
            <v>0.2</v>
          </cell>
          <cell r="AN1021">
            <v>0.2</v>
          </cell>
          <cell r="AO1021">
            <v>0.2</v>
          </cell>
          <cell r="AP1021">
            <v>0.2</v>
          </cell>
          <cell r="AQ1021">
            <v>0.2</v>
          </cell>
          <cell r="AR1021">
            <v>0.2</v>
          </cell>
          <cell r="AS1021">
            <v>0.2</v>
          </cell>
          <cell r="AT1021">
            <v>-0.04</v>
          </cell>
          <cell r="AU1021">
            <v>0.92</v>
          </cell>
          <cell r="AV1021">
            <v>20</v>
          </cell>
          <cell r="AZ1021">
            <v>0.2</v>
          </cell>
          <cell r="BA1021">
            <v>0.2</v>
          </cell>
        </row>
        <row r="1022">
          <cell r="A1022" t="str">
            <v>FERRAMENTA FAVARETTO SNC</v>
          </cell>
          <cell r="D1022" t="str">
            <v>VIA NEGROPONTE, 4 D</v>
          </cell>
          <cell r="E1022">
            <v>30126</v>
          </cell>
          <cell r="F1022" t="str">
            <v>LIDO DI VENEZIA</v>
          </cell>
          <cell r="G1022" t="str">
            <v>VE</v>
          </cell>
          <cell r="H1022" t="str">
            <v>ITALIA</v>
          </cell>
          <cell r="I1022">
            <v>3655380271</v>
          </cell>
          <cell r="J1022">
            <v>3655380271</v>
          </cell>
          <cell r="M1022" t="str">
            <v>UFFICIO ACQUISTI</v>
          </cell>
          <cell r="N1022" t="str">
            <v>041 5261264</v>
          </cell>
          <cell r="P1022" t="str">
            <v>info@ferramentafavaretto.com</v>
          </cell>
          <cell r="R1022" t="str">
            <v>BONIFICO BANCARIO, ALLA DATA DELLA NOSTRA CONFERMA D'ORDINE</v>
          </cell>
          <cell r="W1022" t="str">
            <v>ACQUA SALATA</v>
          </cell>
          <cell r="X1022">
            <v>0.25</v>
          </cell>
          <cell r="Y1022">
            <v>-0.04</v>
          </cell>
          <cell r="AB1022">
            <v>0.25</v>
          </cell>
          <cell r="AC1022">
            <v>0.25</v>
          </cell>
          <cell r="AD1022">
            <v>0.25</v>
          </cell>
          <cell r="AE1022">
            <v>0.25</v>
          </cell>
          <cell r="AF1022">
            <v>0.25</v>
          </cell>
          <cell r="AG1022">
            <v>0.25</v>
          </cell>
          <cell r="AH1022">
            <v>0.25</v>
          </cell>
          <cell r="AI1022">
            <v>0.25</v>
          </cell>
          <cell r="AJ1022">
            <v>0.25</v>
          </cell>
          <cell r="AK1022">
            <v>0.25</v>
          </cell>
          <cell r="AL1022">
            <v>0.25</v>
          </cell>
          <cell r="AM1022">
            <v>0.25</v>
          </cell>
          <cell r="AN1022">
            <v>0.25</v>
          </cell>
          <cell r="AO1022">
            <v>0.25</v>
          </cell>
          <cell r="AP1022">
            <v>0.25</v>
          </cell>
          <cell r="AQ1022">
            <v>0.25</v>
          </cell>
          <cell r="AR1022">
            <v>0.25</v>
          </cell>
          <cell r="AS1022">
            <v>0.25</v>
          </cell>
          <cell r="AT1022">
            <v>-0.04</v>
          </cell>
          <cell r="AU1022">
            <v>0.92</v>
          </cell>
          <cell r="AV1022">
            <v>20</v>
          </cell>
          <cell r="AY1022" t="str">
            <v/>
          </cell>
          <cell r="AZ1022">
            <v>0.25</v>
          </cell>
          <cell r="BA1022">
            <v>0.25</v>
          </cell>
        </row>
        <row r="1023">
          <cell r="A1023" t="str">
            <v>FERRAMENTA FERRARI PIETRO DI FERRARI MICHELA</v>
          </cell>
          <cell r="D1023" t="str">
            <v>VIA G. MATTEOTTI, 2/A1</v>
          </cell>
          <cell r="E1023" t="str">
            <v>25034</v>
          </cell>
          <cell r="F1023" t="str">
            <v>ORZINUOVI</v>
          </cell>
          <cell r="G1023" t="str">
            <v>BS</v>
          </cell>
          <cell r="H1023" t="str">
            <v>ITALIA</v>
          </cell>
          <cell r="J1023" t="str">
            <v>04003950989</v>
          </cell>
          <cell r="K1023" t="str">
            <v>5RUO82D</v>
          </cell>
          <cell r="M1023" t="str">
            <v>UFFICIO ACQUISTI</v>
          </cell>
          <cell r="N1023" t="str">
            <v>030 941111</v>
          </cell>
          <cell r="P1023" t="str">
            <v>giapi0507@libero.it</v>
          </cell>
          <cell r="R1023" t="str">
            <v>BONIFICO BANCARIO, ALLA DATA DELLA NOSTRA CONFERMA D'ORDINE</v>
          </cell>
          <cell r="Y1023">
            <v>-0.04</v>
          </cell>
          <cell r="AT1023">
            <v>-0.04</v>
          </cell>
          <cell r="AV1023">
            <v>20</v>
          </cell>
          <cell r="AZ1023">
            <v>0</v>
          </cell>
          <cell r="BA1023">
            <v>0</v>
          </cell>
        </row>
        <row r="1024">
          <cell r="A1024" t="str">
            <v>FERRAMENTA FLORIO NICOLA</v>
          </cell>
          <cell r="D1024" t="str">
            <v>VIA VITTORIO VENETO, 58 CARBONARA</v>
          </cell>
          <cell r="E1024" t="str">
            <v>70131</v>
          </cell>
          <cell r="F1024" t="str">
            <v>BARI</v>
          </cell>
          <cell r="G1024" t="str">
            <v>BA</v>
          </cell>
          <cell r="H1024" t="str">
            <v>ITALIA</v>
          </cell>
          <cell r="J1024" t="str">
            <v>05090860726</v>
          </cell>
          <cell r="M1024" t="str">
            <v>UFFICIO ACQUISTI</v>
          </cell>
          <cell r="N1024" t="str">
            <v>080 5034964</v>
          </cell>
          <cell r="P1024" t="str">
            <v>ferramentaflorio@4umagazine.net</v>
          </cell>
          <cell r="R1024" t="str">
            <v>BONIFICO BANCARIO, ALLA DATA DELLA NOSTRA CONFERMA D'ORDINE</v>
          </cell>
          <cell r="X1024">
            <v>0.2</v>
          </cell>
          <cell r="Y1024">
            <v>-0.04</v>
          </cell>
          <cell r="AB1024">
            <v>0.2</v>
          </cell>
          <cell r="AC1024">
            <v>0.2</v>
          </cell>
          <cell r="AD1024">
            <v>0.2</v>
          </cell>
          <cell r="AE1024">
            <v>0.2</v>
          </cell>
          <cell r="AF1024">
            <v>0.2</v>
          </cell>
          <cell r="AG1024">
            <v>0.2</v>
          </cell>
          <cell r="AH1024">
            <v>0.2</v>
          </cell>
          <cell r="AI1024">
            <v>0.2</v>
          </cell>
          <cell r="AJ1024">
            <v>0.2</v>
          </cell>
          <cell r="AK1024">
            <v>0.2</v>
          </cell>
          <cell r="AL1024">
            <v>0.2</v>
          </cell>
          <cell r="AM1024">
            <v>0.2</v>
          </cell>
          <cell r="AN1024">
            <v>0.2</v>
          </cell>
          <cell r="AO1024">
            <v>0.2</v>
          </cell>
          <cell r="AP1024">
            <v>0.2</v>
          </cell>
          <cell r="AQ1024">
            <v>0.2</v>
          </cell>
          <cell r="AR1024">
            <v>0.2</v>
          </cell>
          <cell r="AS1024">
            <v>0.2</v>
          </cell>
          <cell r="AT1024">
            <v>-0.04</v>
          </cell>
          <cell r="AU1024">
            <v>0.92</v>
          </cell>
          <cell r="AV1024">
            <v>20</v>
          </cell>
          <cell r="AZ1024">
            <v>0.2</v>
          </cell>
          <cell r="BA1024">
            <v>0.2</v>
          </cell>
        </row>
        <row r="1025">
          <cell r="A1025" t="str">
            <v>FERRAMENTA FORNAROLI</v>
          </cell>
          <cell r="B1025" t="str">
            <v>RAG. FABIO</v>
          </cell>
          <cell r="D1025" t="str">
            <v>VIA GHINAGLIA, 84/86</v>
          </cell>
          <cell r="E1025" t="str">
            <v>26100</v>
          </cell>
          <cell r="F1025" t="str">
            <v>CREMONA</v>
          </cell>
          <cell r="G1025" t="str">
            <v>CR</v>
          </cell>
          <cell r="H1025" t="str">
            <v>ITALIA</v>
          </cell>
          <cell r="J1025" t="str">
            <v>01130870197</v>
          </cell>
          <cell r="M1025" t="str">
            <v>UFFICIO ACQUISTI</v>
          </cell>
          <cell r="N1025" t="str">
            <v>0372 28986</v>
          </cell>
          <cell r="R1025" t="str">
            <v>BONIFICO BANCARIO, ALLA DATA DELLA NOSTRA CONFERMA D'ORDINE</v>
          </cell>
          <cell r="Y1025">
            <v>-0.04</v>
          </cell>
          <cell r="AT1025">
            <v>-0.04</v>
          </cell>
          <cell r="AV1025">
            <v>20</v>
          </cell>
          <cell r="AZ1025">
            <v>0</v>
          </cell>
          <cell r="BA1025">
            <v>0</v>
          </cell>
        </row>
        <row r="1026">
          <cell r="A1026" t="str">
            <v>FERRAMENTA GATTI MICHELE</v>
          </cell>
          <cell r="D1026" t="str">
            <v>VIA TRIESTE, 13 15</v>
          </cell>
          <cell r="E1026" t="str">
            <v>25037</v>
          </cell>
          <cell r="F1026" t="str">
            <v>PONTOGLIO</v>
          </cell>
          <cell r="G1026" t="str">
            <v>BS</v>
          </cell>
          <cell r="H1026" t="str">
            <v>ITALIA</v>
          </cell>
          <cell r="J1026" t="str">
            <v>02085560981</v>
          </cell>
          <cell r="M1026" t="str">
            <v>UFFICIO ACQUISTI</v>
          </cell>
          <cell r="N1026" t="str">
            <v>030 737067</v>
          </cell>
          <cell r="O1026" t="str">
            <v>333 2356157</v>
          </cell>
          <cell r="P1026" t="str">
            <v>ferramentagatti@gmail.com</v>
          </cell>
          <cell r="R1026" t="str">
            <v>BONIFICO BANCARIO, ALLA DATA DELLA NOSTRA CONFERMA D'ORDINE</v>
          </cell>
          <cell r="Y1026">
            <v>-0.04</v>
          </cell>
          <cell r="AT1026">
            <v>-0.04</v>
          </cell>
          <cell r="AV1026">
            <v>20</v>
          </cell>
          <cell r="AZ1026">
            <v>0</v>
          </cell>
          <cell r="BA1026">
            <v>0</v>
          </cell>
        </row>
        <row r="1027">
          <cell r="A1027" t="str">
            <v>FERRAMENTA GIACOPINI SERGIO</v>
          </cell>
          <cell r="D1027" t="str">
            <v>VIA PIAVE, 58</v>
          </cell>
          <cell r="E1027" t="str">
            <v>25025</v>
          </cell>
          <cell r="F1027" t="str">
            <v>MANERBIO</v>
          </cell>
          <cell r="G1027" t="str">
            <v>BS</v>
          </cell>
          <cell r="H1027" t="str">
            <v xml:space="preserve">ITALIA </v>
          </cell>
          <cell r="J1027" t="str">
            <v>00202510988</v>
          </cell>
          <cell r="M1027" t="str">
            <v>UFFICIO ACQUISTI</v>
          </cell>
          <cell r="N1027" t="str">
            <v>030 9380341</v>
          </cell>
          <cell r="P1027" t="str">
            <v>ferramentagiacopini@alice.it</v>
          </cell>
          <cell r="R1027" t="str">
            <v>BONIFICO BANCARIO, ALLA DATA DELLA NOSTRA CONFERMA D'ORDINE</v>
          </cell>
          <cell r="Y1027">
            <v>-0.04</v>
          </cell>
          <cell r="AT1027">
            <v>-0.04</v>
          </cell>
          <cell r="AV1027">
            <v>20</v>
          </cell>
          <cell r="AZ1027">
            <v>0</v>
          </cell>
          <cell r="BA1027">
            <v>0</v>
          </cell>
        </row>
        <row r="1028">
          <cell r="A1028" t="str">
            <v>FERRAMENTA GIUDICI DI G.PUTEO &amp; C. SAS</v>
          </cell>
          <cell r="D1028" t="str">
            <v>VIA VITTIME CIVILI, 108</v>
          </cell>
          <cell r="E1028" t="str">
            <v>71121</v>
          </cell>
          <cell r="F1028" t="str">
            <v>FOGGIA</v>
          </cell>
          <cell r="G1028" t="str">
            <v>FG</v>
          </cell>
          <cell r="H1028" t="str">
            <v>ITALIA</v>
          </cell>
          <cell r="J1028" t="str">
            <v>02038120717</v>
          </cell>
          <cell r="M1028" t="str">
            <v>UFFICIO ACQUISTI</v>
          </cell>
          <cell r="N1028" t="str">
            <v>0881 711275</v>
          </cell>
          <cell r="P1028" t="str">
            <v>info@ferramentagiudici.it</v>
          </cell>
          <cell r="R1028" t="str">
            <v>BONIFICO BANCARIO, ALLA DATA DELLA NOSTRA CONFERMA D'ORDINE</v>
          </cell>
          <cell r="X1028">
            <v>0.2</v>
          </cell>
          <cell r="Y1028">
            <v>-0.04</v>
          </cell>
          <cell r="AB1028">
            <v>0.2</v>
          </cell>
          <cell r="AC1028">
            <v>0.2</v>
          </cell>
          <cell r="AD1028">
            <v>0.2</v>
          </cell>
          <cell r="AE1028">
            <v>0.2</v>
          </cell>
          <cell r="AF1028">
            <v>0.2</v>
          </cell>
          <cell r="AG1028">
            <v>0.2</v>
          </cell>
          <cell r="AH1028">
            <v>0.2</v>
          </cell>
          <cell r="AI1028">
            <v>0.2</v>
          </cell>
          <cell r="AJ1028">
            <v>0.2</v>
          </cell>
          <cell r="AK1028">
            <v>0.2</v>
          </cell>
          <cell r="AL1028">
            <v>0.2</v>
          </cell>
          <cell r="AM1028">
            <v>0.2</v>
          </cell>
          <cell r="AN1028">
            <v>0.2</v>
          </cell>
          <cell r="AO1028">
            <v>0.2</v>
          </cell>
          <cell r="AP1028">
            <v>0.2</v>
          </cell>
          <cell r="AQ1028">
            <v>0.2</v>
          </cell>
          <cell r="AR1028">
            <v>0.2</v>
          </cell>
          <cell r="AS1028">
            <v>0.2</v>
          </cell>
          <cell r="AT1028">
            <v>-0.04</v>
          </cell>
          <cell r="AU1028">
            <v>0.92</v>
          </cell>
          <cell r="AV1028">
            <v>20</v>
          </cell>
          <cell r="AZ1028">
            <v>0.2</v>
          </cell>
          <cell r="BA1028">
            <v>0.2</v>
          </cell>
        </row>
        <row r="1029">
          <cell r="A1029" t="str">
            <v>FERRAMENTA GLG DI GIACOMAZZI GUIDO</v>
          </cell>
          <cell r="D1029" t="str">
            <v>VIA XX SETTEMBRE, 51</v>
          </cell>
          <cell r="E1029" t="str">
            <v>25016</v>
          </cell>
          <cell r="F1029" t="str">
            <v xml:space="preserve">GHEDI </v>
          </cell>
          <cell r="G1029" t="str">
            <v>BS</v>
          </cell>
          <cell r="H1029" t="str">
            <v>ITALIA</v>
          </cell>
          <cell r="J1029" t="str">
            <v>03627810983</v>
          </cell>
          <cell r="M1029" t="str">
            <v>UFFICIO ACQUISTI</v>
          </cell>
          <cell r="N1029" t="str">
            <v>030 9032540</v>
          </cell>
          <cell r="R1029" t="str">
            <v>BONIFICO BANCARIO, ALLA DATA DELLA NOSTRA CONFERMA D'ORDINE</v>
          </cell>
          <cell r="Y1029">
            <v>-0.04</v>
          </cell>
          <cell r="AT1029">
            <v>-0.04</v>
          </cell>
          <cell r="AV1029">
            <v>20</v>
          </cell>
          <cell r="AZ1029">
            <v>0</v>
          </cell>
          <cell r="BA1029">
            <v>0</v>
          </cell>
        </row>
        <row r="1030">
          <cell r="A1030" t="str">
            <v>FERRAMENTA GNOCCHI DI DHARAM PAL</v>
          </cell>
          <cell r="B1030" t="str">
            <v>21/03/23 NON SONO INTERESSATI</v>
          </cell>
          <cell r="D1030" t="str">
            <v>VIA CAVOUR, 2 A</v>
          </cell>
          <cell r="E1030" t="str">
            <v>29016</v>
          </cell>
          <cell r="F1030" t="str">
            <v>CORTEMAGGIORE</v>
          </cell>
          <cell r="G1030" t="str">
            <v>PC</v>
          </cell>
          <cell r="H1030" t="str">
            <v>ITALIA</v>
          </cell>
          <cell r="M1030" t="str">
            <v>UFFICIO ACQUISTI</v>
          </cell>
          <cell r="N1030" t="str">
            <v>0523 836629</v>
          </cell>
          <cell r="P1030" t="str">
            <v>dharam@alice.it</v>
          </cell>
          <cell r="R1030" t="str">
            <v>BONIFICO BANCARIO, ALLA DATA DELLA NOSTRA CONFERMA D'ORDINE</v>
          </cell>
          <cell r="Y1030">
            <v>-0.04</v>
          </cell>
          <cell r="AT1030">
            <v>-0.04</v>
          </cell>
          <cell r="AV1030">
            <v>20</v>
          </cell>
          <cell r="AZ1030">
            <v>0</v>
          </cell>
          <cell r="BA1030">
            <v>0</v>
          </cell>
        </row>
        <row r="1031">
          <cell r="A1031" t="str">
            <v>FERRAMENTA INDUSTRIALE BONACINA SRL</v>
          </cell>
          <cell r="B1031" t="str">
            <v>ENRICO BONACINAAMM.RE  DIRETTORE VENDITE- BRAVO MANDA MAIL</v>
          </cell>
          <cell r="D1031" t="str">
            <v>VIALE EUROPA, 2/G CURNASCO</v>
          </cell>
          <cell r="E1031" t="str">
            <v>24048</v>
          </cell>
          <cell r="F1031" t="str">
            <v>TREVIOLO</v>
          </cell>
          <cell r="G1031" t="str">
            <v>BG</v>
          </cell>
          <cell r="H1031" t="str">
            <v>ITALIA</v>
          </cell>
          <cell r="J1031" t="str">
            <v>00727710162</v>
          </cell>
          <cell r="M1031" t="str">
            <v>UFFICIO ACQUISTI</v>
          </cell>
          <cell r="N1031" t="str">
            <v>035 201266</v>
          </cell>
          <cell r="R1031" t="str">
            <v>BONIFICO BANCARIO, ALLA DATA DELLA NOSTRA CONFERMA D'ORDINE</v>
          </cell>
          <cell r="X1031">
            <v>0.2</v>
          </cell>
          <cell r="Y1031">
            <v>-0.04</v>
          </cell>
          <cell r="AB1031">
            <v>0.2</v>
          </cell>
          <cell r="AC1031">
            <v>0.2</v>
          </cell>
          <cell r="AD1031">
            <v>0.2</v>
          </cell>
          <cell r="AE1031">
            <v>0.2</v>
          </cell>
          <cell r="AF1031">
            <v>0.2</v>
          </cell>
          <cell r="AG1031">
            <v>0.2</v>
          </cell>
          <cell r="AH1031">
            <v>0.2</v>
          </cell>
          <cell r="AI1031">
            <v>0.2</v>
          </cell>
          <cell r="AJ1031">
            <v>0.2</v>
          </cell>
          <cell r="AK1031">
            <v>0.2</v>
          </cell>
          <cell r="AL1031">
            <v>0.2</v>
          </cell>
          <cell r="AM1031">
            <v>0.2</v>
          </cell>
          <cell r="AN1031">
            <v>0.2</v>
          </cell>
          <cell r="AO1031">
            <v>0.2</v>
          </cell>
          <cell r="AP1031">
            <v>0.2</v>
          </cell>
          <cell r="AQ1031">
            <v>0.2</v>
          </cell>
          <cell r="AR1031">
            <v>0.2</v>
          </cell>
          <cell r="AS1031">
            <v>0.2</v>
          </cell>
          <cell r="AT1031">
            <v>-0.04</v>
          </cell>
          <cell r="AU1031">
            <v>0.92</v>
          </cell>
          <cell r="AV1031">
            <v>20</v>
          </cell>
          <cell r="AZ1031">
            <v>0.2</v>
          </cell>
          <cell r="BA1031">
            <v>0.2</v>
          </cell>
        </row>
        <row r="1032">
          <cell r="A1032" t="str">
            <v>FERRAMENTA ISEO</v>
          </cell>
          <cell r="B1032" t="str">
            <v>INTERESSATO, VUOLE FILMATO DA FAR GIRARE SUL MONITOR INTERNO</v>
          </cell>
          <cell r="D1032" t="str">
            <v>VIA ROMA, 94</v>
          </cell>
          <cell r="F1032" t="str">
            <v>ISEO</v>
          </cell>
          <cell r="G1032" t="str">
            <v>BS</v>
          </cell>
          <cell r="H1032" t="str">
            <v>ITALIA</v>
          </cell>
          <cell r="M1032" t="str">
            <v>UFFICIO ACQUISTI</v>
          </cell>
          <cell r="N1032" t="str">
            <v>030 981961</v>
          </cell>
          <cell r="P1032" t="str">
            <v>feriseo@libero.it</v>
          </cell>
          <cell r="R1032" t="str">
            <v>BONIFICO BANCARIO, ALLA DATA DELLA NOSTRA CONFERMA D'ORDINE</v>
          </cell>
          <cell r="Y1032">
            <v>-0.04</v>
          </cell>
          <cell r="AT1032">
            <v>-0.04</v>
          </cell>
          <cell r="AV1032">
            <v>20</v>
          </cell>
          <cell r="AZ1032">
            <v>0</v>
          </cell>
          <cell r="BA1032">
            <v>0</v>
          </cell>
        </row>
        <row r="1033">
          <cell r="A1033" t="str">
            <v>FERRAMENTA MAGRE'</v>
          </cell>
          <cell r="B1033" t="str">
            <v>"AMICO DI CERBARO"</v>
          </cell>
          <cell r="D1033" t="str">
            <v>VIA PADOVA, 11</v>
          </cell>
          <cell r="E1033" t="str">
            <v>36015</v>
          </cell>
          <cell r="F1033" t="str">
            <v>SCHIO</v>
          </cell>
          <cell r="G1033" t="str">
            <v>VI</v>
          </cell>
          <cell r="H1033" t="str">
            <v>ITALIA</v>
          </cell>
          <cell r="J1033" t="str">
            <v>03364370241</v>
          </cell>
          <cell r="M1033" t="str">
            <v>UFFICIO ACQUISTI</v>
          </cell>
          <cell r="N1033" t="str">
            <v>0445 531640</v>
          </cell>
          <cell r="P1033" t="str">
            <v>enrico@ferramentamagre.it</v>
          </cell>
          <cell r="R1033" t="str">
            <v>BONIFICO BANCARIO, ALLA DATA DELLA NOSTRA CONFERMA D'ORDINE</v>
          </cell>
          <cell r="X1033">
            <v>0.2</v>
          </cell>
          <cell r="Y1033">
            <v>-0.04</v>
          </cell>
          <cell r="AB1033">
            <v>0.2</v>
          </cell>
          <cell r="AC1033">
            <v>0.2</v>
          </cell>
          <cell r="AD1033">
            <v>0.2</v>
          </cell>
          <cell r="AE1033">
            <v>0.2</v>
          </cell>
          <cell r="AF1033">
            <v>0.2</v>
          </cell>
          <cell r="AG1033">
            <v>0.2</v>
          </cell>
          <cell r="AH1033">
            <v>0.2</v>
          </cell>
          <cell r="AI1033">
            <v>0.2</v>
          </cell>
          <cell r="AJ1033">
            <v>0.2</v>
          </cell>
          <cell r="AK1033">
            <v>0.2</v>
          </cell>
          <cell r="AL1033">
            <v>0.2</v>
          </cell>
          <cell r="AM1033">
            <v>0.2</v>
          </cell>
          <cell r="AN1033">
            <v>0.2</v>
          </cell>
          <cell r="AO1033">
            <v>0.2</v>
          </cell>
          <cell r="AP1033">
            <v>0.2</v>
          </cell>
          <cell r="AQ1033">
            <v>0.2</v>
          </cell>
          <cell r="AR1033">
            <v>0.2</v>
          </cell>
          <cell r="AS1033">
            <v>0.2</v>
          </cell>
          <cell r="AT1033">
            <v>-0.04</v>
          </cell>
          <cell r="AU1033">
            <v>0.92</v>
          </cell>
          <cell r="AV1033">
            <v>20</v>
          </cell>
          <cell r="AZ1033">
            <v>0.2</v>
          </cell>
          <cell r="BA1033">
            <v>0.2</v>
          </cell>
        </row>
        <row r="1034">
          <cell r="A1034" t="str">
            <v>FERRAMENTA MALGORA</v>
          </cell>
          <cell r="D1034" t="str">
            <v>VIA GRAMSCI, 31</v>
          </cell>
          <cell r="E1034" t="str">
            <v>20056</v>
          </cell>
          <cell r="F1034" t="str">
            <v>TREZZO SULL'ADDA</v>
          </cell>
          <cell r="G1034" t="str">
            <v>MI</v>
          </cell>
          <cell r="H1034" t="str">
            <v>ITALIA</v>
          </cell>
          <cell r="M1034" t="str">
            <v>UFFICIO ACQUISTI</v>
          </cell>
          <cell r="N1034" t="str">
            <v>02 9090263</v>
          </cell>
          <cell r="P1034" t="str">
            <v>v.daniela@ferramentamalgora.it</v>
          </cell>
          <cell r="R1034" t="str">
            <v>BONIFICO BANCARIO, ALLA DATA DELLA NOSTRA CONFERMA D'ORDINE</v>
          </cell>
          <cell r="X1034">
            <v>0.2</v>
          </cell>
          <cell r="Y1034">
            <v>-0.04</v>
          </cell>
          <cell r="AB1034">
            <v>0.2</v>
          </cell>
          <cell r="AC1034">
            <v>0.2</v>
          </cell>
          <cell r="AD1034">
            <v>0.2</v>
          </cell>
          <cell r="AE1034">
            <v>0.2</v>
          </cell>
          <cell r="AF1034">
            <v>0.2</v>
          </cell>
          <cell r="AG1034">
            <v>0.2</v>
          </cell>
          <cell r="AH1034">
            <v>0.2</v>
          </cell>
          <cell r="AI1034">
            <v>0.2</v>
          </cell>
          <cell r="AJ1034">
            <v>0.2</v>
          </cell>
          <cell r="AK1034">
            <v>0.2</v>
          </cell>
          <cell r="AL1034">
            <v>0.2</v>
          </cell>
          <cell r="AM1034">
            <v>0.2</v>
          </cell>
          <cell r="AN1034">
            <v>0.2</v>
          </cell>
          <cell r="AO1034">
            <v>0.2</v>
          </cell>
          <cell r="AP1034">
            <v>0.2</v>
          </cell>
          <cell r="AQ1034">
            <v>0.2</v>
          </cell>
          <cell r="AR1034">
            <v>0.2</v>
          </cell>
          <cell r="AS1034">
            <v>0.2</v>
          </cell>
          <cell r="AT1034">
            <v>-0.04</v>
          </cell>
          <cell r="AU1034">
            <v>0.92</v>
          </cell>
          <cell r="AV1034">
            <v>20</v>
          </cell>
          <cell r="AZ1034">
            <v>0.2</v>
          </cell>
          <cell r="BA1034">
            <v>0.2</v>
          </cell>
        </row>
        <row r="1035">
          <cell r="A1035" t="str">
            <v>FERRAMENTA MALIN DI MALIN VALENTIVO</v>
          </cell>
          <cell r="D1035" t="str">
            <v>VIA D'ESPAGNAC, 54 B</v>
          </cell>
          <cell r="E1035" t="str">
            <v>45021</v>
          </cell>
          <cell r="F1035" t="str">
            <v>BADIA POLESINE</v>
          </cell>
          <cell r="G1035" t="str">
            <v>RO</v>
          </cell>
          <cell r="H1035" t="str">
            <v>ITALIA</v>
          </cell>
          <cell r="I1035" t="str">
            <v>MLNVNT45B14C122M</v>
          </cell>
          <cell r="J1035" t="str">
            <v>01014320293</v>
          </cell>
          <cell r="M1035" t="str">
            <v>UFFICIO ACQUISTI</v>
          </cell>
          <cell r="N1035" t="str">
            <v>0425 52701</v>
          </cell>
          <cell r="R1035" t="str">
            <v>BONIFICO BANCARIO, ALLA DATA DELLA NOSTRA CONFERMA D'ORDINE</v>
          </cell>
          <cell r="X1035">
            <v>0.25</v>
          </cell>
          <cell r="Y1035">
            <v>-0.04</v>
          </cell>
          <cell r="AB1035">
            <v>0.25</v>
          </cell>
          <cell r="AC1035">
            <v>0.25</v>
          </cell>
          <cell r="AD1035">
            <v>0.25</v>
          </cell>
          <cell r="AE1035">
            <v>0.25</v>
          </cell>
          <cell r="AF1035">
            <v>0.25</v>
          </cell>
          <cell r="AG1035">
            <v>0.25</v>
          </cell>
          <cell r="AH1035">
            <v>0.25</v>
          </cell>
          <cell r="AI1035">
            <v>0.25</v>
          </cell>
          <cell r="AJ1035">
            <v>0.25</v>
          </cell>
          <cell r="AK1035">
            <v>0.25</v>
          </cell>
          <cell r="AL1035">
            <v>0.25</v>
          </cell>
          <cell r="AM1035">
            <v>0.25</v>
          </cell>
          <cell r="AN1035">
            <v>0.25</v>
          </cell>
          <cell r="AO1035">
            <v>0.25</v>
          </cell>
          <cell r="AP1035">
            <v>0.25</v>
          </cell>
          <cell r="AQ1035">
            <v>0.25</v>
          </cell>
          <cell r="AR1035">
            <v>0.25</v>
          </cell>
          <cell r="AS1035">
            <v>0.25</v>
          </cell>
          <cell r="AT1035">
            <v>-0.04</v>
          </cell>
          <cell r="AV1035">
            <v>20</v>
          </cell>
          <cell r="AZ1035">
            <v>0.25</v>
          </cell>
          <cell r="BA1035">
            <v>0.25</v>
          </cell>
        </row>
        <row r="1036">
          <cell r="A1036" t="str">
            <v>FERRAMENTA MARENZI DI MARENZI BIANCA</v>
          </cell>
          <cell r="D1036" t="str">
            <v>VIA INDIPENDENZA, 27</v>
          </cell>
          <cell r="E1036" t="str">
            <v>24058</v>
          </cell>
          <cell r="F1036" t="str">
            <v>ROMANO DI LOMBARDIA</v>
          </cell>
          <cell r="G1036" t="str">
            <v>BG</v>
          </cell>
          <cell r="H1036" t="str">
            <v>ITALIA</v>
          </cell>
          <cell r="I1036" t="str">
            <v>MRNBNC67A42H509V</v>
          </cell>
          <cell r="J1036" t="str">
            <v>02553050168</v>
          </cell>
          <cell r="M1036" t="str">
            <v>UFFICIO ACQUISTI</v>
          </cell>
          <cell r="N1036" t="str">
            <v>0363 910255</v>
          </cell>
          <cell r="R1036" t="str">
            <v>BONIFICO BANCARIO, ALLA DATA DELLA NOSTRA CONFERMA D'ORDINE</v>
          </cell>
          <cell r="X1036">
            <v>0.2</v>
          </cell>
          <cell r="Y1036">
            <v>-0.04</v>
          </cell>
          <cell r="AB1036">
            <v>0.2</v>
          </cell>
          <cell r="AC1036">
            <v>0.2</v>
          </cell>
          <cell r="AD1036">
            <v>0.2</v>
          </cell>
          <cell r="AE1036">
            <v>0.2</v>
          </cell>
          <cell r="AF1036">
            <v>0.2</v>
          </cell>
          <cell r="AG1036">
            <v>0.2</v>
          </cell>
          <cell r="AH1036">
            <v>0.2</v>
          </cell>
          <cell r="AI1036">
            <v>0.2</v>
          </cell>
          <cell r="AJ1036">
            <v>0.2</v>
          </cell>
          <cell r="AK1036">
            <v>0.2</v>
          </cell>
          <cell r="AL1036">
            <v>0.2</v>
          </cell>
          <cell r="AM1036">
            <v>0.2</v>
          </cell>
          <cell r="AN1036">
            <v>0.2</v>
          </cell>
          <cell r="AO1036">
            <v>0.2</v>
          </cell>
          <cell r="AP1036">
            <v>0.2</v>
          </cell>
          <cell r="AQ1036">
            <v>0.2</v>
          </cell>
          <cell r="AR1036">
            <v>0.2</v>
          </cell>
          <cell r="AS1036">
            <v>0.2</v>
          </cell>
          <cell r="AT1036">
            <v>-0.04</v>
          </cell>
          <cell r="AU1036">
            <v>0.92</v>
          </cell>
          <cell r="AV1036">
            <v>20</v>
          </cell>
          <cell r="AZ1036">
            <v>0.2</v>
          </cell>
          <cell r="BA1036">
            <v>0.2</v>
          </cell>
        </row>
        <row r="1037">
          <cell r="A1037" t="str">
            <v>FERRAMENTA MINGONI GIOVANNA</v>
          </cell>
          <cell r="D1037" t="str">
            <v>ZONA INDUSTRIALE SAN CHIODO</v>
          </cell>
          <cell r="E1037" t="str">
            <v>06049</v>
          </cell>
          <cell r="F1037" t="str">
            <v>SPOLETO</v>
          </cell>
          <cell r="G1037" t="str">
            <v>PG</v>
          </cell>
          <cell r="H1037" t="str">
            <v>ITALIA</v>
          </cell>
          <cell r="J1037" t="str">
            <v>00531700540</v>
          </cell>
          <cell r="M1037" t="str">
            <v>UFFICIO ACQUISTI</v>
          </cell>
          <cell r="N1037" t="str">
            <v>0743 43765</v>
          </cell>
          <cell r="R1037" t="str">
            <v>BONIFICO BANCARIO, ALLA DATA DELLA NOSTRA CONFERMA D'ORDINE</v>
          </cell>
          <cell r="Y1037">
            <v>-0.04</v>
          </cell>
          <cell r="AT1037">
            <v>-0.04</v>
          </cell>
          <cell r="AV1037">
            <v>20</v>
          </cell>
          <cell r="AZ1037">
            <v>0</v>
          </cell>
          <cell r="BA1037">
            <v>0</v>
          </cell>
        </row>
        <row r="1038">
          <cell r="A1038" t="str">
            <v>FERRAMENTA PORTA ROMANA DI BARTOLOMEI ANGELO</v>
          </cell>
          <cell r="D1038" t="str">
            <v>VIA PORTA ROMANA, 32-38</v>
          </cell>
          <cell r="E1038" t="str">
            <v>02100</v>
          </cell>
          <cell r="F1038" t="str">
            <v>RIETI</v>
          </cell>
          <cell r="G1038" t="str">
            <v>RI</v>
          </cell>
          <cell r="H1038" t="str">
            <v>ITALIA</v>
          </cell>
          <cell r="M1038" t="str">
            <v>UFFICIO ACQUISTI</v>
          </cell>
          <cell r="N1038" t="str">
            <v>0746 204387</v>
          </cell>
          <cell r="R1038" t="str">
            <v>BONIFICO BANCARIO, ALLA DATA DELLA NOSTRA CONFERMA D'ORDINE</v>
          </cell>
          <cell r="Y1038">
            <v>-0.04</v>
          </cell>
          <cell r="AT1038">
            <v>-0.04</v>
          </cell>
          <cell r="AV1038">
            <v>20</v>
          </cell>
          <cell r="AZ1038">
            <v>0</v>
          </cell>
          <cell r="BA1038">
            <v>0</v>
          </cell>
        </row>
        <row r="1039">
          <cell r="A1039" t="str">
            <v>FERRAMENTA RIVOLTELLA MARCO</v>
          </cell>
          <cell r="D1039" t="str">
            <v>VIALE ORIANO, 18</v>
          </cell>
          <cell r="E1039" t="str">
            <v>24047</v>
          </cell>
          <cell r="F1039" t="str">
            <v>TREVIGLIO</v>
          </cell>
          <cell r="G1039" t="str">
            <v>BG</v>
          </cell>
          <cell r="H1039" t="str">
            <v>ITALIA</v>
          </cell>
          <cell r="M1039" t="str">
            <v>UFFICIO ACQUISTI</v>
          </cell>
          <cell r="N1039" t="str">
            <v>0363 49353</v>
          </cell>
          <cell r="P1039" t="str">
            <v>ferramenta.rivoltella@gmail.com</v>
          </cell>
          <cell r="R1039" t="str">
            <v>BONIFICO BANCARIO, ALLA DATA DELLA NOSTRA CONFERMA D'ORDINE</v>
          </cell>
          <cell r="X1039">
            <v>0.2</v>
          </cell>
          <cell r="Y1039">
            <v>-0.04</v>
          </cell>
          <cell r="AB1039">
            <v>0.2</v>
          </cell>
          <cell r="AC1039">
            <v>0.2</v>
          </cell>
          <cell r="AD1039">
            <v>0.2</v>
          </cell>
          <cell r="AE1039">
            <v>0.2</v>
          </cell>
          <cell r="AF1039">
            <v>0.2</v>
          </cell>
          <cell r="AG1039">
            <v>0.2</v>
          </cell>
          <cell r="AH1039">
            <v>0.2</v>
          </cell>
          <cell r="AI1039">
            <v>0.2</v>
          </cell>
          <cell r="AJ1039">
            <v>0.2</v>
          </cell>
          <cell r="AK1039">
            <v>0.2</v>
          </cell>
          <cell r="AL1039">
            <v>0.2</v>
          </cell>
          <cell r="AM1039">
            <v>0.2</v>
          </cell>
          <cell r="AN1039">
            <v>0.2</v>
          </cell>
          <cell r="AO1039">
            <v>0.2</v>
          </cell>
          <cell r="AP1039">
            <v>0.2</v>
          </cell>
          <cell r="AQ1039">
            <v>0.2</v>
          </cell>
          <cell r="AR1039">
            <v>0.2</v>
          </cell>
          <cell r="AS1039">
            <v>0.2</v>
          </cell>
          <cell r="AT1039">
            <v>-0.04</v>
          </cell>
          <cell r="AU1039">
            <v>0.92</v>
          </cell>
          <cell r="AV1039">
            <v>20</v>
          </cell>
          <cell r="AZ1039">
            <v>0.2</v>
          </cell>
          <cell r="BA1039">
            <v>0.2</v>
          </cell>
        </row>
        <row r="1040">
          <cell r="A1040" t="str">
            <v>FERRAMENTA SANNA SNC DI SANDRO E FRANCESCO STATZU</v>
          </cell>
          <cell r="B1040" t="str">
            <v>SE LE FACEVANO LORO MA NON TENGONO - OGNI ANNO IN QUELLA CITTA' SI ALLAGANO</v>
          </cell>
          <cell r="D1040" t="str">
            <v>VIA F. PORCELLA, 131</v>
          </cell>
          <cell r="E1040" t="str">
            <v>09098</v>
          </cell>
          <cell r="F1040" t="str">
            <v>TERRALBA</v>
          </cell>
          <cell r="G1040" t="str">
            <v>OR</v>
          </cell>
          <cell r="H1040" t="str">
            <v>ITALIA</v>
          </cell>
          <cell r="J1040" t="str">
            <v>01059170959</v>
          </cell>
          <cell r="M1040" t="str">
            <v>UFFICIO ACQUISTI</v>
          </cell>
          <cell r="N1040" t="str">
            <v>0783 81216</v>
          </cell>
          <cell r="P1040" t="str">
            <v>ferr.sanna@gmail.com</v>
          </cell>
          <cell r="R1040" t="str">
            <v>BONIFICO BANCARIO, ALLA DATA DELLA NOSTRA CONFERMA D'ORDINE</v>
          </cell>
          <cell r="X1040">
            <v>0.15</v>
          </cell>
          <cell r="AB1040">
            <v>0.15</v>
          </cell>
          <cell r="AC1040">
            <v>0.15</v>
          </cell>
          <cell r="AD1040">
            <v>0.15</v>
          </cell>
          <cell r="AE1040">
            <v>0.15</v>
          </cell>
          <cell r="AF1040">
            <v>0.15</v>
          </cell>
          <cell r="AG1040">
            <v>0.15</v>
          </cell>
          <cell r="AH1040">
            <v>0.15</v>
          </cell>
          <cell r="AI1040">
            <v>0.15</v>
          </cell>
          <cell r="AJ1040">
            <v>0.15</v>
          </cell>
          <cell r="AK1040">
            <v>0.15</v>
          </cell>
          <cell r="AL1040">
            <v>0.15</v>
          </cell>
          <cell r="AM1040">
            <v>0.15</v>
          </cell>
          <cell r="AN1040">
            <v>0.15</v>
          </cell>
          <cell r="AO1040">
            <v>0.15</v>
          </cell>
          <cell r="AP1040">
            <v>0.15</v>
          </cell>
          <cell r="AQ1040">
            <v>0.15</v>
          </cell>
          <cell r="AR1040">
            <v>0.15</v>
          </cell>
          <cell r="AS1040">
            <v>0.15</v>
          </cell>
          <cell r="AU1040">
            <v>0.9</v>
          </cell>
          <cell r="AV1040">
            <v>20</v>
          </cell>
          <cell r="AZ1040">
            <v>0.15</v>
          </cell>
          <cell r="BA1040">
            <v>0.15</v>
          </cell>
        </row>
        <row r="1041">
          <cell r="A1041" t="str">
            <v>FERRAMENTA SARTORI</v>
          </cell>
          <cell r="D1041" t="str">
            <v>VIA A. DELLA SCAòA, 10</v>
          </cell>
          <cell r="E1041">
            <v>37017</v>
          </cell>
          <cell r="F1041" t="str">
            <v>LAZISE</v>
          </cell>
          <cell r="G1041" t="str">
            <v>VR</v>
          </cell>
          <cell r="H1041" t="str">
            <v>ITALIA</v>
          </cell>
          <cell r="I1041" t="str">
            <v>SGEGPL68L21B296C</v>
          </cell>
          <cell r="J1041" t="str">
            <v>04454360233</v>
          </cell>
          <cell r="M1041" t="str">
            <v>UFFICIO ACQUISTI</v>
          </cell>
          <cell r="N1041" t="str">
            <v>045 7580052</v>
          </cell>
          <cell r="P1041" t="str">
            <v>sgpaolo68@gmail.com</v>
          </cell>
          <cell r="R1041" t="str">
            <v>BONIFICO BANCARIO, ALLA DATA DELLA NOSTRA CONFERMA D'ORDINE</v>
          </cell>
          <cell r="X1041">
            <v>0.25</v>
          </cell>
          <cell r="Y1041">
            <v>-0.04</v>
          </cell>
          <cell r="AB1041">
            <v>0.25</v>
          </cell>
          <cell r="AC1041">
            <v>0.25</v>
          </cell>
          <cell r="AD1041">
            <v>0.25</v>
          </cell>
          <cell r="AE1041">
            <v>0.25</v>
          </cell>
          <cell r="AF1041">
            <v>0.25</v>
          </cell>
          <cell r="AG1041">
            <v>0.25</v>
          </cell>
          <cell r="AH1041">
            <v>0.25</v>
          </cell>
          <cell r="AI1041">
            <v>0.25</v>
          </cell>
          <cell r="AJ1041">
            <v>0.25</v>
          </cell>
          <cell r="AK1041">
            <v>0.25</v>
          </cell>
          <cell r="AL1041">
            <v>0.25</v>
          </cell>
          <cell r="AM1041">
            <v>0.25</v>
          </cell>
          <cell r="AN1041">
            <v>0.25</v>
          </cell>
          <cell r="AO1041">
            <v>0.25</v>
          </cell>
          <cell r="AP1041">
            <v>0.25</v>
          </cell>
          <cell r="AQ1041">
            <v>0.25</v>
          </cell>
          <cell r="AR1041">
            <v>0.25</v>
          </cell>
          <cell r="AS1041">
            <v>0.25</v>
          </cell>
          <cell r="AT1041">
            <v>-0.04</v>
          </cell>
          <cell r="AU1041">
            <v>0.92</v>
          </cell>
          <cell r="AV1041">
            <v>20</v>
          </cell>
          <cell r="AZ1041">
            <v>0.25</v>
          </cell>
          <cell r="BA1041">
            <v>0.25</v>
          </cell>
        </row>
        <row r="1042">
          <cell r="A1042" t="str">
            <v>FERRAMENTA SNC DI MATTARELLI ELISIANA &amp; C.</v>
          </cell>
          <cell r="D1042" t="str">
            <v>VIA DEL MARE,135 PAVONA</v>
          </cell>
          <cell r="E1042" t="str">
            <v>00041</v>
          </cell>
          <cell r="F1042" t="str">
            <v>ALBANO LAZIALE</v>
          </cell>
          <cell r="G1042" t="str">
            <v>RM</v>
          </cell>
          <cell r="H1042" t="str">
            <v>ITALIA</v>
          </cell>
          <cell r="J1042" t="str">
            <v>05593681009</v>
          </cell>
          <cell r="M1042" t="str">
            <v>UFFICIO ACQUISTI</v>
          </cell>
          <cell r="N1042" t="str">
            <v>06 9315075</v>
          </cell>
          <cell r="R1042" t="str">
            <v>BONIFICO BANCARIO, ALLA DATA DELLA NOSTRA CONFERMA D'ORDINE</v>
          </cell>
          <cell r="X1042">
            <v>0.2</v>
          </cell>
          <cell r="Y1042">
            <v>-0.04</v>
          </cell>
          <cell r="AB1042">
            <v>0.2</v>
          </cell>
          <cell r="AC1042">
            <v>0.2</v>
          </cell>
          <cell r="AD1042">
            <v>0.2</v>
          </cell>
          <cell r="AE1042">
            <v>0.2</v>
          </cell>
          <cell r="AF1042">
            <v>0.2</v>
          </cell>
          <cell r="AG1042">
            <v>0.2</v>
          </cell>
          <cell r="AH1042">
            <v>0.2</v>
          </cell>
          <cell r="AI1042">
            <v>0.2</v>
          </cell>
          <cell r="AJ1042">
            <v>0.2</v>
          </cell>
          <cell r="AK1042">
            <v>0.2</v>
          </cell>
          <cell r="AL1042">
            <v>0.2</v>
          </cell>
          <cell r="AM1042">
            <v>0.2</v>
          </cell>
          <cell r="AN1042">
            <v>0.2</v>
          </cell>
          <cell r="AO1042">
            <v>0.2</v>
          </cell>
          <cell r="AP1042">
            <v>0.2</v>
          </cell>
          <cell r="AQ1042">
            <v>0.2</v>
          </cell>
          <cell r="AR1042">
            <v>0.2</v>
          </cell>
          <cell r="AS1042">
            <v>0.2</v>
          </cell>
          <cell r="AT1042">
            <v>-0.04</v>
          </cell>
          <cell r="AU1042">
            <v>0.92</v>
          </cell>
          <cell r="AV1042">
            <v>20</v>
          </cell>
          <cell r="AZ1042">
            <v>0.2</v>
          </cell>
          <cell r="BA1042">
            <v>0.2</v>
          </cell>
        </row>
        <row r="1043">
          <cell r="A1043" t="str">
            <v>FERRAMENTA SNC MATTORRE E GUERRINI</v>
          </cell>
          <cell r="D1043" t="str">
            <v>VIA GARIBALDI, 32/38</v>
          </cell>
          <cell r="E1043" t="str">
            <v>05100</v>
          </cell>
          <cell r="F1043" t="str">
            <v>TERNI</v>
          </cell>
          <cell r="G1043" t="str">
            <v>TR</v>
          </cell>
          <cell r="H1043" t="str">
            <v>ITALIA</v>
          </cell>
          <cell r="J1043" t="str">
            <v>00427840558</v>
          </cell>
          <cell r="M1043" t="str">
            <v>UFFICIO ACQUISTI</v>
          </cell>
          <cell r="N1043" t="str">
            <v>0744 404763</v>
          </cell>
          <cell r="P1043" t="str">
            <v>mattorreguerrini@gmail.com</v>
          </cell>
          <cell r="R1043" t="str">
            <v>BONIFICO BANCARIO, ALLA DATA DELLA NOSTRA CONFERMA D'ORDINE</v>
          </cell>
          <cell r="Y1043">
            <v>-0.04</v>
          </cell>
          <cell r="AT1043">
            <v>-0.04</v>
          </cell>
          <cell r="AV1043">
            <v>20</v>
          </cell>
          <cell r="AZ1043">
            <v>0</v>
          </cell>
          <cell r="BA1043">
            <v>0</v>
          </cell>
        </row>
        <row r="1044">
          <cell r="A1044" t="str">
            <v>FERRAMENTA STAZIONE COLORIFICIO DI MALAGUTI FABRIZIO</v>
          </cell>
          <cell r="D1044" t="str">
            <v>VIA C.BATTISTI, 109</v>
          </cell>
          <cell r="E1044" t="str">
            <v>25038</v>
          </cell>
          <cell r="F1044" t="str">
            <v>ROVATO</v>
          </cell>
          <cell r="G1044" t="str">
            <v>BS</v>
          </cell>
          <cell r="H1044" t="str">
            <v>ITALIA</v>
          </cell>
          <cell r="M1044" t="str">
            <v>UFFICIO ACQUISTI</v>
          </cell>
          <cell r="N1044" t="str">
            <v>030 7722987</v>
          </cell>
          <cell r="P1044" t="str">
            <v>ferramentastazione@libero.it</v>
          </cell>
          <cell r="R1044" t="str">
            <v>BONIFICO BANCARIO, ALLA DATA DELLA NOSTRA CONFERMA D'ORDINE</v>
          </cell>
          <cell r="X1044">
            <v>0.2</v>
          </cell>
          <cell r="Y1044">
            <v>-0.04</v>
          </cell>
          <cell r="AB1044">
            <v>0.2</v>
          </cell>
          <cell r="AC1044">
            <v>0.2</v>
          </cell>
          <cell r="AD1044">
            <v>0.2</v>
          </cell>
          <cell r="AE1044">
            <v>0.2</v>
          </cell>
          <cell r="AF1044">
            <v>0.2</v>
          </cell>
          <cell r="AG1044">
            <v>0.2</v>
          </cell>
          <cell r="AH1044">
            <v>0.2</v>
          </cell>
          <cell r="AI1044">
            <v>0.2</v>
          </cell>
          <cell r="AJ1044">
            <v>0.2</v>
          </cell>
          <cell r="AK1044">
            <v>0.2</v>
          </cell>
          <cell r="AL1044">
            <v>0.2</v>
          </cell>
          <cell r="AM1044">
            <v>0.2</v>
          </cell>
          <cell r="AN1044">
            <v>0.2</v>
          </cell>
          <cell r="AO1044">
            <v>0.2</v>
          </cell>
          <cell r="AP1044">
            <v>0.2</v>
          </cell>
          <cell r="AQ1044">
            <v>0.2</v>
          </cell>
          <cell r="AR1044">
            <v>0.2</v>
          </cell>
          <cell r="AS1044">
            <v>0.2</v>
          </cell>
          <cell r="AT1044">
            <v>-0.04</v>
          </cell>
          <cell r="AU1044">
            <v>0.92</v>
          </cell>
          <cell r="AV1044">
            <v>20</v>
          </cell>
          <cell r="AZ1044">
            <v>0.2</v>
          </cell>
          <cell r="BA1044">
            <v>0.2</v>
          </cell>
        </row>
        <row r="1045">
          <cell r="A1045" t="str">
            <v>FERRAMENTA SUCC. A. FAZZINI</v>
          </cell>
          <cell r="D1045" t="str">
            <v>VIA CASTELLO, 5870-5870/A</v>
          </cell>
          <cell r="E1045">
            <v>30122</v>
          </cell>
          <cell r="F1045" t="str">
            <v>VENEZIA</v>
          </cell>
          <cell r="G1045" t="str">
            <v>VE</v>
          </cell>
          <cell r="H1045" t="str">
            <v>ITALIA</v>
          </cell>
          <cell r="J1045" t="str">
            <v>00604620278</v>
          </cell>
          <cell r="K1045" t="str">
            <v>W7YVJK9</v>
          </cell>
          <cell r="M1045" t="str">
            <v>UFFICIO ACQUISTI</v>
          </cell>
          <cell r="N1045" t="str">
            <v>041 5228223</v>
          </cell>
          <cell r="P1045" t="str">
            <v>ferramentafazzini@libero.it</v>
          </cell>
          <cell r="R1045" t="str">
            <v>BONIFICO BANCARIO, ALLA DATA DELLA NOSTRA CONFERMA D'ORDINE</v>
          </cell>
          <cell r="W1045" t="str">
            <v>ACQUA SALATA</v>
          </cell>
          <cell r="X1045">
            <v>0.25</v>
          </cell>
          <cell r="Y1045">
            <v>-0.04</v>
          </cell>
          <cell r="AB1045">
            <v>0.25</v>
          </cell>
          <cell r="AC1045">
            <v>0.25</v>
          </cell>
          <cell r="AD1045">
            <v>0.25</v>
          </cell>
          <cell r="AE1045">
            <v>0.25</v>
          </cell>
          <cell r="AF1045">
            <v>0.25</v>
          </cell>
          <cell r="AG1045">
            <v>0.25</v>
          </cell>
          <cell r="AH1045">
            <v>0.25</v>
          </cell>
          <cell r="AI1045">
            <v>0.25</v>
          </cell>
          <cell r="AJ1045">
            <v>0.25</v>
          </cell>
          <cell r="AK1045">
            <v>0.25</v>
          </cell>
          <cell r="AL1045">
            <v>0.25</v>
          </cell>
          <cell r="AM1045">
            <v>0.25</v>
          </cell>
          <cell r="AN1045">
            <v>0.25</v>
          </cell>
          <cell r="AO1045">
            <v>0.25</v>
          </cell>
          <cell r="AP1045">
            <v>0.25</v>
          </cell>
          <cell r="AQ1045">
            <v>0.25</v>
          </cell>
          <cell r="AR1045">
            <v>0.25</v>
          </cell>
          <cell r="AS1045">
            <v>0.25</v>
          </cell>
          <cell r="AT1045">
            <v>-0.04</v>
          </cell>
          <cell r="AU1045">
            <v>0.92</v>
          </cell>
          <cell r="AV1045">
            <v>20</v>
          </cell>
          <cell r="AY1045" t="str">
            <v/>
          </cell>
          <cell r="AZ1045">
            <v>0.25</v>
          </cell>
          <cell r="BA1045">
            <v>0.25</v>
          </cell>
          <cell r="BF1045" t="str">
            <v>CLICK RAPID con carpenteria 03/11/2020</v>
          </cell>
        </row>
        <row r="1046">
          <cell r="A1046" t="str">
            <v>FERRAMENTA TARTAGLIA DI MATTEO TARTAGLIA</v>
          </cell>
          <cell r="D1046" t="str">
            <v>VIA ROMAGNOLI, 82/84</v>
          </cell>
          <cell r="E1046" t="str">
            <v>04100</v>
          </cell>
          <cell r="F1046" t="str">
            <v>LATINA</v>
          </cell>
          <cell r="G1046" t="str">
            <v>LT</v>
          </cell>
          <cell r="H1046" t="str">
            <v>ITALIA</v>
          </cell>
          <cell r="J1046" t="str">
            <v>02905920597</v>
          </cell>
          <cell r="M1046" t="str">
            <v>UFFICIO ACQUISTI</v>
          </cell>
          <cell r="N1046" t="str">
            <v>0773 473429</v>
          </cell>
          <cell r="O1046" t="str">
            <v>351 9794882</v>
          </cell>
          <cell r="P1046" t="str">
            <v>matteo.tartaglia@outlook.it</v>
          </cell>
          <cell r="R1046" t="str">
            <v>BONIFICO BANCARIO, ALLA DATA DELLA NOSTRA CONFERMA D'ORDINE</v>
          </cell>
          <cell r="X1046">
            <v>0.2</v>
          </cell>
          <cell r="Y1046">
            <v>-0.04</v>
          </cell>
          <cell r="AB1046">
            <v>0.2</v>
          </cell>
          <cell r="AC1046">
            <v>0.2</v>
          </cell>
          <cell r="AD1046">
            <v>0.2</v>
          </cell>
          <cell r="AE1046">
            <v>0.2</v>
          </cell>
          <cell r="AF1046">
            <v>0.2</v>
          </cell>
          <cell r="AG1046">
            <v>0.2</v>
          </cell>
          <cell r="AH1046">
            <v>0.2</v>
          </cell>
          <cell r="AI1046">
            <v>0.2</v>
          </cell>
          <cell r="AJ1046">
            <v>0.2</v>
          </cell>
          <cell r="AK1046">
            <v>0.2</v>
          </cell>
          <cell r="AL1046">
            <v>0.2</v>
          </cell>
          <cell r="AM1046">
            <v>0.2</v>
          </cell>
          <cell r="AN1046">
            <v>0.2</v>
          </cell>
          <cell r="AO1046">
            <v>0.2</v>
          </cell>
          <cell r="AP1046">
            <v>0.2</v>
          </cell>
          <cell r="AQ1046">
            <v>0.2</v>
          </cell>
          <cell r="AR1046">
            <v>0.2</v>
          </cell>
          <cell r="AS1046">
            <v>0.2</v>
          </cell>
          <cell r="AT1046">
            <v>-0.04</v>
          </cell>
          <cell r="AU1046">
            <v>0.92</v>
          </cell>
          <cell r="AV1046">
            <v>20</v>
          </cell>
          <cell r="AZ1046">
            <v>0.2</v>
          </cell>
          <cell r="BA1046">
            <v>0.2</v>
          </cell>
        </row>
        <row r="1047">
          <cell r="A1047" t="str">
            <v>FERRAMENTA TRIVELLATO SNC</v>
          </cell>
          <cell r="D1047" t="str">
            <v>PIAZZA DEL QUADRATO</v>
          </cell>
          <cell r="E1047" t="str">
            <v>04100</v>
          </cell>
          <cell r="F1047" t="str">
            <v>LATINA</v>
          </cell>
          <cell r="G1047" t="str">
            <v>LT</v>
          </cell>
          <cell r="H1047" t="str">
            <v>ITALIA</v>
          </cell>
          <cell r="J1047" t="str">
            <v>00321580599</v>
          </cell>
          <cell r="M1047" t="str">
            <v>UFFICIO ACQUISTI</v>
          </cell>
          <cell r="N1047" t="str">
            <v>0773 663707</v>
          </cell>
          <cell r="R1047" t="str">
            <v>BONIFICO BANCARIO, ALLA DATA DELLA NOSTRA CONFERMA D'ORDINE</v>
          </cell>
          <cell r="X1047">
            <v>0.25</v>
          </cell>
          <cell r="Y1047">
            <v>-0.04</v>
          </cell>
          <cell r="AB1047">
            <v>0.25</v>
          </cell>
          <cell r="AC1047">
            <v>0.25</v>
          </cell>
          <cell r="AD1047">
            <v>0.25</v>
          </cell>
          <cell r="AE1047">
            <v>0.25</v>
          </cell>
          <cell r="AF1047">
            <v>0.25</v>
          </cell>
          <cell r="AG1047">
            <v>0.25</v>
          </cell>
          <cell r="AH1047">
            <v>0.25</v>
          </cell>
          <cell r="AI1047">
            <v>0.25</v>
          </cell>
          <cell r="AJ1047">
            <v>0.25</v>
          </cell>
          <cell r="AK1047">
            <v>0.25</v>
          </cell>
          <cell r="AL1047">
            <v>0.25</v>
          </cell>
          <cell r="AM1047">
            <v>0.25</v>
          </cell>
          <cell r="AN1047">
            <v>0.25</v>
          </cell>
          <cell r="AO1047">
            <v>0.25</v>
          </cell>
          <cell r="AP1047">
            <v>0.25</v>
          </cell>
          <cell r="AQ1047">
            <v>0.25</v>
          </cell>
          <cell r="AR1047">
            <v>0.25</v>
          </cell>
          <cell r="AS1047">
            <v>0.25</v>
          </cell>
          <cell r="AT1047">
            <v>-0.04</v>
          </cell>
          <cell r="AU1047">
            <v>0.92</v>
          </cell>
          <cell r="AV1047">
            <v>20</v>
          </cell>
          <cell r="AY1047" t="str">
            <v/>
          </cell>
          <cell r="AZ1047">
            <v>0.25</v>
          </cell>
          <cell r="BA1047">
            <v>0.25</v>
          </cell>
        </row>
        <row r="1048">
          <cell r="A1048" t="str">
            <v>FERRAMENTA VLTROMPIA SRL</v>
          </cell>
          <cell r="B1048" t="str">
            <v>RUMI MATTEO PRESIDENTE      INTERESSATI</v>
          </cell>
          <cell r="D1048" t="str">
            <v>VIA MARCONI, 124</v>
          </cell>
          <cell r="E1048" t="str">
            <v>25069</v>
          </cell>
          <cell r="F1048" t="str">
            <v>VILLA CARCINA</v>
          </cell>
          <cell r="G1048" t="str">
            <v>BS</v>
          </cell>
          <cell r="H1048" t="str">
            <v>ITALIA</v>
          </cell>
          <cell r="J1048" t="str">
            <v>00597860980</v>
          </cell>
          <cell r="M1048" t="str">
            <v>UFFICIO ACQUISTI</v>
          </cell>
          <cell r="N1048" t="str">
            <v>030 8980269</v>
          </cell>
          <cell r="P1048" t="str">
            <v>fvcom@ferramentavaltrompia.it</v>
          </cell>
          <cell r="R1048" t="str">
            <v>BONIFICO BANCARIO, ALLA DATA DELLA NOSTRA CONFERMA D'ORDINE</v>
          </cell>
          <cell r="X1048">
            <v>0.2</v>
          </cell>
          <cell r="Y1048">
            <v>-0.04</v>
          </cell>
          <cell r="AB1048">
            <v>0.2</v>
          </cell>
          <cell r="AC1048">
            <v>0.2</v>
          </cell>
          <cell r="AD1048">
            <v>0.2</v>
          </cell>
          <cell r="AE1048">
            <v>0.2</v>
          </cell>
          <cell r="AF1048">
            <v>0.2</v>
          </cell>
          <cell r="AG1048">
            <v>0.2</v>
          </cell>
          <cell r="AH1048">
            <v>0.2</v>
          </cell>
          <cell r="AI1048">
            <v>0.2</v>
          </cell>
          <cell r="AJ1048">
            <v>0.2</v>
          </cell>
          <cell r="AK1048">
            <v>0.2</v>
          </cell>
          <cell r="AL1048">
            <v>0.2</v>
          </cell>
          <cell r="AM1048">
            <v>0.2</v>
          </cell>
          <cell r="AN1048">
            <v>0.2</v>
          </cell>
          <cell r="AO1048">
            <v>0.2</v>
          </cell>
          <cell r="AP1048">
            <v>0.2</v>
          </cell>
          <cell r="AQ1048">
            <v>0.2</v>
          </cell>
          <cell r="AR1048">
            <v>0.2</v>
          </cell>
          <cell r="AS1048">
            <v>0.2</v>
          </cell>
          <cell r="AT1048">
            <v>-0.04</v>
          </cell>
          <cell r="AU1048">
            <v>0.92</v>
          </cell>
          <cell r="AV1048">
            <v>20</v>
          </cell>
          <cell r="AZ1048">
            <v>0.2</v>
          </cell>
          <cell r="BA1048">
            <v>0.2</v>
          </cell>
        </row>
        <row r="1049">
          <cell r="A1049" t="str">
            <v>FERRAMENTA VOLTINI SAS</v>
          </cell>
          <cell r="D1049" t="str">
            <v>VIA IV NOVEMBRE, 33</v>
          </cell>
          <cell r="E1049" t="str">
            <v>26013</v>
          </cell>
          <cell r="F1049" t="str">
            <v>CREMA</v>
          </cell>
          <cell r="G1049" t="str">
            <v>CR</v>
          </cell>
          <cell r="H1049" t="str">
            <v>ITALIA</v>
          </cell>
          <cell r="J1049" t="str">
            <v>01200910196</v>
          </cell>
          <cell r="M1049" t="str">
            <v>UFFICIO ACQUISTI</v>
          </cell>
          <cell r="N1049" t="str">
            <v>0373 256236</v>
          </cell>
          <cell r="P1049" t="str">
            <v>info@ferramentavoltinicrema.it</v>
          </cell>
          <cell r="R1049" t="str">
            <v>BONIFICO BANCARIO, ALLA DATA DELLA NOSTRA CONFERMA D'ORDINE</v>
          </cell>
          <cell r="Y1049">
            <v>-0.04</v>
          </cell>
          <cell r="AT1049">
            <v>-0.04</v>
          </cell>
          <cell r="AV1049">
            <v>20</v>
          </cell>
          <cell r="AZ1049">
            <v>0</v>
          </cell>
          <cell r="BA1049">
            <v>0</v>
          </cell>
        </row>
        <row r="1050">
          <cell r="A1050" t="str">
            <v>FERRARIS SRL</v>
          </cell>
          <cell r="D1050" t="str">
            <v>VIA VOYRON, 5</v>
          </cell>
          <cell r="E1050" t="str">
            <v>10054</v>
          </cell>
          <cell r="F1050" t="str">
            <v>CESANA TORINESE</v>
          </cell>
          <cell r="G1050" t="str">
            <v>TO</v>
          </cell>
          <cell r="H1050" t="str">
            <v>ITALIA</v>
          </cell>
          <cell r="J1050" t="str">
            <v>04924760012</v>
          </cell>
          <cell r="M1050" t="str">
            <v>UFFICIO ACQUISTI</v>
          </cell>
          <cell r="N1050">
            <v>12289176</v>
          </cell>
          <cell r="P1050" t="str">
            <v>info@ferrarissrl.com</v>
          </cell>
          <cell r="R1050" t="str">
            <v>BONIFICO BANCARIO, ALLA DATA DELLA NOSTRA CONFERMA D'ORDINE</v>
          </cell>
          <cell r="X1050">
            <v>0.2</v>
          </cell>
          <cell r="Y1050">
            <v>-0.04</v>
          </cell>
          <cell r="AB1050">
            <v>0.2</v>
          </cell>
          <cell r="AC1050">
            <v>0.2</v>
          </cell>
          <cell r="AD1050">
            <v>0.2</v>
          </cell>
          <cell r="AE1050">
            <v>0.2</v>
          </cell>
          <cell r="AF1050">
            <v>0.2</v>
          </cell>
          <cell r="AG1050">
            <v>0.2</v>
          </cell>
          <cell r="AH1050">
            <v>0.2</v>
          </cell>
          <cell r="AI1050">
            <v>0.2</v>
          </cell>
          <cell r="AJ1050">
            <v>0.2</v>
          </cell>
          <cell r="AK1050">
            <v>0.2</v>
          </cell>
          <cell r="AL1050">
            <v>0.2</v>
          </cell>
          <cell r="AM1050">
            <v>0.2</v>
          </cell>
          <cell r="AN1050">
            <v>0.2</v>
          </cell>
          <cell r="AO1050">
            <v>0.2</v>
          </cell>
          <cell r="AP1050">
            <v>0.2</v>
          </cell>
          <cell r="AQ1050">
            <v>0.2</v>
          </cell>
          <cell r="AR1050">
            <v>0.2</v>
          </cell>
          <cell r="AS1050">
            <v>0.2</v>
          </cell>
          <cell r="AT1050">
            <v>-0.04</v>
          </cell>
          <cell r="AU1050">
            <v>0.92</v>
          </cell>
          <cell r="AV1050">
            <v>20</v>
          </cell>
          <cell r="AZ1050">
            <v>0.2</v>
          </cell>
          <cell r="BA1050">
            <v>0.2</v>
          </cell>
        </row>
        <row r="1051">
          <cell r="A1051" t="str">
            <v>FERRERIA BARCELÓ NIGORRA SEBASTIÀ</v>
          </cell>
          <cell r="D1051" t="str">
            <v>C/PALMA, 6</v>
          </cell>
          <cell r="E1051" t="str">
            <v>07250</v>
          </cell>
          <cell r="F1051" t="str">
            <v>VILAFRANCA DE BONANY (MALLORCA)</v>
          </cell>
          <cell r="H1051" t="str">
            <v>SPAGNA</v>
          </cell>
          <cell r="J1051" t="str">
            <v>B43028559K</v>
          </cell>
          <cell r="K1051" t="str">
            <v>XXXXXXX</v>
          </cell>
          <cell r="M1051" t="str">
            <v>UFFICIO ACQUISTI</v>
          </cell>
          <cell r="N1051" t="str">
            <v>+34 971560030</v>
          </cell>
          <cell r="P1051" t="str">
            <v>ferreriabarcelo@gmail.com</v>
          </cell>
          <cell r="R1051" t="str">
            <v>TRANSFERENCIA BANCARIA, EN LA FECHA DE NUESTRA CONFIRMACIÓN DE PEDIDO</v>
          </cell>
          <cell r="X1051">
            <v>0.2</v>
          </cell>
          <cell r="AB1051">
            <v>0.2</v>
          </cell>
          <cell r="AC1051">
            <v>0.2</v>
          </cell>
          <cell r="AD1051">
            <v>0.2</v>
          </cell>
          <cell r="AE1051">
            <v>0.2</v>
          </cell>
          <cell r="AF1051">
            <v>0.2</v>
          </cell>
          <cell r="AG1051">
            <v>0.2</v>
          </cell>
          <cell r="AH1051">
            <v>0.2</v>
          </cell>
          <cell r="AI1051">
            <v>0.2</v>
          </cell>
          <cell r="AJ1051">
            <v>0.2</v>
          </cell>
          <cell r="AK1051">
            <v>0.2</v>
          </cell>
          <cell r="AL1051">
            <v>0.2</v>
          </cell>
          <cell r="AM1051">
            <v>0.2</v>
          </cell>
          <cell r="AN1051">
            <v>0.2</v>
          </cell>
          <cell r="AO1051">
            <v>0.2</v>
          </cell>
          <cell r="AP1051">
            <v>0.2</v>
          </cell>
          <cell r="AQ1051">
            <v>0.2</v>
          </cell>
          <cell r="AR1051">
            <v>0.2</v>
          </cell>
          <cell r="AS1051">
            <v>0.2</v>
          </cell>
          <cell r="AU1051">
            <v>0.87</v>
          </cell>
          <cell r="AV1051">
            <v>20</v>
          </cell>
          <cell r="AZ1051">
            <v>0.2</v>
          </cell>
          <cell r="BA1051">
            <v>0.2</v>
          </cell>
        </row>
        <row r="1052">
          <cell r="A1052" t="str">
            <v>FERRI SERRAMENTI SRL</v>
          </cell>
          <cell r="B1052" t="str">
            <v>OKNOPLAST DARO' UN'OCCHIATA</v>
          </cell>
          <cell r="D1052" t="str">
            <v>VIALE GRIGOLETTI, 91</v>
          </cell>
          <cell r="E1052" t="str">
            <v>33170</v>
          </cell>
          <cell r="F1052" t="str">
            <v>PORDENONE</v>
          </cell>
          <cell r="G1052" t="str">
            <v>PN</v>
          </cell>
          <cell r="H1052" t="str">
            <v>ITALIA</v>
          </cell>
          <cell r="M1052" t="str">
            <v>UFFICIO ACQUISTI</v>
          </cell>
          <cell r="N1052" t="str">
            <v>0434 550269</v>
          </cell>
          <cell r="O1052" t="str">
            <v>Sabrina 338 3267892</v>
          </cell>
          <cell r="P1052" t="str">
            <v>ferrisrl@ferriserramenti.com</v>
          </cell>
          <cell r="R1052" t="str">
            <v>BONIFICO BANCARIO, ALLA DATA DELLA NOSTRA CONFERMA D'ORDINE</v>
          </cell>
          <cell r="X1052">
            <v>0.15</v>
          </cell>
          <cell r="Y1052">
            <v>-0.04</v>
          </cell>
          <cell r="AB1052">
            <v>0.15</v>
          </cell>
          <cell r="AC1052">
            <v>0.15</v>
          </cell>
          <cell r="AD1052">
            <v>0.15</v>
          </cell>
          <cell r="AE1052">
            <v>0.15</v>
          </cell>
          <cell r="AF1052">
            <v>0.15</v>
          </cell>
          <cell r="AG1052">
            <v>0.15</v>
          </cell>
          <cell r="AH1052">
            <v>0.15</v>
          </cell>
          <cell r="AI1052">
            <v>0.15</v>
          </cell>
          <cell r="AJ1052">
            <v>0.15</v>
          </cell>
          <cell r="AK1052">
            <v>0.15</v>
          </cell>
          <cell r="AL1052">
            <v>0.15</v>
          </cell>
          <cell r="AM1052">
            <v>0.15</v>
          </cell>
          <cell r="AN1052">
            <v>0.15</v>
          </cell>
          <cell r="AO1052">
            <v>0.15</v>
          </cell>
          <cell r="AP1052">
            <v>0.15</v>
          </cell>
          <cell r="AQ1052">
            <v>0.15</v>
          </cell>
          <cell r="AR1052">
            <v>0.15</v>
          </cell>
          <cell r="AS1052">
            <v>0.15</v>
          </cell>
          <cell r="AT1052">
            <v>-0.04</v>
          </cell>
          <cell r="AU1052">
            <v>0.92</v>
          </cell>
          <cell r="AV1052">
            <v>20</v>
          </cell>
          <cell r="AZ1052">
            <v>0.15</v>
          </cell>
          <cell r="BA1052">
            <v>0.15</v>
          </cell>
        </row>
        <row r="1053">
          <cell r="A1053" t="str">
            <v>FERRIANI SRL</v>
          </cell>
          <cell r="D1053" t="str">
            <v>VIA ADA NEGRI, 2</v>
          </cell>
          <cell r="E1053">
            <v>20081</v>
          </cell>
          <cell r="F1053" t="str">
            <v>ABBIATEGRASSO</v>
          </cell>
          <cell r="G1053" t="str">
            <v>MI</v>
          </cell>
          <cell r="H1053" t="str">
            <v>ITALIA</v>
          </cell>
          <cell r="M1053" t="str">
            <v>UFFICIO ACQUISTI</v>
          </cell>
          <cell r="N1053" t="str">
            <v>02 94966573</v>
          </cell>
          <cell r="P1053" t="str">
            <v>info@ferrianisicurezza.it</v>
          </cell>
          <cell r="R1053" t="str">
            <v>BONIFICO BANCARIO, ALLA DATA DELLA NOSTRA CONFERMA D'ORDINE</v>
          </cell>
          <cell r="X1053">
            <v>0.25</v>
          </cell>
          <cell r="Y1053">
            <v>-0.04</v>
          </cell>
          <cell r="AB1053">
            <v>0.25</v>
          </cell>
          <cell r="AC1053">
            <v>0.25</v>
          </cell>
          <cell r="AD1053">
            <v>0.25</v>
          </cell>
          <cell r="AE1053">
            <v>0.25</v>
          </cell>
          <cell r="AF1053">
            <v>0.25</v>
          </cell>
          <cell r="AG1053">
            <v>0.25</v>
          </cell>
          <cell r="AH1053">
            <v>0.25</v>
          </cell>
          <cell r="AI1053">
            <v>0.25</v>
          </cell>
          <cell r="AJ1053">
            <v>0.25</v>
          </cell>
          <cell r="AK1053">
            <v>0.25</v>
          </cell>
          <cell r="AL1053">
            <v>0.25</v>
          </cell>
          <cell r="AM1053">
            <v>0.25</v>
          </cell>
          <cell r="AN1053">
            <v>0.25</v>
          </cell>
          <cell r="AO1053">
            <v>0.25</v>
          </cell>
          <cell r="AP1053">
            <v>0.25</v>
          </cell>
          <cell r="AQ1053">
            <v>0.25</v>
          </cell>
          <cell r="AR1053">
            <v>0.25</v>
          </cell>
          <cell r="AS1053">
            <v>0.25</v>
          </cell>
          <cell r="AT1053">
            <v>-0.04</v>
          </cell>
          <cell r="AU1053">
            <v>0.92</v>
          </cell>
          <cell r="AV1053">
            <v>20</v>
          </cell>
          <cell r="AY1053" t="str">
            <v/>
          </cell>
          <cell r="AZ1053">
            <v>0.25</v>
          </cell>
          <cell r="BA1053">
            <v>0.25</v>
          </cell>
        </row>
        <row r="1054">
          <cell r="A1054" t="str">
            <v>FERRO ALUMINIUM</v>
          </cell>
          <cell r="D1054" t="str">
            <v>JL.MANGGA UBI NO. 28</v>
          </cell>
          <cell r="E1054">
            <v>11720</v>
          </cell>
          <cell r="F1054" t="str">
            <v>JAKARTA</v>
          </cell>
          <cell r="H1054" t="str">
            <v>INDONESIA</v>
          </cell>
          <cell r="M1054" t="str">
            <v>UFFICIO ACQUISTI</v>
          </cell>
          <cell r="N1054" t="str">
            <v>(62-21) 2943-2868</v>
          </cell>
          <cell r="O1054" t="str">
            <v>62 81 8958788</v>
          </cell>
          <cell r="P1054" t="str">
            <v>h.tjandra@ferroaluminium.com</v>
          </cell>
          <cell r="R1054" t="str">
            <v>BANK TRANSFER, ON THE DATE OF OUR ORDER CONFIRMATION</v>
          </cell>
          <cell r="X1054">
            <v>0.25</v>
          </cell>
          <cell r="Y1054">
            <v>-0.04</v>
          </cell>
          <cell r="AB1054">
            <v>0.25</v>
          </cell>
          <cell r="AC1054">
            <v>0.25</v>
          </cell>
          <cell r="AD1054">
            <v>0.25</v>
          </cell>
          <cell r="AE1054">
            <v>0.25</v>
          </cell>
          <cell r="AF1054">
            <v>0.25</v>
          </cell>
          <cell r="AG1054">
            <v>0.25</v>
          </cell>
          <cell r="AH1054">
            <v>0.25</v>
          </cell>
          <cell r="AI1054">
            <v>0.25</v>
          </cell>
          <cell r="AJ1054">
            <v>0.25</v>
          </cell>
          <cell r="AK1054">
            <v>0.25</v>
          </cell>
          <cell r="AL1054">
            <v>0.25</v>
          </cell>
          <cell r="AM1054">
            <v>0.25</v>
          </cell>
          <cell r="AN1054">
            <v>0.25</v>
          </cell>
          <cell r="AO1054">
            <v>0.25</v>
          </cell>
          <cell r="AP1054">
            <v>0.25</v>
          </cell>
          <cell r="AQ1054">
            <v>0.25</v>
          </cell>
          <cell r="AR1054">
            <v>0.25</v>
          </cell>
          <cell r="AS1054">
            <v>0.25</v>
          </cell>
          <cell r="AT1054">
            <v>-0.04</v>
          </cell>
          <cell r="AU1054">
            <v>0.92</v>
          </cell>
          <cell r="AV1054">
            <v>20</v>
          </cell>
          <cell r="AY1054" t="str">
            <v/>
          </cell>
          <cell r="AZ1054">
            <v>0.25</v>
          </cell>
          <cell r="BA1054">
            <v>0.25</v>
          </cell>
        </row>
        <row r="1055">
          <cell r="A1055" t="str">
            <v>FERRO DANTE</v>
          </cell>
          <cell r="D1055" t="str">
            <v>VIA DELLE TUIE 22</v>
          </cell>
          <cell r="E1055" t="str">
            <v>30020</v>
          </cell>
          <cell r="F1055" t="str">
            <v>ERACLEA MARE</v>
          </cell>
          <cell r="G1055" t="str">
            <v>VE</v>
          </cell>
          <cell r="H1055" t="str">
            <v>ITALIA</v>
          </cell>
          <cell r="J1055" t="str">
            <v>00036990273</v>
          </cell>
          <cell r="M1055" t="str">
            <v>UFFICIO ACQUISTI</v>
          </cell>
          <cell r="N1055" t="str">
            <v>0421 66077</v>
          </cell>
          <cell r="O1055" t="str">
            <v>333 4648620</v>
          </cell>
          <cell r="R1055" t="str">
            <v>BONIFICO BANCARIO, ALLA DATA DELLA NOSTRA CONFERMA D'ORDINE</v>
          </cell>
          <cell r="X1055">
            <v>0.25</v>
          </cell>
          <cell r="Y1055">
            <v>-0.04</v>
          </cell>
          <cell r="AB1055">
            <v>0.25</v>
          </cell>
          <cell r="AC1055">
            <v>0.25</v>
          </cell>
          <cell r="AD1055">
            <v>0.25</v>
          </cell>
          <cell r="AE1055">
            <v>0.25</v>
          </cell>
          <cell r="AF1055">
            <v>0.25</v>
          </cell>
          <cell r="AG1055">
            <v>0.25</v>
          </cell>
          <cell r="AH1055">
            <v>0.25</v>
          </cell>
          <cell r="AI1055">
            <v>0.25</v>
          </cell>
          <cell r="AJ1055">
            <v>0.25</v>
          </cell>
          <cell r="AK1055">
            <v>0.25</v>
          </cell>
          <cell r="AL1055">
            <v>0.25</v>
          </cell>
          <cell r="AM1055">
            <v>0.25</v>
          </cell>
          <cell r="AN1055">
            <v>0.25</v>
          </cell>
          <cell r="AO1055">
            <v>0.25</v>
          </cell>
          <cell r="AP1055">
            <v>0.25</v>
          </cell>
          <cell r="AQ1055">
            <v>0.25</v>
          </cell>
          <cell r="AR1055">
            <v>0.25</v>
          </cell>
          <cell r="AS1055">
            <v>0.25</v>
          </cell>
          <cell r="AT1055">
            <v>-0.04</v>
          </cell>
          <cell r="AU1055">
            <v>0.92</v>
          </cell>
          <cell r="AV1055">
            <v>20</v>
          </cell>
          <cell r="AY1055" t="str">
            <v/>
          </cell>
          <cell r="AZ1055">
            <v>0.25</v>
          </cell>
          <cell r="BA1055">
            <v>0.25</v>
          </cell>
        </row>
        <row r="1056">
          <cell r="A1056" t="str">
            <v>FERRO E FERRAMENTA SNC</v>
          </cell>
          <cell r="D1056" t="str">
            <v>VIA CANALETTO 68</v>
          </cell>
          <cell r="E1056" t="str">
            <v>60019</v>
          </cell>
          <cell r="F1056" t="str">
            <v>SENIGALLIA</v>
          </cell>
          <cell r="G1056" t="str">
            <v>AN</v>
          </cell>
          <cell r="H1056" t="str">
            <v>ITALIA</v>
          </cell>
          <cell r="J1056" t="str">
            <v>02711150421</v>
          </cell>
          <cell r="M1056" t="str">
            <v>UFFICIO ACQUISTI</v>
          </cell>
          <cell r="R1056" t="str">
            <v>BONIFICO BANCARIO, ALLA DATA DELLA NOSTRA CONFERMA D'ORDINE</v>
          </cell>
          <cell r="X1056">
            <v>0.25</v>
          </cell>
          <cell r="Y1056">
            <v>-0.04</v>
          </cell>
          <cell r="AB1056">
            <v>0.25</v>
          </cell>
          <cell r="AC1056">
            <v>0.25</v>
          </cell>
          <cell r="AD1056">
            <v>0.25</v>
          </cell>
          <cell r="AE1056">
            <v>0.25</v>
          </cell>
          <cell r="AF1056">
            <v>0.25</v>
          </cell>
          <cell r="AG1056">
            <v>0.25</v>
          </cell>
          <cell r="AH1056">
            <v>0.25</v>
          </cell>
          <cell r="AI1056">
            <v>0.25</v>
          </cell>
          <cell r="AJ1056">
            <v>0.25</v>
          </cell>
          <cell r="AK1056">
            <v>0.25</v>
          </cell>
          <cell r="AL1056">
            <v>0.25</v>
          </cell>
          <cell r="AM1056">
            <v>0.25</v>
          </cell>
          <cell r="AN1056">
            <v>0.25</v>
          </cell>
          <cell r="AO1056">
            <v>0.25</v>
          </cell>
          <cell r="AP1056">
            <v>0.25</v>
          </cell>
          <cell r="AQ1056">
            <v>0.25</v>
          </cell>
          <cell r="AR1056">
            <v>0.25</v>
          </cell>
          <cell r="AS1056">
            <v>0.25</v>
          </cell>
          <cell r="AT1056">
            <v>-0.04</v>
          </cell>
          <cell r="AU1056">
            <v>0.92</v>
          </cell>
          <cell r="AV1056">
            <v>20</v>
          </cell>
          <cell r="AZ1056">
            <v>0.25</v>
          </cell>
          <cell r="BA1056">
            <v>0.25</v>
          </cell>
        </row>
        <row r="1057">
          <cell r="A1057" t="str">
            <v xml:space="preserve">FERRO E FINESTRE </v>
          </cell>
          <cell r="D1057" t="str">
            <v>VIA ANCONA 10</v>
          </cell>
          <cell r="F1057" t="str">
            <v>LADISPOLI</v>
          </cell>
          <cell r="G1057" t="str">
            <v>RM</v>
          </cell>
          <cell r="H1057" t="str">
            <v>ITALIA</v>
          </cell>
          <cell r="J1057" t="str">
            <v>13578221007</v>
          </cell>
          <cell r="M1057" t="str">
            <v>UFFICIO ACQUISTI</v>
          </cell>
          <cell r="N1057" t="str">
            <v>334 6220213 ROBERTO PALLOTTI</v>
          </cell>
          <cell r="O1057" t="str">
            <v>338 5800850</v>
          </cell>
          <cell r="P1057" t="str">
            <v>info@ferroefinestre.it</v>
          </cell>
          <cell r="R1057" t="str">
            <v>BONIFICO BANCARIO, ALLA DATA DELLA NOSTRA CONFERMA D'ORDINE</v>
          </cell>
          <cell r="X1057">
            <v>0.25</v>
          </cell>
          <cell r="Y1057">
            <v>-0.04</v>
          </cell>
          <cell r="AB1057">
            <v>0.25</v>
          </cell>
          <cell r="AC1057">
            <v>0.25</v>
          </cell>
          <cell r="AD1057">
            <v>0.25</v>
          </cell>
          <cell r="AE1057">
            <v>0.25</v>
          </cell>
          <cell r="AF1057">
            <v>0.25</v>
          </cell>
          <cell r="AG1057">
            <v>0.25</v>
          </cell>
          <cell r="AH1057">
            <v>0.25</v>
          </cell>
          <cell r="AI1057">
            <v>0.25</v>
          </cell>
          <cell r="AJ1057">
            <v>0.25</v>
          </cell>
          <cell r="AK1057">
            <v>0.25</v>
          </cell>
          <cell r="AL1057">
            <v>0.25</v>
          </cell>
          <cell r="AM1057">
            <v>0.25</v>
          </cell>
          <cell r="AN1057">
            <v>0.25</v>
          </cell>
          <cell r="AO1057">
            <v>0.25</v>
          </cell>
          <cell r="AP1057">
            <v>0.25</v>
          </cell>
          <cell r="AQ1057">
            <v>0.25</v>
          </cell>
          <cell r="AR1057">
            <v>0.25</v>
          </cell>
          <cell r="AS1057">
            <v>0.25</v>
          </cell>
          <cell r="AT1057">
            <v>-0.04</v>
          </cell>
          <cell r="AU1057">
            <v>0.92</v>
          </cell>
          <cell r="AV1057">
            <v>20</v>
          </cell>
          <cell r="AY1057" t="str">
            <v/>
          </cell>
          <cell r="AZ1057">
            <v>0.25</v>
          </cell>
          <cell r="BA1057">
            <v>0.25</v>
          </cell>
        </row>
        <row r="1058">
          <cell r="A1058" t="str">
            <v>FERRO MORENO</v>
          </cell>
          <cell r="D1058" t="str">
            <v>VIA LIVENZUOLA 7</v>
          </cell>
          <cell r="E1058" t="str">
            <v>30020</v>
          </cell>
          <cell r="F1058" t="str">
            <v>ERACLEA MARE</v>
          </cell>
          <cell r="G1058" t="str">
            <v>VE</v>
          </cell>
          <cell r="H1058" t="str">
            <v>ITALIA</v>
          </cell>
          <cell r="J1058" t="str">
            <v>04289450274</v>
          </cell>
          <cell r="M1058" t="str">
            <v>UFFICIO ACQUISTI</v>
          </cell>
          <cell r="N1058" t="str">
            <v>0421 66278</v>
          </cell>
          <cell r="O1058" t="str">
            <v>335 8037315</v>
          </cell>
          <cell r="P1058" t="str">
            <v>fralluminio@hotmail.it</v>
          </cell>
          <cell r="R1058" t="str">
            <v>BONIFICO BANCARIO, ALLA DATA DELLA NOSTRA CONFERMA D'ORDINE</v>
          </cell>
          <cell r="X1058">
            <v>0.25</v>
          </cell>
          <cell r="Y1058">
            <v>-0.04</v>
          </cell>
          <cell r="AB1058">
            <v>0.25</v>
          </cell>
          <cell r="AC1058">
            <v>0.25</v>
          </cell>
          <cell r="AD1058">
            <v>0.25</v>
          </cell>
          <cell r="AE1058">
            <v>0.25</v>
          </cell>
          <cell r="AF1058">
            <v>0.25</v>
          </cell>
          <cell r="AG1058">
            <v>0.25</v>
          </cell>
          <cell r="AH1058">
            <v>0.25</v>
          </cell>
          <cell r="AI1058">
            <v>0.25</v>
          </cell>
          <cell r="AJ1058">
            <v>0.25</v>
          </cell>
          <cell r="AK1058">
            <v>0.25</v>
          </cell>
          <cell r="AL1058">
            <v>0.25</v>
          </cell>
          <cell r="AM1058">
            <v>0.25</v>
          </cell>
          <cell r="AN1058">
            <v>0.25</v>
          </cell>
          <cell r="AO1058">
            <v>0.25</v>
          </cell>
          <cell r="AP1058">
            <v>0.25</v>
          </cell>
          <cell r="AQ1058">
            <v>0.25</v>
          </cell>
          <cell r="AR1058">
            <v>0.25</v>
          </cell>
          <cell r="AS1058">
            <v>0.25</v>
          </cell>
          <cell r="AT1058">
            <v>-0.04</v>
          </cell>
          <cell r="AU1058">
            <v>0.92</v>
          </cell>
          <cell r="AV1058">
            <v>20</v>
          </cell>
          <cell r="AY1058" t="str">
            <v/>
          </cell>
          <cell r="AZ1058">
            <v>0.25</v>
          </cell>
          <cell r="BA1058">
            <v>0.25</v>
          </cell>
        </row>
        <row r="1059">
          <cell r="A1059" t="str">
            <v>FESTI SRL</v>
          </cell>
          <cell r="D1059" t="str">
            <v>VIA PESANTI, 19</v>
          </cell>
          <cell r="E1059">
            <v>38060</v>
          </cell>
          <cell r="F1059" t="str">
            <v>VILLA LAGARINA</v>
          </cell>
          <cell r="G1059" t="str">
            <v>TN</v>
          </cell>
          <cell r="H1059" t="str">
            <v>ITALIA</v>
          </cell>
          <cell r="I1059" t="str">
            <v>02131030229</v>
          </cell>
          <cell r="J1059" t="str">
            <v>02131030229</v>
          </cell>
          <cell r="M1059" t="str">
            <v>UFFICIO ACQUISTI</v>
          </cell>
          <cell r="N1059" t="str">
            <v>0464 412184</v>
          </cell>
          <cell r="R1059" t="str">
            <v>BONIFICO BANCARIO, ALLA DATA DELLA NOSTRA CONFERMA D'ORDINE</v>
          </cell>
          <cell r="X1059">
            <v>0.25</v>
          </cell>
          <cell r="Y1059">
            <v>-0.04</v>
          </cell>
          <cell r="AB1059">
            <v>0.25</v>
          </cell>
          <cell r="AC1059">
            <v>0.25</v>
          </cell>
          <cell r="AD1059">
            <v>0.25</v>
          </cell>
          <cell r="AE1059">
            <v>0.25</v>
          </cell>
          <cell r="AF1059">
            <v>0.25</v>
          </cell>
          <cell r="AG1059">
            <v>0.25</v>
          </cell>
          <cell r="AH1059">
            <v>0.25</v>
          </cell>
          <cell r="AI1059">
            <v>0.25</v>
          </cell>
          <cell r="AJ1059">
            <v>0.25</v>
          </cell>
          <cell r="AK1059">
            <v>0.25</v>
          </cell>
          <cell r="AL1059">
            <v>0.25</v>
          </cell>
          <cell r="AM1059">
            <v>0.25</v>
          </cell>
          <cell r="AN1059">
            <v>0.25</v>
          </cell>
          <cell r="AO1059">
            <v>0.25</v>
          </cell>
          <cell r="AP1059">
            <v>0.25</v>
          </cell>
          <cell r="AQ1059">
            <v>0.25</v>
          </cell>
          <cell r="AR1059">
            <v>0.25</v>
          </cell>
          <cell r="AS1059">
            <v>0.25</v>
          </cell>
          <cell r="AT1059">
            <v>-0.04</v>
          </cell>
          <cell r="AU1059">
            <v>0.92</v>
          </cell>
          <cell r="AV1059">
            <v>20</v>
          </cell>
          <cell r="AY1059" t="str">
            <v/>
          </cell>
          <cell r="AZ1059">
            <v>0.25</v>
          </cell>
          <cell r="BA1059">
            <v>0.25</v>
          </cell>
        </row>
        <row r="1060">
          <cell r="A1060" t="str">
            <v>FIAMINGO FC SERRAMENTI</v>
          </cell>
          <cell r="B1060" t="str">
            <v>LASCIATO DEPLIAN -MP</v>
          </cell>
          <cell r="D1060" t="str">
            <v>VIA PIAVE, 134</v>
          </cell>
          <cell r="E1060">
            <v>17047</v>
          </cell>
          <cell r="F1060" t="str">
            <v>VADO LIGURE</v>
          </cell>
          <cell r="G1060" t="str">
            <v>SV</v>
          </cell>
          <cell r="H1060" t="str">
            <v>ITALIA</v>
          </cell>
          <cell r="M1060" t="str">
            <v>UFFICIO ACQUISTI</v>
          </cell>
          <cell r="N1060" t="str">
            <v>019 883944</v>
          </cell>
          <cell r="R1060" t="str">
            <v>BONIFICO BANCARIO, ALLA DATA DELLA NOSTRA CONFERMA D'ORDINE</v>
          </cell>
          <cell r="X1060">
            <v>0.25</v>
          </cell>
          <cell r="Y1060">
            <v>-0.04</v>
          </cell>
          <cell r="AB1060">
            <v>0.25</v>
          </cell>
          <cell r="AC1060">
            <v>0.25</v>
          </cell>
          <cell r="AD1060">
            <v>0.25</v>
          </cell>
          <cell r="AE1060">
            <v>0.25</v>
          </cell>
          <cell r="AF1060">
            <v>0.25</v>
          </cell>
          <cell r="AG1060">
            <v>0.25</v>
          </cell>
          <cell r="AH1060">
            <v>0.25</v>
          </cell>
          <cell r="AI1060">
            <v>0.25</v>
          </cell>
          <cell r="AJ1060">
            <v>0.25</v>
          </cell>
          <cell r="AK1060">
            <v>0.25</v>
          </cell>
          <cell r="AL1060">
            <v>0.25</v>
          </cell>
          <cell r="AM1060">
            <v>0.25</v>
          </cell>
          <cell r="AN1060">
            <v>0.25</v>
          </cell>
          <cell r="AO1060">
            <v>0.25</v>
          </cell>
          <cell r="AP1060">
            <v>0.25</v>
          </cell>
          <cell r="AQ1060">
            <v>0.25</v>
          </cell>
          <cell r="AR1060">
            <v>0.25</v>
          </cell>
          <cell r="AS1060">
            <v>0.25</v>
          </cell>
          <cell r="AT1060">
            <v>-0.04</v>
          </cell>
          <cell r="AU1060">
            <v>0.92</v>
          </cell>
          <cell r="AV1060">
            <v>20</v>
          </cell>
          <cell r="AY1060" t="str">
            <v/>
          </cell>
          <cell r="AZ1060">
            <v>0.25</v>
          </cell>
          <cell r="BA1060">
            <v>0.25</v>
          </cell>
        </row>
        <row r="1061">
          <cell r="A1061" t="str">
            <v>FILIPPI PIETRO SRL</v>
          </cell>
          <cell r="D1061" t="str">
            <v>VIA DELLA STATISTICA, 13</v>
          </cell>
          <cell r="E1061" t="str">
            <v>36013</v>
          </cell>
          <cell r="F1061" t="str">
            <v>THIENE</v>
          </cell>
          <cell r="G1061" t="str">
            <v>VI</v>
          </cell>
          <cell r="H1061" t="str">
            <v>ITALIA</v>
          </cell>
          <cell r="J1061" t="str">
            <v>03625450246</v>
          </cell>
          <cell r="M1061" t="str">
            <v>UFFICIO ACQUISTI</v>
          </cell>
          <cell r="N1061" t="str">
            <v>0445 623013</v>
          </cell>
          <cell r="P1061" t="str">
            <v>filippipietro@tiscali.it</v>
          </cell>
          <cell r="R1061" t="str">
            <v>BONIFICO BANCARIO, ALLA DATA DELLA NOSTRA CONFERMA D'ORDINE</v>
          </cell>
          <cell r="X1061">
            <v>0.25</v>
          </cell>
          <cell r="Y1061">
            <v>-0.04</v>
          </cell>
          <cell r="AB1061">
            <v>0.25</v>
          </cell>
          <cell r="AC1061">
            <v>0.25</v>
          </cell>
          <cell r="AD1061">
            <v>0.25</v>
          </cell>
          <cell r="AE1061">
            <v>0.25</v>
          </cell>
          <cell r="AF1061">
            <v>0.25</v>
          </cell>
          <cell r="AG1061">
            <v>0.25</v>
          </cell>
          <cell r="AH1061">
            <v>0.25</v>
          </cell>
          <cell r="AI1061">
            <v>0.25</v>
          </cell>
          <cell r="AJ1061">
            <v>0.25</v>
          </cell>
          <cell r="AK1061">
            <v>0.25</v>
          </cell>
          <cell r="AL1061">
            <v>0.25</v>
          </cell>
          <cell r="AM1061">
            <v>0.25</v>
          </cell>
          <cell r="AN1061">
            <v>0.25</v>
          </cell>
          <cell r="AO1061">
            <v>0.25</v>
          </cell>
          <cell r="AP1061">
            <v>0.25</v>
          </cell>
          <cell r="AQ1061">
            <v>0.25</v>
          </cell>
          <cell r="AR1061">
            <v>0.25</v>
          </cell>
          <cell r="AS1061">
            <v>0.25</v>
          </cell>
          <cell r="AT1061">
            <v>-0.04</v>
          </cell>
          <cell r="AU1061">
            <v>0.92</v>
          </cell>
          <cell r="AV1061">
            <v>20</v>
          </cell>
          <cell r="AZ1061">
            <v>0.25</v>
          </cell>
          <cell r="BA1061">
            <v>0.25</v>
          </cell>
        </row>
        <row r="1062">
          <cell r="A1062" t="str">
            <v>FILOMARINO SERVIZIO CHIAVI</v>
          </cell>
          <cell r="D1062" t="str">
            <v>VIA BALESTRA , 8</v>
          </cell>
          <cell r="E1062">
            <v>6600</v>
          </cell>
          <cell r="F1062" t="str">
            <v>LOCARNO</v>
          </cell>
          <cell r="H1062" t="str">
            <v>SVIZZERA</v>
          </cell>
          <cell r="M1062" t="str">
            <v>UFFICIO ACQUISTI</v>
          </cell>
          <cell r="N1062" t="str">
            <v>091 7511957</v>
          </cell>
          <cell r="P1062" t="str">
            <v>info@filomarino.ch</v>
          </cell>
          <cell r="R1062" t="str">
            <v>BONIFICO BANCARIO, ALLA DATA DELLA NOSTRA CONFERMA D'ORDINE</v>
          </cell>
          <cell r="X1062">
            <v>0.25</v>
          </cell>
          <cell r="Y1062">
            <v>-0.04</v>
          </cell>
          <cell r="AB1062">
            <v>0.25</v>
          </cell>
          <cell r="AC1062">
            <v>0.25</v>
          </cell>
          <cell r="AD1062">
            <v>0.25</v>
          </cell>
          <cell r="AE1062">
            <v>0.25</v>
          </cell>
          <cell r="AF1062">
            <v>0.25</v>
          </cell>
          <cell r="AG1062">
            <v>0.25</v>
          </cell>
          <cell r="AH1062">
            <v>0.25</v>
          </cell>
          <cell r="AI1062">
            <v>0.25</v>
          </cell>
          <cell r="AJ1062">
            <v>0.25</v>
          </cell>
          <cell r="AK1062">
            <v>0.25</v>
          </cell>
          <cell r="AL1062">
            <v>0.25</v>
          </cell>
          <cell r="AM1062">
            <v>0.25</v>
          </cell>
          <cell r="AN1062">
            <v>0.25</v>
          </cell>
          <cell r="AO1062">
            <v>0.25</v>
          </cell>
          <cell r="AP1062">
            <v>0.25</v>
          </cell>
          <cell r="AQ1062">
            <v>0.25</v>
          </cell>
          <cell r="AR1062">
            <v>0.25</v>
          </cell>
          <cell r="AS1062">
            <v>0.25</v>
          </cell>
          <cell r="AT1062">
            <v>-0.04</v>
          </cell>
          <cell r="AU1062">
            <v>0.92</v>
          </cell>
          <cell r="AV1062">
            <v>20</v>
          </cell>
          <cell r="AY1062" t="str">
            <v/>
          </cell>
          <cell r="AZ1062">
            <v>0.25</v>
          </cell>
          <cell r="BA1062">
            <v>0.25</v>
          </cell>
        </row>
        <row r="1063">
          <cell r="A1063" t="str">
            <v>FIMA SNC DI FIORINI ROBERO E MARZOCCHI CRISTIANO</v>
          </cell>
          <cell r="B1063" t="str">
            <v>USA QUELLA DI TRITONE , CHE E' QUELLA CHE FORNISCE LA DSM DITTA DI INFISSI</v>
          </cell>
          <cell r="D1063" t="str">
            <v>VIA DELL'ARTIGIANATO 64</v>
          </cell>
          <cell r="E1063" t="str">
            <v>58022</v>
          </cell>
          <cell r="F1063" t="str">
            <v>FOLLONICA</v>
          </cell>
          <cell r="G1063" t="str">
            <v>GR</v>
          </cell>
          <cell r="H1063" t="str">
            <v>ITALIA</v>
          </cell>
          <cell r="J1063" t="str">
            <v>01006540536</v>
          </cell>
          <cell r="M1063" t="str">
            <v>UFFICIO ACQUISTI</v>
          </cell>
          <cell r="N1063" t="str">
            <v>0566 57096</v>
          </cell>
          <cell r="P1063" t="str">
            <v>fima@telematicaitalia.it</v>
          </cell>
          <cell r="R1063" t="str">
            <v>BONIFICO BANCARIO, ALLA DATA DELLA NOSTRA CONFERMA D'ORDINE</v>
          </cell>
          <cell r="X1063">
            <v>0.25</v>
          </cell>
          <cell r="Y1063">
            <v>-0.04</v>
          </cell>
          <cell r="AB1063">
            <v>0.25</v>
          </cell>
          <cell r="AC1063">
            <v>0.25</v>
          </cell>
          <cell r="AD1063">
            <v>0.25</v>
          </cell>
          <cell r="AE1063">
            <v>0.25</v>
          </cell>
          <cell r="AF1063">
            <v>0.25</v>
          </cell>
          <cell r="AG1063">
            <v>0.25</v>
          </cell>
          <cell r="AH1063">
            <v>0.25</v>
          </cell>
          <cell r="AI1063">
            <v>0.25</v>
          </cell>
          <cell r="AJ1063">
            <v>0.25</v>
          </cell>
          <cell r="AK1063">
            <v>0.25</v>
          </cell>
          <cell r="AL1063">
            <v>0.25</v>
          </cell>
          <cell r="AM1063">
            <v>0.25</v>
          </cell>
          <cell r="AN1063">
            <v>0.25</v>
          </cell>
          <cell r="AO1063">
            <v>0.25</v>
          </cell>
          <cell r="AP1063">
            <v>0.25</v>
          </cell>
          <cell r="AQ1063">
            <v>0.25</v>
          </cell>
          <cell r="AR1063">
            <v>0.25</v>
          </cell>
          <cell r="AS1063">
            <v>0.25</v>
          </cell>
          <cell r="AT1063">
            <v>-0.04</v>
          </cell>
          <cell r="AU1063">
            <v>0.92</v>
          </cell>
          <cell r="AV1063">
            <v>20</v>
          </cell>
          <cell r="AY1063" t="str">
            <v/>
          </cell>
          <cell r="AZ1063">
            <v>0.25</v>
          </cell>
          <cell r="BA1063">
            <v>0.25</v>
          </cell>
        </row>
        <row r="1064">
          <cell r="A1064" t="str">
            <v>FIMET</v>
          </cell>
          <cell r="D1064" t="str">
            <v>VIA DI MONTRAMITO 91</v>
          </cell>
          <cell r="E1064" t="str">
            <v>55054</v>
          </cell>
          <cell r="F1064" t="str">
            <v>MASSAROSA</v>
          </cell>
          <cell r="G1064" t="str">
            <v>LU</v>
          </cell>
          <cell r="H1064" t="str">
            <v>ITALIA</v>
          </cell>
          <cell r="M1064" t="str">
            <v>UFFICIO ACQUISTI</v>
          </cell>
          <cell r="N1064" t="str">
            <v>0584 941344</v>
          </cell>
          <cell r="P1064" t="str">
            <v>info@fimetserramenti.it</v>
          </cell>
          <cell r="R1064" t="str">
            <v>BONIFICO BANCARIO, ALLA DATA DELLA NOSTRA CONFERMA D'ORDINE</v>
          </cell>
          <cell r="X1064">
            <v>0.25</v>
          </cell>
          <cell r="Y1064">
            <v>-0.04</v>
          </cell>
          <cell r="AB1064">
            <v>0.25</v>
          </cell>
          <cell r="AC1064">
            <v>0.25</v>
          </cell>
          <cell r="AD1064">
            <v>0.25</v>
          </cell>
          <cell r="AE1064">
            <v>0.25</v>
          </cell>
          <cell r="AF1064">
            <v>0.25</v>
          </cell>
          <cell r="AG1064">
            <v>0.25</v>
          </cell>
          <cell r="AH1064">
            <v>0.25</v>
          </cell>
          <cell r="AI1064">
            <v>0.25</v>
          </cell>
          <cell r="AJ1064">
            <v>0.25</v>
          </cell>
          <cell r="AK1064">
            <v>0.25</v>
          </cell>
          <cell r="AL1064">
            <v>0.25</v>
          </cell>
          <cell r="AM1064">
            <v>0.25</v>
          </cell>
          <cell r="AN1064">
            <v>0.25</v>
          </cell>
          <cell r="AO1064">
            <v>0.25</v>
          </cell>
          <cell r="AP1064">
            <v>0.25</v>
          </cell>
          <cell r="AQ1064">
            <v>0.25</v>
          </cell>
          <cell r="AR1064">
            <v>0.25</v>
          </cell>
          <cell r="AS1064">
            <v>0.25</v>
          </cell>
          <cell r="AT1064">
            <v>-0.04</v>
          </cell>
          <cell r="AU1064">
            <v>0.92</v>
          </cell>
          <cell r="AV1064">
            <v>20</v>
          </cell>
          <cell r="AY1064" t="str">
            <v/>
          </cell>
          <cell r="AZ1064">
            <v>0.25</v>
          </cell>
          <cell r="BA1064">
            <v>0.25</v>
          </cell>
        </row>
        <row r="1065">
          <cell r="A1065" t="str">
            <v>FINAZZI SERRAMENTI IN PVC</v>
          </cell>
          <cell r="B1065" t="str">
            <v>FABIO</v>
          </cell>
          <cell r="D1065" t="str">
            <v>VIA GARIBALDI, 52</v>
          </cell>
          <cell r="E1065">
            <v>21022</v>
          </cell>
          <cell r="F1065" t="str">
            <v>AZZATE</v>
          </cell>
          <cell r="G1065" t="str">
            <v>VA</v>
          </cell>
          <cell r="H1065" t="str">
            <v>ITALIA</v>
          </cell>
          <cell r="I1065" t="str">
            <v>01224790129</v>
          </cell>
          <cell r="J1065" t="str">
            <v>01224790129</v>
          </cell>
          <cell r="M1065" t="str">
            <v>UFFICIO ACQUISTI</v>
          </cell>
          <cell r="N1065" t="str">
            <v>0332 945140</v>
          </cell>
          <cell r="P1065" t="str">
            <v>info@finazziserramenti.it</v>
          </cell>
          <cell r="R1065" t="str">
            <v>BONIFICO BANCARIO, ALLA DATA DELLA NOSTRA CONFERMA D'ORDINE</v>
          </cell>
          <cell r="X1065">
            <v>0.25</v>
          </cell>
          <cell r="Y1065">
            <v>-0.04</v>
          </cell>
          <cell r="AB1065">
            <v>0.25</v>
          </cell>
          <cell r="AC1065">
            <v>0.25</v>
          </cell>
          <cell r="AD1065">
            <v>0.25</v>
          </cell>
          <cell r="AE1065">
            <v>0.25</v>
          </cell>
          <cell r="AF1065">
            <v>0.25</v>
          </cell>
          <cell r="AG1065">
            <v>0.25</v>
          </cell>
          <cell r="AH1065">
            <v>0.25</v>
          </cell>
          <cell r="AI1065">
            <v>0.25</v>
          </cell>
          <cell r="AJ1065">
            <v>0.25</v>
          </cell>
          <cell r="AK1065">
            <v>0.25</v>
          </cell>
          <cell r="AL1065">
            <v>0.25</v>
          </cell>
          <cell r="AM1065">
            <v>0.25</v>
          </cell>
          <cell r="AN1065">
            <v>0.25</v>
          </cell>
          <cell r="AO1065">
            <v>0.25</v>
          </cell>
          <cell r="AP1065">
            <v>0.25</v>
          </cell>
          <cell r="AQ1065">
            <v>0.25</v>
          </cell>
          <cell r="AR1065">
            <v>0.25</v>
          </cell>
          <cell r="AS1065">
            <v>0.25</v>
          </cell>
          <cell r="AT1065">
            <v>-0.04</v>
          </cell>
          <cell r="AU1065">
            <v>0.92</v>
          </cell>
          <cell r="AV1065">
            <v>20</v>
          </cell>
          <cell r="AY1065" t="str">
            <v/>
          </cell>
          <cell r="AZ1065">
            <v>0.25</v>
          </cell>
          <cell r="BA1065">
            <v>0.25</v>
          </cell>
        </row>
        <row r="1066">
          <cell r="A1066" t="str">
            <v>FINDOOR FINESTRE E PORTE  SRLS</v>
          </cell>
          <cell r="D1066" t="str">
            <v>S.S. GOITESE, 276</v>
          </cell>
          <cell r="F1066" t="str">
            <v>GOITO</v>
          </cell>
          <cell r="G1066" t="str">
            <v>MN</v>
          </cell>
          <cell r="H1066" t="str">
            <v>ITALIA</v>
          </cell>
          <cell r="I1066" t="str">
            <v>02473510200</v>
          </cell>
          <cell r="J1066" t="str">
            <v>02473510200</v>
          </cell>
          <cell r="M1066" t="str">
            <v>UFFICIO ACQUISTI</v>
          </cell>
          <cell r="O1066" t="str">
            <v>Luca 342 8248093 Daniela 342 8606440</v>
          </cell>
          <cell r="P1066" t="str">
            <v>info@findoorsrl.it</v>
          </cell>
          <cell r="R1066" t="str">
            <v>BONIFICO BANCARIO, ALLA DATA DELLA NOSTRA CONFERMA D'ORDINE</v>
          </cell>
          <cell r="X1066">
            <v>0.25</v>
          </cell>
          <cell r="Y1066">
            <v>-0.04</v>
          </cell>
          <cell r="AB1066">
            <v>0.25</v>
          </cell>
          <cell r="AC1066">
            <v>0.25</v>
          </cell>
          <cell r="AD1066">
            <v>0.25</v>
          </cell>
          <cell r="AE1066">
            <v>0.25</v>
          </cell>
          <cell r="AF1066">
            <v>0.25</v>
          </cell>
          <cell r="AG1066">
            <v>0.25</v>
          </cell>
          <cell r="AH1066">
            <v>0.25</v>
          </cell>
          <cell r="AI1066">
            <v>0.25</v>
          </cell>
          <cell r="AJ1066">
            <v>0.25</v>
          </cell>
          <cell r="AK1066">
            <v>0.25</v>
          </cell>
          <cell r="AL1066">
            <v>0.25</v>
          </cell>
          <cell r="AM1066">
            <v>0.25</v>
          </cell>
          <cell r="AN1066">
            <v>0.25</v>
          </cell>
          <cell r="AO1066">
            <v>0.25</v>
          </cell>
          <cell r="AP1066">
            <v>0.25</v>
          </cell>
          <cell r="AQ1066">
            <v>0.25</v>
          </cell>
          <cell r="AR1066">
            <v>0.25</v>
          </cell>
          <cell r="AS1066">
            <v>0.25</v>
          </cell>
          <cell r="AT1066">
            <v>-0.04</v>
          </cell>
          <cell r="AU1066">
            <v>0.92</v>
          </cell>
          <cell r="AV1066">
            <v>20</v>
          </cell>
          <cell r="AY1066" t="str">
            <v/>
          </cell>
          <cell r="AZ1066">
            <v>0.25</v>
          </cell>
          <cell r="BA1066">
            <v>0.25</v>
          </cell>
        </row>
        <row r="1067">
          <cell r="A1067" t="str">
            <v>FINESSO STYLE SRL</v>
          </cell>
          <cell r="B1067" t="str">
            <v>SIGNORA ELISA</v>
          </cell>
          <cell r="D1067" t="str">
            <v>VIA ZONA ARTIGIANALE FOSSETTA</v>
          </cell>
          <cell r="E1067" t="str">
            <v>35020</v>
          </cell>
          <cell r="F1067" t="str">
            <v>PADOVA</v>
          </cell>
          <cell r="G1067" t="str">
            <v>PD</v>
          </cell>
          <cell r="H1067" t="str">
            <v>ITALIA</v>
          </cell>
          <cell r="M1067" t="str">
            <v>UFFICIO ACQUISTI</v>
          </cell>
          <cell r="N1067" t="str">
            <v>048 9501355</v>
          </cell>
          <cell r="R1067" t="str">
            <v>BONIFICO BANCARIO, ALLA DATA DELLA NOSTRA CONFERMA D'ORDINE</v>
          </cell>
          <cell r="X1067">
            <v>0.25</v>
          </cell>
          <cell r="Y1067">
            <v>-0.04</v>
          </cell>
          <cell r="AB1067">
            <v>0.25</v>
          </cell>
          <cell r="AC1067">
            <v>0.25</v>
          </cell>
          <cell r="AD1067">
            <v>0.25</v>
          </cell>
          <cell r="AE1067">
            <v>0.25</v>
          </cell>
          <cell r="AF1067">
            <v>0.25</v>
          </cell>
          <cell r="AG1067">
            <v>0.25</v>
          </cell>
          <cell r="AH1067">
            <v>0.25</v>
          </cell>
          <cell r="AI1067">
            <v>0.25</v>
          </cell>
          <cell r="AJ1067">
            <v>0.25</v>
          </cell>
          <cell r="AK1067">
            <v>0.25</v>
          </cell>
          <cell r="AL1067">
            <v>0.25</v>
          </cell>
          <cell r="AM1067">
            <v>0.25</v>
          </cell>
          <cell r="AN1067">
            <v>0.25</v>
          </cell>
          <cell r="AO1067">
            <v>0.25</v>
          </cell>
          <cell r="AP1067">
            <v>0.25</v>
          </cell>
          <cell r="AQ1067">
            <v>0.25</v>
          </cell>
          <cell r="AR1067">
            <v>0.25</v>
          </cell>
          <cell r="AS1067">
            <v>0.25</v>
          </cell>
          <cell r="AT1067">
            <v>-0.04</v>
          </cell>
          <cell r="AU1067">
            <v>0.92</v>
          </cell>
          <cell r="AV1067">
            <v>20</v>
          </cell>
          <cell r="AY1067" t="str">
            <v/>
          </cell>
          <cell r="AZ1067">
            <v>0.25</v>
          </cell>
          <cell r="BA1067">
            <v>0.25</v>
          </cell>
        </row>
        <row r="1068">
          <cell r="A1068" t="str">
            <v>FINESTRA  SYSTEM'S</v>
          </cell>
          <cell r="D1068" t="str">
            <v>VIA A.EINSTEIN, 78</v>
          </cell>
          <cell r="E1068">
            <v>20062</v>
          </cell>
          <cell r="F1068" t="str">
            <v>CASSANO D'ADDA</v>
          </cell>
          <cell r="G1068" t="str">
            <v>MI</v>
          </cell>
          <cell r="H1068" t="str">
            <v>ITALIA</v>
          </cell>
          <cell r="J1068" t="str">
            <v>12178000159</v>
          </cell>
          <cell r="M1068" t="str">
            <v>UFFICIO ACQUISTI</v>
          </cell>
          <cell r="N1068" t="str">
            <v>0363 65568</v>
          </cell>
          <cell r="O1068" t="str">
            <v>335 8014007</v>
          </cell>
          <cell r="P1068" t="str">
            <v>info@finestrasystems.com</v>
          </cell>
          <cell r="R1068" t="str">
            <v>BONIFICO BANCARIO, ALLA DATA DELLA NOSTRA CONFERMA D'ORDINE</v>
          </cell>
          <cell r="X1068">
            <v>0.25</v>
          </cell>
          <cell r="Y1068">
            <v>-0.04</v>
          </cell>
          <cell r="AB1068">
            <v>0.25</v>
          </cell>
          <cell r="AC1068">
            <v>0.25</v>
          </cell>
          <cell r="AD1068">
            <v>0.25</v>
          </cell>
          <cell r="AE1068">
            <v>0.25</v>
          </cell>
          <cell r="AF1068">
            <v>0.25</v>
          </cell>
          <cell r="AG1068">
            <v>0.25</v>
          </cell>
          <cell r="AH1068">
            <v>0.25</v>
          </cell>
          <cell r="AI1068">
            <v>0.25</v>
          </cell>
          <cell r="AJ1068">
            <v>0.25</v>
          </cell>
          <cell r="AK1068">
            <v>0.25</v>
          </cell>
          <cell r="AL1068">
            <v>0.25</v>
          </cell>
          <cell r="AM1068">
            <v>0.25</v>
          </cell>
          <cell r="AN1068">
            <v>0.25</v>
          </cell>
          <cell r="AO1068">
            <v>0.25</v>
          </cell>
          <cell r="AP1068">
            <v>0.25</v>
          </cell>
          <cell r="AQ1068">
            <v>0.25</v>
          </cell>
          <cell r="AR1068">
            <v>0.25</v>
          </cell>
          <cell r="AS1068">
            <v>0.25</v>
          </cell>
          <cell r="AT1068">
            <v>-0.04</v>
          </cell>
          <cell r="AU1068">
            <v>0.92</v>
          </cell>
          <cell r="AV1068">
            <v>20</v>
          </cell>
          <cell r="AZ1068">
            <v>0.25</v>
          </cell>
          <cell r="BA1068">
            <v>0.25</v>
          </cell>
        </row>
        <row r="1069">
          <cell r="A1069" t="str">
            <v>FINESTRA 4 SRL</v>
          </cell>
          <cell r="D1069" t="str">
            <v>VIA NAZIONALE 40/F</v>
          </cell>
          <cell r="E1069" t="str">
            <v>33010</v>
          </cell>
          <cell r="F1069" t="str">
            <v>TAVAGNACCO</v>
          </cell>
          <cell r="G1069" t="str">
            <v>UD</v>
          </cell>
          <cell r="H1069" t="str">
            <v>ITALIA</v>
          </cell>
          <cell r="J1069" t="str">
            <v>02649680309</v>
          </cell>
          <cell r="M1069" t="str">
            <v>UFFICIO ACQUISTI</v>
          </cell>
          <cell r="N1069" t="str">
            <v>0432 681435 - 0432 1592550</v>
          </cell>
          <cell r="O1069" t="str">
            <v>335 7418124 - 348 7060350 WALTER BERNARDIS</v>
          </cell>
          <cell r="P1069" t="str">
            <v>info@finestra4.it - walter@finestra4.it</v>
          </cell>
          <cell r="R1069" t="str">
            <v>BONIFICO BANCARIO, ALLA DATA DELLA NOSTRA CONFERMA D'ORDINE</v>
          </cell>
          <cell r="X1069">
            <v>0.25</v>
          </cell>
          <cell r="Y1069">
            <v>-0.04</v>
          </cell>
          <cell r="AB1069">
            <v>0.25</v>
          </cell>
          <cell r="AC1069">
            <v>0.25</v>
          </cell>
          <cell r="AD1069">
            <v>0.25</v>
          </cell>
          <cell r="AE1069">
            <v>0.25</v>
          </cell>
          <cell r="AF1069">
            <v>0.25</v>
          </cell>
          <cell r="AG1069">
            <v>0.25</v>
          </cell>
          <cell r="AH1069">
            <v>0.25</v>
          </cell>
          <cell r="AI1069">
            <v>0.25</v>
          </cell>
          <cell r="AJ1069">
            <v>0.25</v>
          </cell>
          <cell r="AK1069">
            <v>0.25</v>
          </cell>
          <cell r="AL1069">
            <v>0.25</v>
          </cell>
          <cell r="AM1069">
            <v>0.25</v>
          </cell>
          <cell r="AN1069">
            <v>0.25</v>
          </cell>
          <cell r="AO1069">
            <v>0.25</v>
          </cell>
          <cell r="AP1069">
            <v>0.25</v>
          </cell>
          <cell r="AQ1069">
            <v>0.25</v>
          </cell>
          <cell r="AR1069">
            <v>0.25</v>
          </cell>
          <cell r="AS1069">
            <v>0.25</v>
          </cell>
          <cell r="AT1069">
            <v>-0.04</v>
          </cell>
          <cell r="AU1069">
            <v>0.92</v>
          </cell>
          <cell r="AV1069">
            <v>20</v>
          </cell>
          <cell r="AY1069" t="str">
            <v/>
          </cell>
          <cell r="AZ1069">
            <v>0.25</v>
          </cell>
          <cell r="BA1069">
            <v>0.25</v>
          </cell>
        </row>
        <row r="1070">
          <cell r="A1070" t="str">
            <v>FINESTRA AMBIENTI</v>
          </cell>
          <cell r="B1070" t="str">
            <v>FINSTRAL   OKNOPLAST</v>
          </cell>
          <cell r="D1070" t="str">
            <v>FRAZ.LA REMISE, 36</v>
          </cell>
          <cell r="E1070" t="str">
            <v>11010</v>
          </cell>
          <cell r="F1070" t="str">
            <v>SARRE</v>
          </cell>
          <cell r="G1070" t="str">
            <v>AO</v>
          </cell>
          <cell r="H1070" t="str">
            <v>ITALIA</v>
          </cell>
          <cell r="J1070" t="str">
            <v>01242110078</v>
          </cell>
          <cell r="M1070" t="str">
            <v>UFFICIO ACQUISTI</v>
          </cell>
          <cell r="N1070" t="str">
            <v>0165 257655</v>
          </cell>
          <cell r="O1070" t="str">
            <v>366 8762174</v>
          </cell>
          <cell r="P1070" t="str">
            <v>info@finestrambienti.it</v>
          </cell>
          <cell r="R1070" t="str">
            <v>BONIFICO BANCARIO, ALLA DATA DELLA NOSTRA CONFERMA D'ORDINE</v>
          </cell>
          <cell r="X1070">
            <v>0.25</v>
          </cell>
          <cell r="Y1070">
            <v>-0.04</v>
          </cell>
          <cell r="AB1070">
            <v>0.25</v>
          </cell>
          <cell r="AC1070">
            <v>0.25</v>
          </cell>
          <cell r="AD1070">
            <v>0.25</v>
          </cell>
          <cell r="AE1070">
            <v>0.25</v>
          </cell>
          <cell r="AF1070">
            <v>0.25</v>
          </cell>
          <cell r="AG1070">
            <v>0.25</v>
          </cell>
          <cell r="AH1070">
            <v>0.25</v>
          </cell>
          <cell r="AI1070">
            <v>0.25</v>
          </cell>
          <cell r="AJ1070">
            <v>0.25</v>
          </cell>
          <cell r="AK1070">
            <v>0.25</v>
          </cell>
          <cell r="AL1070">
            <v>0.25</v>
          </cell>
          <cell r="AM1070">
            <v>0.25</v>
          </cell>
          <cell r="AN1070">
            <v>0.25</v>
          </cell>
          <cell r="AO1070">
            <v>0.25</v>
          </cell>
          <cell r="AP1070">
            <v>0.25</v>
          </cell>
          <cell r="AQ1070">
            <v>0.25</v>
          </cell>
          <cell r="AR1070">
            <v>0.25</v>
          </cell>
          <cell r="AS1070">
            <v>0.25</v>
          </cell>
          <cell r="AT1070">
            <v>-0.04</v>
          </cell>
          <cell r="AU1070">
            <v>0.92</v>
          </cell>
          <cell r="AV1070">
            <v>20</v>
          </cell>
          <cell r="AZ1070">
            <v>0.25</v>
          </cell>
          <cell r="BA1070">
            <v>0.25</v>
          </cell>
        </row>
        <row r="1071">
          <cell r="A1071" t="str">
            <v>FINESTRA CLIMA DI PELLICIARI GIANNI</v>
          </cell>
          <cell r="D1071" t="str">
            <v>VIA G. MARCONI, 69</v>
          </cell>
          <cell r="E1071" t="str">
            <v>41030</v>
          </cell>
          <cell r="F1071" t="str">
            <v>BASTIGLIA</v>
          </cell>
          <cell r="G1071" t="str">
            <v>MO</v>
          </cell>
          <cell r="H1071" t="str">
            <v>ITALIA</v>
          </cell>
          <cell r="I1071" t="str">
            <v>PLLGNN69E23F257B</v>
          </cell>
          <cell r="J1071" t="str">
            <v>03712460363</v>
          </cell>
          <cell r="K1071" t="str">
            <v>W7YVJK9</v>
          </cell>
          <cell r="M1071" t="str">
            <v>UFFICIO ACQUISTI</v>
          </cell>
          <cell r="O1071" t="str">
            <v>328 2441284</v>
          </cell>
          <cell r="P1071" t="str">
            <v>gianni23569@gmail.com</v>
          </cell>
          <cell r="R1071" t="str">
            <v>BONIFICO BANCARIO, ALLA DATA DELLA NOSTRA CONFERMA D'ORDINE</v>
          </cell>
          <cell r="X1071">
            <v>0.25</v>
          </cell>
          <cell r="Y1071">
            <v>-0.04</v>
          </cell>
          <cell r="AB1071">
            <v>0.25</v>
          </cell>
          <cell r="AC1071">
            <v>0.25</v>
          </cell>
          <cell r="AD1071">
            <v>0.25</v>
          </cell>
          <cell r="AE1071">
            <v>0.25</v>
          </cell>
          <cell r="AF1071">
            <v>0.25</v>
          </cell>
          <cell r="AG1071">
            <v>0.25</v>
          </cell>
          <cell r="AH1071">
            <v>0.25</v>
          </cell>
          <cell r="AI1071">
            <v>0.25</v>
          </cell>
          <cell r="AJ1071">
            <v>0.25</v>
          </cell>
          <cell r="AK1071">
            <v>0.25</v>
          </cell>
          <cell r="AL1071">
            <v>0.25</v>
          </cell>
          <cell r="AM1071">
            <v>0.25</v>
          </cell>
          <cell r="AN1071">
            <v>0.25</v>
          </cell>
          <cell r="AO1071">
            <v>0.25</v>
          </cell>
          <cell r="AP1071">
            <v>0.25</v>
          </cell>
          <cell r="AQ1071">
            <v>0.25</v>
          </cell>
          <cell r="AR1071">
            <v>0.25</v>
          </cell>
          <cell r="AS1071">
            <v>0.25</v>
          </cell>
          <cell r="AT1071">
            <v>-0.04</v>
          </cell>
          <cell r="AU1071">
            <v>0.92</v>
          </cell>
          <cell r="AV1071">
            <v>20</v>
          </cell>
          <cell r="AZ1071">
            <v>0.25</v>
          </cell>
          <cell r="BA1071">
            <v>0.25</v>
          </cell>
        </row>
        <row r="1072">
          <cell r="A1072" t="str">
            <v>FINESTRA FACILE</v>
          </cell>
          <cell r="D1072" t="str">
            <v>VIA FRAINA 129</v>
          </cell>
          <cell r="E1072" t="str">
            <v>84087</v>
          </cell>
          <cell r="F1072" t="str">
            <v>SARNO</v>
          </cell>
          <cell r="G1072" t="str">
            <v>SA</v>
          </cell>
          <cell r="H1072" t="str">
            <v>ITALIA</v>
          </cell>
          <cell r="J1072" t="str">
            <v>04959130651</v>
          </cell>
          <cell r="M1072" t="str">
            <v>UFFICIO ACQUISTI</v>
          </cell>
          <cell r="N1072" t="str">
            <v>081 950756</v>
          </cell>
          <cell r="O1072" t="str">
            <v>338 2074696</v>
          </cell>
          <cell r="P1072" t="str">
            <v>preventivi@finestrafacile.com</v>
          </cell>
          <cell r="R1072" t="str">
            <v>BONIFICO BANCARIO, ALLA DATA DELLA NOSTRA CONFERMA D'ORDINE</v>
          </cell>
          <cell r="X1072">
            <v>0.25</v>
          </cell>
          <cell r="Y1072">
            <v>-0.04</v>
          </cell>
          <cell r="AB1072">
            <v>0.25</v>
          </cell>
          <cell r="AC1072">
            <v>0.25</v>
          </cell>
          <cell r="AD1072">
            <v>0.25</v>
          </cell>
          <cell r="AE1072">
            <v>0.25</v>
          </cell>
          <cell r="AF1072">
            <v>0.25</v>
          </cell>
          <cell r="AG1072">
            <v>0.25</v>
          </cell>
          <cell r="AH1072">
            <v>0.25</v>
          </cell>
          <cell r="AI1072">
            <v>0.25</v>
          </cell>
          <cell r="AJ1072">
            <v>0.25</v>
          </cell>
          <cell r="AK1072">
            <v>0.25</v>
          </cell>
          <cell r="AL1072">
            <v>0.25</v>
          </cell>
          <cell r="AM1072">
            <v>0.25</v>
          </cell>
          <cell r="AN1072">
            <v>0.25</v>
          </cell>
          <cell r="AO1072">
            <v>0.25</v>
          </cell>
          <cell r="AP1072">
            <v>0.25</v>
          </cell>
          <cell r="AQ1072">
            <v>0.25</v>
          </cell>
          <cell r="AR1072">
            <v>0.25</v>
          </cell>
          <cell r="AS1072">
            <v>0.25</v>
          </cell>
          <cell r="AT1072">
            <v>-0.04</v>
          </cell>
          <cell r="AU1072">
            <v>0.92</v>
          </cell>
          <cell r="AV1072">
            <v>20</v>
          </cell>
          <cell r="AY1072" t="str">
            <v/>
          </cell>
          <cell r="AZ1072">
            <v>0.25</v>
          </cell>
          <cell r="BA1072">
            <v>0.25</v>
          </cell>
        </row>
        <row r="1073">
          <cell r="A1073" t="str">
            <v>FINESTRA IN ARREDO SRL</v>
          </cell>
          <cell r="D1073" t="str">
            <v>VIA ROMA, 26</v>
          </cell>
          <cell r="E1073" t="str">
            <v>12100</v>
          </cell>
          <cell r="F1073" t="str">
            <v>CUNEO</v>
          </cell>
          <cell r="G1073" t="str">
            <v>CN</v>
          </cell>
          <cell r="H1073" t="str">
            <v>ITALIA</v>
          </cell>
          <cell r="J1073" t="str">
            <v>03847940040</v>
          </cell>
          <cell r="K1073" t="str">
            <v>USAL89V</v>
          </cell>
          <cell r="M1073" t="str">
            <v>UFFICIO ACQUISTI</v>
          </cell>
          <cell r="N1073" t="str">
            <v>391 1101129</v>
          </cell>
          <cell r="P1073" t="str">
            <v>amministrazione@finestrainarredo.it</v>
          </cell>
          <cell r="R1073" t="str">
            <v>BONIFICO BANCARIO, ALLA DATA DELLA NOSTRA CONFERMA D'ORDINE</v>
          </cell>
          <cell r="X1073">
            <v>0.25</v>
          </cell>
          <cell r="Y1073">
            <v>-0.04</v>
          </cell>
          <cell r="AB1073">
            <v>0.25</v>
          </cell>
          <cell r="AC1073">
            <v>0.25</v>
          </cell>
          <cell r="AD1073">
            <v>0.25</v>
          </cell>
          <cell r="AE1073">
            <v>0.25</v>
          </cell>
          <cell r="AF1073">
            <v>0.25</v>
          </cell>
          <cell r="AG1073">
            <v>0.25</v>
          </cell>
          <cell r="AH1073">
            <v>0.25</v>
          </cell>
          <cell r="AI1073">
            <v>0.25</v>
          </cell>
          <cell r="AJ1073">
            <v>0.25</v>
          </cell>
          <cell r="AK1073">
            <v>0.25</v>
          </cell>
          <cell r="AL1073">
            <v>0.25</v>
          </cell>
          <cell r="AM1073">
            <v>0.25</v>
          </cell>
          <cell r="AN1073">
            <v>0.25</v>
          </cell>
          <cell r="AO1073">
            <v>0.25</v>
          </cell>
          <cell r="AP1073">
            <v>0.25</v>
          </cell>
          <cell r="AQ1073">
            <v>0.25</v>
          </cell>
          <cell r="AR1073">
            <v>0.25</v>
          </cell>
          <cell r="AS1073">
            <v>0.25</v>
          </cell>
          <cell r="AT1073">
            <v>-0.04</v>
          </cell>
          <cell r="AU1073">
            <v>0.92</v>
          </cell>
          <cell r="AV1073">
            <v>20</v>
          </cell>
          <cell r="AY1073" t="str">
            <v/>
          </cell>
          <cell r="AZ1073">
            <v>0.25</v>
          </cell>
          <cell r="BA1073">
            <v>0.25</v>
          </cell>
          <cell r="BF1073" t="str">
            <v>CLICK RAPID con carpenteria 06/07/2020</v>
          </cell>
        </row>
        <row r="1074">
          <cell r="A1074" t="str">
            <v>FINESTRAL SISTEMI</v>
          </cell>
          <cell r="D1074" t="str">
            <v>VIA GERMANIA 14</v>
          </cell>
          <cell r="E1074">
            <v>37069</v>
          </cell>
          <cell r="F1074" t="str">
            <v>VILLAFR. DI VERONA</v>
          </cell>
          <cell r="G1074" t="str">
            <v>VR</v>
          </cell>
          <cell r="H1074" t="str">
            <v>ITALIA</v>
          </cell>
          <cell r="M1074" t="str">
            <v>UFFICIO ACQUISTI</v>
          </cell>
          <cell r="N1074" t="str">
            <v>045 6303622</v>
          </cell>
          <cell r="P1074" t="str">
            <v>finestralsistemi@tiscali.it</v>
          </cell>
          <cell r="R1074" t="str">
            <v>BONIFICO BANCARIO, ALLA DATA DELLA NOSTRA CONFERMA D'ORDINE</v>
          </cell>
          <cell r="X1074">
            <v>0.25</v>
          </cell>
          <cell r="Y1074">
            <v>-0.04</v>
          </cell>
          <cell r="AB1074">
            <v>0.25</v>
          </cell>
          <cell r="AC1074">
            <v>0.25</v>
          </cell>
          <cell r="AD1074">
            <v>0.25</v>
          </cell>
          <cell r="AE1074">
            <v>0.25</v>
          </cell>
          <cell r="AF1074">
            <v>0.25</v>
          </cell>
          <cell r="AG1074">
            <v>0.25</v>
          </cell>
          <cell r="AH1074">
            <v>0.25</v>
          </cell>
          <cell r="AI1074">
            <v>0.25</v>
          </cell>
          <cell r="AJ1074">
            <v>0.25</v>
          </cell>
          <cell r="AK1074">
            <v>0.25</v>
          </cell>
          <cell r="AL1074">
            <v>0.25</v>
          </cell>
          <cell r="AM1074">
            <v>0.25</v>
          </cell>
          <cell r="AN1074">
            <v>0.25</v>
          </cell>
          <cell r="AO1074">
            <v>0.25</v>
          </cell>
          <cell r="AP1074">
            <v>0.25</v>
          </cell>
          <cell r="AQ1074">
            <v>0.25</v>
          </cell>
          <cell r="AR1074">
            <v>0.25</v>
          </cell>
          <cell r="AS1074">
            <v>0.25</v>
          </cell>
          <cell r="AT1074">
            <v>-0.04</v>
          </cell>
          <cell r="AU1074">
            <v>0.92</v>
          </cell>
          <cell r="AV1074">
            <v>20</v>
          </cell>
          <cell r="AZ1074">
            <v>0.25</v>
          </cell>
          <cell r="BA1074">
            <v>0.25</v>
          </cell>
        </row>
        <row r="1075">
          <cell r="A1075" t="str">
            <v>FINESTRE E FINESTRE</v>
          </cell>
          <cell r="D1075" t="str">
            <v>VIA TRIESTE, 54</v>
          </cell>
          <cell r="E1075">
            <v>21023</v>
          </cell>
          <cell r="F1075" t="str">
            <v>BESOZZO</v>
          </cell>
          <cell r="G1075" t="str">
            <v>VA</v>
          </cell>
          <cell r="H1075" t="str">
            <v>ITALIA</v>
          </cell>
          <cell r="M1075" t="str">
            <v>UFFICIO ACQUISTI</v>
          </cell>
          <cell r="N1075" t="str">
            <v>0332 971271</v>
          </cell>
          <cell r="O1075" t="str">
            <v>Clarissa Ceriani 340 7828789</v>
          </cell>
          <cell r="P1075" t="str">
            <v>clarissa@finestrebesozzo.it</v>
          </cell>
          <cell r="R1075" t="str">
            <v>BONIFICO BANCARIO, ALLA DATA DELLA NOSTRA CONFERMA D'ORDINE</v>
          </cell>
          <cell r="X1075">
            <v>0.25</v>
          </cell>
          <cell r="Y1075">
            <v>-0.04</v>
          </cell>
          <cell r="AB1075">
            <v>0.25</v>
          </cell>
          <cell r="AC1075">
            <v>0.25</v>
          </cell>
          <cell r="AD1075">
            <v>0.25</v>
          </cell>
          <cell r="AE1075">
            <v>0.25</v>
          </cell>
          <cell r="AF1075">
            <v>0.25</v>
          </cell>
          <cell r="AG1075">
            <v>0.25</v>
          </cell>
          <cell r="AH1075">
            <v>0.25</v>
          </cell>
          <cell r="AI1075">
            <v>0.25</v>
          </cell>
          <cell r="AJ1075">
            <v>0.25</v>
          </cell>
          <cell r="AK1075">
            <v>0.25</v>
          </cell>
          <cell r="AL1075">
            <v>0.25</v>
          </cell>
          <cell r="AM1075">
            <v>0.25</v>
          </cell>
          <cell r="AN1075">
            <v>0.25</v>
          </cell>
          <cell r="AO1075">
            <v>0.25</v>
          </cell>
          <cell r="AP1075">
            <v>0.25</v>
          </cell>
          <cell r="AQ1075">
            <v>0.25</v>
          </cell>
          <cell r="AR1075">
            <v>0.25</v>
          </cell>
          <cell r="AS1075">
            <v>0.25</v>
          </cell>
          <cell r="AT1075">
            <v>-0.04</v>
          </cell>
          <cell r="AU1075">
            <v>0.92</v>
          </cell>
          <cell r="AV1075">
            <v>20</v>
          </cell>
          <cell r="AY1075" t="str">
            <v/>
          </cell>
          <cell r="AZ1075">
            <v>0.25</v>
          </cell>
          <cell r="BA1075">
            <v>0.25</v>
          </cell>
        </row>
        <row r="1076">
          <cell r="A1076" t="str">
            <v>FINESTRE KIRA</v>
          </cell>
          <cell r="D1076" t="str">
            <v>VIA BRIGATA 29</v>
          </cell>
          <cell r="E1076" t="str">
            <v>88100</v>
          </cell>
          <cell r="F1076" t="str">
            <v>CATANZARO</v>
          </cell>
          <cell r="G1076" t="str">
            <v>CZ</v>
          </cell>
          <cell r="H1076" t="str">
            <v>ITALIA</v>
          </cell>
          <cell r="M1076" t="str">
            <v>UFFICIO ACQUISTI</v>
          </cell>
          <cell r="N1076" t="str">
            <v>328 5353470</v>
          </cell>
          <cell r="O1076" t="str">
            <v>327 8999218</v>
          </cell>
          <cell r="P1076" t="str">
            <v>fabiopolito1973@gmail.com</v>
          </cell>
          <cell r="R1076" t="str">
            <v>BONIFICO BANCARIO, ALLA DATA DELLA NOSTRA CONFERMA D'ORDINE</v>
          </cell>
          <cell r="X1076">
            <v>0.25</v>
          </cell>
          <cell r="Y1076">
            <v>-0.04</v>
          </cell>
          <cell r="AB1076">
            <v>0.25</v>
          </cell>
          <cell r="AC1076">
            <v>0.25</v>
          </cell>
          <cell r="AD1076">
            <v>0.25</v>
          </cell>
          <cell r="AE1076">
            <v>0.25</v>
          </cell>
          <cell r="AF1076">
            <v>0.25</v>
          </cell>
          <cell r="AG1076">
            <v>0.25</v>
          </cell>
          <cell r="AH1076">
            <v>0.25</v>
          </cell>
          <cell r="AI1076">
            <v>0.25</v>
          </cell>
          <cell r="AJ1076">
            <v>0.25</v>
          </cell>
          <cell r="AK1076">
            <v>0.25</v>
          </cell>
          <cell r="AL1076">
            <v>0.25</v>
          </cell>
          <cell r="AM1076">
            <v>0.25</v>
          </cell>
          <cell r="AN1076">
            <v>0.25</v>
          </cell>
          <cell r="AO1076">
            <v>0.25</v>
          </cell>
          <cell r="AP1076">
            <v>0.25</v>
          </cell>
          <cell r="AQ1076">
            <v>0.25</v>
          </cell>
          <cell r="AR1076">
            <v>0.25</v>
          </cell>
          <cell r="AS1076">
            <v>0.25</v>
          </cell>
          <cell r="AT1076">
            <v>-0.04</v>
          </cell>
          <cell r="AU1076">
            <v>0.92</v>
          </cell>
          <cell r="AV1076">
            <v>20</v>
          </cell>
          <cell r="AW1076" t="str">
            <v>PIETRO OLIVADOTI</v>
          </cell>
          <cell r="AX1076">
            <v>0.95</v>
          </cell>
          <cell r="AY1076" t="str">
            <v/>
          </cell>
          <cell r="AZ1076">
            <v>0.25</v>
          </cell>
          <cell r="BA1076">
            <v>0.25</v>
          </cell>
        </row>
        <row r="1077">
          <cell r="A1077" t="str">
            <v>FINESTRE LEONARDO SRL</v>
          </cell>
          <cell r="B1077" t="str">
            <v>GIANCARLO PALLOTTI BUSINESS MANAGER</v>
          </cell>
          <cell r="D1077" t="str">
            <v>VIA DEI CINQUE ARCHI, 428</v>
          </cell>
          <cell r="E1077" t="str">
            <v>00049</v>
          </cell>
          <cell r="F1077" t="str">
            <v>VELLETRI</v>
          </cell>
          <cell r="G1077" t="str">
            <v>RM</v>
          </cell>
          <cell r="H1077" t="str">
            <v>ITALIA</v>
          </cell>
          <cell r="J1077" t="str">
            <v>10273121003</v>
          </cell>
          <cell r="M1077" t="str">
            <v>UFFICIO ACQUISTI</v>
          </cell>
          <cell r="N1077" t="str">
            <v>06 96453485</v>
          </cell>
          <cell r="P1077" t="str">
            <v>info@finestreleonardo.it</v>
          </cell>
          <cell r="R1077" t="str">
            <v>BONIFICO BANCARIO, ALLA DATA DELLA NOSTRA CONFERMA D'ORDINE</v>
          </cell>
          <cell r="X1077">
            <v>0.2</v>
          </cell>
          <cell r="Y1077">
            <v>-0.04</v>
          </cell>
          <cell r="AB1077">
            <v>0.2</v>
          </cell>
          <cell r="AC1077">
            <v>0.2</v>
          </cell>
          <cell r="AD1077">
            <v>0.2</v>
          </cell>
          <cell r="AE1077">
            <v>0.2</v>
          </cell>
          <cell r="AF1077">
            <v>0.2</v>
          </cell>
          <cell r="AG1077">
            <v>0.2</v>
          </cell>
          <cell r="AH1077">
            <v>0.2</v>
          </cell>
          <cell r="AI1077">
            <v>0.2</v>
          </cell>
          <cell r="AJ1077">
            <v>0.2</v>
          </cell>
          <cell r="AK1077">
            <v>0.2</v>
          </cell>
          <cell r="AL1077">
            <v>0.2</v>
          </cell>
          <cell r="AM1077">
            <v>0.2</v>
          </cell>
          <cell r="AN1077">
            <v>0.2</v>
          </cell>
          <cell r="AO1077">
            <v>0.2</v>
          </cell>
          <cell r="AP1077">
            <v>0.2</v>
          </cell>
          <cell r="AQ1077">
            <v>0.2</v>
          </cell>
          <cell r="AR1077">
            <v>0.2</v>
          </cell>
          <cell r="AS1077">
            <v>0.2</v>
          </cell>
          <cell r="AT1077">
            <v>-0.04</v>
          </cell>
          <cell r="AU1077">
            <v>0.92</v>
          </cell>
          <cell r="AV1077">
            <v>20</v>
          </cell>
          <cell r="AZ1077">
            <v>0.2</v>
          </cell>
          <cell r="BA1077">
            <v>0.2</v>
          </cell>
        </row>
        <row r="1078">
          <cell r="A1078" t="str">
            <v>FINESTRE MATTA SRLS</v>
          </cell>
          <cell r="B1078" t="str">
            <v>RIVENDITORE ACQUASTOP 05/12 USANO ACQUASTOP. SIG. NICOLA, MOLTO INTERESSATO. TRATTANO ACQUASTOP MA MOLTO INTERESSATO. SPIEGATO PLUS E MANDATO IL TUTTO RICHIAMARE</v>
          </cell>
          <cell r="D1078" t="str">
            <v xml:space="preserve">CORSO TASSONI, 33 </v>
          </cell>
          <cell r="E1078" t="str">
            <v>10121</v>
          </cell>
          <cell r="F1078" t="str">
            <v>TORINO</v>
          </cell>
          <cell r="G1078" t="str">
            <v>TO</v>
          </cell>
          <cell r="H1078" t="str">
            <v>ITALIA</v>
          </cell>
          <cell r="J1078" t="str">
            <v>11629740013</v>
          </cell>
          <cell r="L1078" t="str">
            <v>VIA MONASTIR, 125-SAN SPERATE (CA)</v>
          </cell>
          <cell r="M1078" t="str">
            <v>UFFICIO ACQUISTI</v>
          </cell>
          <cell r="N1078" t="str">
            <v>070 9600301</v>
          </cell>
          <cell r="O1078" t="str">
            <v>331 6474329 ANTONIO   348 6926075 NICOLA</v>
          </cell>
          <cell r="P1078" t="str">
            <v>finestrematta@gmail.com</v>
          </cell>
          <cell r="R1078" t="str">
            <v>BONIFICO BANCARIO, ALLA DATA DELLA NOSTRA CONFERMA D'ORDINE</v>
          </cell>
          <cell r="X1078">
            <v>0.17</v>
          </cell>
          <cell r="Y1078">
            <v>-0.04</v>
          </cell>
          <cell r="AB1078">
            <v>0.17</v>
          </cell>
          <cell r="AC1078">
            <v>0.17</v>
          </cell>
          <cell r="AD1078">
            <v>0.17</v>
          </cell>
          <cell r="AE1078">
            <v>0.17</v>
          </cell>
          <cell r="AF1078">
            <v>0.17</v>
          </cell>
          <cell r="AG1078">
            <v>0.17</v>
          </cell>
          <cell r="AH1078">
            <v>0.17</v>
          </cell>
          <cell r="AI1078">
            <v>0.17</v>
          </cell>
          <cell r="AJ1078">
            <v>0.17</v>
          </cell>
          <cell r="AK1078">
            <v>0.17</v>
          </cell>
          <cell r="AL1078">
            <v>0.17</v>
          </cell>
          <cell r="AM1078">
            <v>0.17</v>
          </cell>
          <cell r="AN1078">
            <v>0.17</v>
          </cell>
          <cell r="AO1078">
            <v>0.17</v>
          </cell>
          <cell r="AP1078">
            <v>0.17</v>
          </cell>
          <cell r="AQ1078">
            <v>0.17</v>
          </cell>
          <cell r="AR1078">
            <v>0.17</v>
          </cell>
          <cell r="AS1078">
            <v>0.17</v>
          </cell>
          <cell r="AT1078">
            <v>-0.04</v>
          </cell>
          <cell r="AU1078">
            <v>0.92</v>
          </cell>
          <cell r="AV1078">
            <v>20</v>
          </cell>
          <cell r="AZ1078">
            <v>0.17</v>
          </cell>
          <cell r="BA1078">
            <v>0.17</v>
          </cell>
        </row>
        <row r="1079">
          <cell r="A1079" t="str">
            <v>FINESTRE NURITH</v>
          </cell>
          <cell r="D1079" t="str">
            <v>VIALE VENEZIA 74</v>
          </cell>
          <cell r="E1079" t="str">
            <v>33072</v>
          </cell>
          <cell r="F1079" t="str">
            <v>CASARSA DELLA DELIZIA</v>
          </cell>
          <cell r="G1079" t="str">
            <v>PN</v>
          </cell>
          <cell r="H1079" t="str">
            <v>ITALIA</v>
          </cell>
          <cell r="J1079" t="str">
            <v>01727730937</v>
          </cell>
          <cell r="M1079" t="str">
            <v>UFFICIO ACQUISTI</v>
          </cell>
          <cell r="N1079" t="str">
            <v>0434 869925</v>
          </cell>
          <cell r="P1079" t="str">
            <v>info@centro-infissi.it</v>
          </cell>
          <cell r="R1079" t="str">
            <v>BONIFICO BANCARIO, ALLA DATA DELLA NOSTRA CONFERMA D'ORDINE</v>
          </cell>
          <cell r="X1079">
            <v>0.25</v>
          </cell>
          <cell r="Y1079">
            <v>-0.04</v>
          </cell>
          <cell r="AB1079">
            <v>0.25</v>
          </cell>
          <cell r="AC1079">
            <v>0.25</v>
          </cell>
          <cell r="AD1079">
            <v>0.25</v>
          </cell>
          <cell r="AE1079">
            <v>0.25</v>
          </cell>
          <cell r="AF1079">
            <v>0.25</v>
          </cell>
          <cell r="AG1079">
            <v>0.25</v>
          </cell>
          <cell r="AH1079">
            <v>0.25</v>
          </cell>
          <cell r="AI1079">
            <v>0.25</v>
          </cell>
          <cell r="AJ1079">
            <v>0.25</v>
          </cell>
          <cell r="AK1079">
            <v>0.25</v>
          </cell>
          <cell r="AL1079">
            <v>0.25</v>
          </cell>
          <cell r="AM1079">
            <v>0.25</v>
          </cell>
          <cell r="AN1079">
            <v>0.25</v>
          </cell>
          <cell r="AO1079">
            <v>0.25</v>
          </cell>
          <cell r="AP1079">
            <v>0.25</v>
          </cell>
          <cell r="AQ1079">
            <v>0.25</v>
          </cell>
          <cell r="AR1079">
            <v>0.25</v>
          </cell>
          <cell r="AS1079">
            <v>0.25</v>
          </cell>
          <cell r="AT1079">
            <v>-0.04</v>
          </cell>
          <cell r="AU1079">
            <v>0.92</v>
          </cell>
          <cell r="AV1079">
            <v>20</v>
          </cell>
          <cell r="AY1079" t="str">
            <v/>
          </cell>
          <cell r="AZ1079">
            <v>0.25</v>
          </cell>
          <cell r="BA1079">
            <v>0.25</v>
          </cell>
        </row>
        <row r="1080">
          <cell r="A1080" t="str">
            <v>FINESTRE NURITH</v>
          </cell>
          <cell r="D1080" t="str">
            <v>CORSO ITALIA, 78</v>
          </cell>
          <cell r="E1080" t="str">
            <v>73014</v>
          </cell>
          <cell r="F1080" t="str">
            <v>GALLIPOLI</v>
          </cell>
          <cell r="G1080" t="str">
            <v>LE</v>
          </cell>
          <cell r="H1080" t="str">
            <v>ITALIA</v>
          </cell>
          <cell r="I1080" t="str">
            <v>01785690734</v>
          </cell>
          <cell r="J1080" t="str">
            <v>01785690734</v>
          </cell>
          <cell r="M1080" t="str">
            <v>UFFICIO ACQUISTI</v>
          </cell>
          <cell r="O1080" t="str">
            <v>347 2594752</v>
          </cell>
          <cell r="P1080" t="str">
            <v>amministrazione.spadaserramenti@gmail.com</v>
          </cell>
          <cell r="R1080" t="str">
            <v>BONIFICO BANCARIO, ALLA DATA DELLA NOSTRA CONFERMA D'ORDINE</v>
          </cell>
          <cell r="X1080">
            <v>0.25</v>
          </cell>
          <cell r="Y1080">
            <v>-0.04</v>
          </cell>
          <cell r="AB1080">
            <v>0.25</v>
          </cell>
          <cell r="AC1080">
            <v>0.25</v>
          </cell>
          <cell r="AD1080">
            <v>0.25</v>
          </cell>
          <cell r="AE1080">
            <v>0.25</v>
          </cell>
          <cell r="AF1080">
            <v>0.25</v>
          </cell>
          <cell r="AG1080">
            <v>0.25</v>
          </cell>
          <cell r="AH1080">
            <v>0.25</v>
          </cell>
          <cell r="AI1080">
            <v>0.25</v>
          </cell>
          <cell r="AJ1080">
            <v>0.25</v>
          </cell>
          <cell r="AK1080">
            <v>0.25</v>
          </cell>
          <cell r="AL1080">
            <v>0.25</v>
          </cell>
          <cell r="AM1080">
            <v>0.25</v>
          </cell>
          <cell r="AN1080">
            <v>0.25</v>
          </cell>
          <cell r="AO1080">
            <v>0.25</v>
          </cell>
          <cell r="AP1080">
            <v>0.25</v>
          </cell>
          <cell r="AQ1080">
            <v>0.25</v>
          </cell>
          <cell r="AR1080">
            <v>0.25</v>
          </cell>
          <cell r="AS1080">
            <v>0.25</v>
          </cell>
          <cell r="AT1080">
            <v>-0.04</v>
          </cell>
          <cell r="AU1080">
            <v>0.92</v>
          </cell>
          <cell r="AV1080">
            <v>20</v>
          </cell>
          <cell r="AZ1080">
            <v>0.25</v>
          </cell>
          <cell r="BA1080">
            <v>0.25</v>
          </cell>
        </row>
        <row r="1081">
          <cell r="A1081" t="str">
            <v>FINEX</v>
          </cell>
          <cell r="D1081" t="str">
            <v>VIALE EUROPA, 17</v>
          </cell>
          <cell r="E1081" t="str">
            <v>20025</v>
          </cell>
          <cell r="F1081" t="str">
            <v>LEGNANO</v>
          </cell>
          <cell r="G1081" t="str">
            <v>VR</v>
          </cell>
          <cell r="H1081" t="str">
            <v>ITALIA</v>
          </cell>
          <cell r="M1081" t="str">
            <v>UFFICIO ACQUISTI</v>
          </cell>
          <cell r="N1081" t="str">
            <v>0442 629213</v>
          </cell>
          <cell r="O1081" t="str">
            <v>Christopher Merizzi  393 8940669</v>
          </cell>
          <cell r="P1081" t="str">
            <v>info@finex.it - christopher@finex.it</v>
          </cell>
          <cell r="R1081" t="str">
            <v>BONIFICO BANCARIO, ALLA DATA DELLA NOSTRA CONFERMA D'ORDINE</v>
          </cell>
          <cell r="X1081">
            <v>0.25</v>
          </cell>
          <cell r="Y1081">
            <v>-0.04</v>
          </cell>
          <cell r="AB1081">
            <v>0.25</v>
          </cell>
          <cell r="AC1081">
            <v>0.25</v>
          </cell>
          <cell r="AD1081">
            <v>0.25</v>
          </cell>
          <cell r="AE1081">
            <v>0.25</v>
          </cell>
          <cell r="AF1081">
            <v>0.25</v>
          </cell>
          <cell r="AG1081">
            <v>0.25</v>
          </cell>
          <cell r="AH1081">
            <v>0.25</v>
          </cell>
          <cell r="AI1081">
            <v>0.25</v>
          </cell>
          <cell r="AJ1081">
            <v>0.25</v>
          </cell>
          <cell r="AK1081">
            <v>0.25</v>
          </cell>
          <cell r="AL1081">
            <v>0.25</v>
          </cell>
          <cell r="AM1081">
            <v>0.25</v>
          </cell>
          <cell r="AN1081">
            <v>0.25</v>
          </cell>
          <cell r="AO1081">
            <v>0.25</v>
          </cell>
          <cell r="AP1081">
            <v>0.25</v>
          </cell>
          <cell r="AQ1081">
            <v>0.25</v>
          </cell>
          <cell r="AR1081">
            <v>0.25</v>
          </cell>
          <cell r="AS1081">
            <v>0.25</v>
          </cell>
          <cell r="AT1081">
            <v>-0.04</v>
          </cell>
          <cell r="AU1081">
            <v>0.92</v>
          </cell>
          <cell r="AV1081">
            <v>20</v>
          </cell>
          <cell r="AZ1081">
            <v>0.25</v>
          </cell>
          <cell r="BA1081">
            <v>0.25</v>
          </cell>
        </row>
        <row r="1082">
          <cell r="A1082" t="str">
            <v>FINEXTRA SRL</v>
          </cell>
          <cell r="D1082" t="str">
            <v>VIA DEL LAVORO 16</v>
          </cell>
          <cell r="E1082" t="str">
            <v>22100</v>
          </cell>
          <cell r="F1082" t="str">
            <v>COMO</v>
          </cell>
          <cell r="G1082" t="str">
            <v>CO</v>
          </cell>
          <cell r="H1082" t="str">
            <v>ITALIA</v>
          </cell>
          <cell r="M1082" t="str">
            <v>UFFICIO ACQUISTI</v>
          </cell>
          <cell r="R1082" t="str">
            <v>BONIFICO BANCARIO, ALLA DATA DELLA NOSTRA CONFERMA D'ORDINE</v>
          </cell>
          <cell r="X1082">
            <v>0.25</v>
          </cell>
          <cell r="Y1082">
            <v>-0.04</v>
          </cell>
          <cell r="AB1082">
            <v>0.25</v>
          </cell>
          <cell r="AC1082">
            <v>0.25</v>
          </cell>
          <cell r="AD1082">
            <v>0.25</v>
          </cell>
          <cell r="AE1082">
            <v>0.25</v>
          </cell>
          <cell r="AF1082">
            <v>0.25</v>
          </cell>
          <cell r="AG1082">
            <v>0.25</v>
          </cell>
          <cell r="AH1082">
            <v>0.25</v>
          </cell>
          <cell r="AI1082">
            <v>0.25</v>
          </cell>
          <cell r="AJ1082">
            <v>0.25</v>
          </cell>
          <cell r="AK1082">
            <v>0.25</v>
          </cell>
          <cell r="AL1082">
            <v>0.25</v>
          </cell>
          <cell r="AM1082">
            <v>0.25</v>
          </cell>
          <cell r="AN1082">
            <v>0.25</v>
          </cell>
          <cell r="AO1082">
            <v>0.25</v>
          </cell>
          <cell r="AP1082">
            <v>0.25</v>
          </cell>
          <cell r="AQ1082">
            <v>0.25</v>
          </cell>
          <cell r="AR1082">
            <v>0.25</v>
          </cell>
          <cell r="AS1082">
            <v>0.25</v>
          </cell>
          <cell r="AT1082">
            <v>-0.04</v>
          </cell>
          <cell r="AU1082">
            <v>0.92</v>
          </cell>
          <cell r="AV1082">
            <v>20</v>
          </cell>
          <cell r="AZ1082">
            <v>0.25</v>
          </cell>
          <cell r="BA1082">
            <v>0.25</v>
          </cell>
        </row>
        <row r="1083">
          <cell r="A1083" t="str">
            <v>FINPORTE SRL</v>
          </cell>
          <cell r="D1083" t="str">
            <v>VIA WILDT 2</v>
          </cell>
          <cell r="E1083" t="str">
            <v>20131</v>
          </cell>
          <cell r="F1083" t="str">
            <v>MILANO</v>
          </cell>
          <cell r="G1083" t="str">
            <v>MI</v>
          </cell>
          <cell r="H1083" t="str">
            <v>ITALIA</v>
          </cell>
          <cell r="M1083" t="str">
            <v>UFFICIO ACQUISTI</v>
          </cell>
          <cell r="N1083" t="str">
            <v>02 26112000</v>
          </cell>
          <cell r="R1083" t="str">
            <v>BONIFICO BANCARIO, ALLA DATA DELLA NOSTRA CONFERMA D'ORDINE</v>
          </cell>
          <cell r="X1083">
            <v>0.25</v>
          </cell>
          <cell r="Y1083">
            <v>-0.04</v>
          </cell>
          <cell r="AB1083">
            <v>0.25</v>
          </cell>
          <cell r="AC1083">
            <v>0.25</v>
          </cell>
          <cell r="AD1083">
            <v>0.25</v>
          </cell>
          <cell r="AE1083">
            <v>0.25</v>
          </cell>
          <cell r="AF1083">
            <v>0.25</v>
          </cell>
          <cell r="AG1083">
            <v>0.25</v>
          </cell>
          <cell r="AH1083">
            <v>0.25</v>
          </cell>
          <cell r="AI1083">
            <v>0.25</v>
          </cell>
          <cell r="AJ1083">
            <v>0.25</v>
          </cell>
          <cell r="AK1083">
            <v>0.25</v>
          </cell>
          <cell r="AL1083">
            <v>0.25</v>
          </cell>
          <cell r="AM1083">
            <v>0.25</v>
          </cell>
          <cell r="AN1083">
            <v>0.25</v>
          </cell>
          <cell r="AO1083">
            <v>0.25</v>
          </cell>
          <cell r="AP1083">
            <v>0.25</v>
          </cell>
          <cell r="AQ1083">
            <v>0.25</v>
          </cell>
          <cell r="AR1083">
            <v>0.25</v>
          </cell>
          <cell r="AS1083">
            <v>0.25</v>
          </cell>
          <cell r="AT1083">
            <v>-0.04</v>
          </cell>
          <cell r="AU1083">
            <v>0.92</v>
          </cell>
          <cell r="AV1083">
            <v>20</v>
          </cell>
          <cell r="AY1083" t="str">
            <v/>
          </cell>
          <cell r="AZ1083">
            <v>0.25</v>
          </cell>
          <cell r="BA1083">
            <v>0.25</v>
          </cell>
        </row>
        <row r="1084">
          <cell r="A1084" t="str">
            <v>FINSTRAL</v>
          </cell>
          <cell r="D1084" t="str">
            <v>VIA GASTERS, 1</v>
          </cell>
          <cell r="E1084">
            <v>39054</v>
          </cell>
          <cell r="F1084" t="str">
            <v>AUNA DI SOTTO R.</v>
          </cell>
          <cell r="G1084" t="str">
            <v>BZ</v>
          </cell>
          <cell r="H1084" t="str">
            <v>ITALIA</v>
          </cell>
          <cell r="J1084">
            <v>122260219</v>
          </cell>
          <cell r="M1084" t="str">
            <v>UFFICIO ACQUISTI</v>
          </cell>
          <cell r="N1084" t="str">
            <v>0471 296611</v>
          </cell>
          <cell r="O1084" t="str">
            <v>348 2482879</v>
          </cell>
          <cell r="P1084" t="str">
            <v>finstral@finstral.com - giuseppe.bardella@finestral.com</v>
          </cell>
          <cell r="R1084" t="str">
            <v>BONIFICO BANCARIO, ALLA DATA DELLA NOSTRA CONFERMA D'ORDINE</v>
          </cell>
          <cell r="X1084">
            <v>0.25</v>
          </cell>
          <cell r="Y1084">
            <v>-0.04</v>
          </cell>
          <cell r="AB1084">
            <v>0.25</v>
          </cell>
          <cell r="AC1084">
            <v>0.25</v>
          </cell>
          <cell r="AD1084">
            <v>0.25</v>
          </cell>
          <cell r="AE1084">
            <v>0.25</v>
          </cell>
          <cell r="AF1084">
            <v>0.25</v>
          </cell>
          <cell r="AG1084">
            <v>0.25</v>
          </cell>
          <cell r="AH1084">
            <v>0.25</v>
          </cell>
          <cell r="AI1084">
            <v>0.25</v>
          </cell>
          <cell r="AJ1084">
            <v>0.25</v>
          </cell>
          <cell r="AK1084">
            <v>0.25</v>
          </cell>
          <cell r="AL1084">
            <v>0.25</v>
          </cell>
          <cell r="AM1084">
            <v>0.25</v>
          </cell>
          <cell r="AN1084">
            <v>0.25</v>
          </cell>
          <cell r="AO1084">
            <v>0.25</v>
          </cell>
          <cell r="AP1084">
            <v>0.25</v>
          </cell>
          <cell r="AQ1084">
            <v>0.25</v>
          </cell>
          <cell r="AR1084">
            <v>0.25</v>
          </cell>
          <cell r="AS1084">
            <v>0.25</v>
          </cell>
          <cell r="AT1084">
            <v>-0.04</v>
          </cell>
          <cell r="AU1084">
            <v>0.92</v>
          </cell>
          <cell r="AV1084">
            <v>20</v>
          </cell>
          <cell r="AY1084" t="str">
            <v/>
          </cell>
          <cell r="AZ1084">
            <v>0.25</v>
          </cell>
          <cell r="BA1084">
            <v>0.25</v>
          </cell>
        </row>
        <row r="1085">
          <cell r="A1085" t="str">
            <v>FINSTRAL SPA</v>
          </cell>
          <cell r="D1085" t="str">
            <v>VIA F.LLI ROSSELLI 85</v>
          </cell>
          <cell r="E1085" t="str">
            <v>32100</v>
          </cell>
          <cell r="F1085" t="str">
            <v>BELLUNO</v>
          </cell>
          <cell r="G1085" t="str">
            <v>BL</v>
          </cell>
          <cell r="H1085" t="str">
            <v>ITALIA</v>
          </cell>
          <cell r="J1085" t="str">
            <v>00122260220</v>
          </cell>
          <cell r="M1085" t="str">
            <v>UFFICIO ACQUISTI</v>
          </cell>
          <cell r="N1085" t="str">
            <v>0437 950359</v>
          </cell>
          <cell r="P1085" t="str">
            <v>belluno@finstral.com</v>
          </cell>
          <cell r="R1085" t="str">
            <v>BONIFICO BANCARIO, ALLA DATA DELLA NOSTRA CONFERMA D'ORDINE</v>
          </cell>
          <cell r="X1085">
            <v>0.25</v>
          </cell>
          <cell r="Y1085">
            <v>-0.04</v>
          </cell>
          <cell r="AB1085">
            <v>0.25</v>
          </cell>
          <cell r="AC1085">
            <v>0.25</v>
          </cell>
          <cell r="AD1085">
            <v>0.25</v>
          </cell>
          <cell r="AE1085">
            <v>0.25</v>
          </cell>
          <cell r="AF1085">
            <v>0.25</v>
          </cell>
          <cell r="AG1085">
            <v>0.25</v>
          </cell>
          <cell r="AH1085">
            <v>0.25</v>
          </cell>
          <cell r="AI1085">
            <v>0.25</v>
          </cell>
          <cell r="AJ1085">
            <v>0.25</v>
          </cell>
          <cell r="AK1085">
            <v>0.25</v>
          </cell>
          <cell r="AL1085">
            <v>0.25</v>
          </cell>
          <cell r="AM1085">
            <v>0.25</v>
          </cell>
          <cell r="AN1085">
            <v>0.25</v>
          </cell>
          <cell r="AO1085">
            <v>0.25</v>
          </cell>
          <cell r="AP1085">
            <v>0.25</v>
          </cell>
          <cell r="AQ1085">
            <v>0.25</v>
          </cell>
          <cell r="AR1085">
            <v>0.25</v>
          </cell>
          <cell r="AS1085">
            <v>0.25</v>
          </cell>
          <cell r="AT1085">
            <v>-0.04</v>
          </cell>
          <cell r="AU1085">
            <v>0.92</v>
          </cell>
          <cell r="AV1085">
            <v>20</v>
          </cell>
          <cell r="AY1085" t="str">
            <v/>
          </cell>
          <cell r="AZ1085">
            <v>0.25</v>
          </cell>
          <cell r="BA1085">
            <v>0.25</v>
          </cell>
        </row>
        <row r="1086">
          <cell r="A1086" t="str">
            <v>FIORE INFISSI</v>
          </cell>
          <cell r="D1086" t="str">
            <v>VIA PIENAZZA, 90</v>
          </cell>
          <cell r="E1086">
            <v>47522</v>
          </cell>
          <cell r="F1086" t="str">
            <v>CESENA</v>
          </cell>
          <cell r="G1086" t="str">
            <v>FC</v>
          </cell>
          <cell r="H1086" t="str">
            <v>ITALIA</v>
          </cell>
          <cell r="M1086" t="str">
            <v>UFFICIO ACQUISTI</v>
          </cell>
          <cell r="P1086" t="str">
            <v>ivanliverani@gmail.com</v>
          </cell>
          <cell r="R1086" t="str">
            <v>BONIFICO BANCARIO, ALLA DATA DELLA NOSTRA CONFERMA D'ORDINE</v>
          </cell>
          <cell r="X1086">
            <v>0.25</v>
          </cell>
          <cell r="Y1086">
            <v>-0.04</v>
          </cell>
          <cell r="AB1086">
            <v>0.25</v>
          </cell>
          <cell r="AC1086">
            <v>0.25</v>
          </cell>
          <cell r="AD1086">
            <v>0.25</v>
          </cell>
          <cell r="AE1086">
            <v>0.25</v>
          </cell>
          <cell r="AF1086">
            <v>0.25</v>
          </cell>
          <cell r="AG1086">
            <v>0.25</v>
          </cell>
          <cell r="AH1086">
            <v>0.25</v>
          </cell>
          <cell r="AI1086">
            <v>0.25</v>
          </cell>
          <cell r="AJ1086">
            <v>0.25</v>
          </cell>
          <cell r="AK1086">
            <v>0.25</v>
          </cell>
          <cell r="AL1086">
            <v>0.25</v>
          </cell>
          <cell r="AM1086">
            <v>0.25</v>
          </cell>
          <cell r="AN1086">
            <v>0.25</v>
          </cell>
          <cell r="AO1086">
            <v>0.25</v>
          </cell>
          <cell r="AP1086">
            <v>0.25</v>
          </cell>
          <cell r="AQ1086">
            <v>0.25</v>
          </cell>
          <cell r="AR1086">
            <v>0.25</v>
          </cell>
          <cell r="AS1086">
            <v>0.25</v>
          </cell>
          <cell r="AT1086">
            <v>-0.04</v>
          </cell>
          <cell r="AU1086">
            <v>0.92</v>
          </cell>
          <cell r="AV1086">
            <v>20</v>
          </cell>
          <cell r="AY1086" t="str">
            <v/>
          </cell>
          <cell r="AZ1086">
            <v>0.25</v>
          </cell>
          <cell r="BA1086">
            <v>0.25</v>
          </cell>
        </row>
        <row r="1087">
          <cell r="A1087" t="str">
            <v>FIORENTINI SRL</v>
          </cell>
          <cell r="D1087" t="str">
            <v>VIA DEL BURANO 28</v>
          </cell>
          <cell r="E1087" t="str">
            <v>61121</v>
          </cell>
          <cell r="F1087" t="str">
            <v>PESARO</v>
          </cell>
          <cell r="G1087" t="str">
            <v>PU</v>
          </cell>
          <cell r="H1087" t="str">
            <v>ITALIA</v>
          </cell>
          <cell r="J1087" t="str">
            <v>02553460417</v>
          </cell>
          <cell r="M1087" t="str">
            <v>UFFICIO ACQUISTI</v>
          </cell>
          <cell r="N1087" t="str">
            <v>0721 288050</v>
          </cell>
          <cell r="P1087" t="str">
            <v>commerciale@fiorentininfissi.com</v>
          </cell>
          <cell r="R1087" t="str">
            <v>BONIFICO BANCARIO, ALLA DATA DELLA NOSTRA CONFERMA D'ORDINE</v>
          </cell>
          <cell r="X1087">
            <v>0.25</v>
          </cell>
          <cell r="Y1087">
            <v>-0.04</v>
          </cell>
          <cell r="AB1087">
            <v>0.25</v>
          </cell>
          <cell r="AC1087">
            <v>0.25</v>
          </cell>
          <cell r="AD1087">
            <v>0.25</v>
          </cell>
          <cell r="AE1087">
            <v>0.25</v>
          </cell>
          <cell r="AF1087">
            <v>0.25</v>
          </cell>
          <cell r="AG1087">
            <v>0.25</v>
          </cell>
          <cell r="AH1087">
            <v>0.25</v>
          </cell>
          <cell r="AI1087">
            <v>0.25</v>
          </cell>
          <cell r="AJ1087">
            <v>0.25</v>
          </cell>
          <cell r="AK1087">
            <v>0.25</v>
          </cell>
          <cell r="AL1087">
            <v>0.25</v>
          </cell>
          <cell r="AM1087">
            <v>0.25</v>
          </cell>
          <cell r="AN1087">
            <v>0.25</v>
          </cell>
          <cell r="AO1087">
            <v>0.25</v>
          </cell>
          <cell r="AP1087">
            <v>0.25</v>
          </cell>
          <cell r="AQ1087">
            <v>0.25</v>
          </cell>
          <cell r="AR1087">
            <v>0.25</v>
          </cell>
          <cell r="AS1087">
            <v>0.25</v>
          </cell>
          <cell r="AT1087">
            <v>-0.04</v>
          </cell>
          <cell r="AU1087">
            <v>0.92</v>
          </cell>
          <cell r="AV1087">
            <v>20</v>
          </cell>
          <cell r="AY1087" t="str">
            <v/>
          </cell>
          <cell r="AZ1087">
            <v>0.25</v>
          </cell>
          <cell r="BA1087">
            <v>0.25</v>
          </cell>
        </row>
        <row r="1088">
          <cell r="A1088" t="str">
            <v>FIORENTINO GREGORIO</v>
          </cell>
          <cell r="D1088" t="str">
            <v xml:space="preserve">VIALE CASSIODORO, 4 </v>
          </cell>
          <cell r="E1088" t="str">
            <v>88060</v>
          </cell>
          <cell r="F1088" t="str">
            <v>DAVOLI</v>
          </cell>
          <cell r="G1088" t="str">
            <v>CZ</v>
          </cell>
          <cell r="H1088" t="str">
            <v>ITALIA</v>
          </cell>
          <cell r="J1088" t="str">
            <v>01774700791</v>
          </cell>
          <cell r="K1088" t="str">
            <v>M5UXCR1</v>
          </cell>
          <cell r="M1088" t="str">
            <v>UFFICIO ACQUISTI</v>
          </cell>
          <cell r="N1088" t="str">
            <v>0967 71355</v>
          </cell>
          <cell r="P1088" t="str">
            <v>gregoriofiorentino@virgilio.it</v>
          </cell>
          <cell r="R1088" t="str">
            <v>BONIFICO BANCARIO, ALLA DATA DELLA NOSTRA CONFERMA D'ORDINE</v>
          </cell>
          <cell r="X1088">
            <v>0.25</v>
          </cell>
          <cell r="Y1088">
            <v>-0.04</v>
          </cell>
          <cell r="AB1088">
            <v>0.25</v>
          </cell>
          <cell r="AC1088">
            <v>0.25</v>
          </cell>
          <cell r="AD1088">
            <v>0.25</v>
          </cell>
          <cell r="AE1088">
            <v>0.25</v>
          </cell>
          <cell r="AF1088">
            <v>0.25</v>
          </cell>
          <cell r="AG1088">
            <v>0.25</v>
          </cell>
          <cell r="AH1088">
            <v>0.25</v>
          </cell>
          <cell r="AI1088">
            <v>0.25</v>
          </cell>
          <cell r="AJ1088">
            <v>0.25</v>
          </cell>
          <cell r="AK1088">
            <v>0.25</v>
          </cell>
          <cell r="AL1088">
            <v>0.25</v>
          </cell>
          <cell r="AM1088">
            <v>0.25</v>
          </cell>
          <cell r="AN1088">
            <v>0.25</v>
          </cell>
          <cell r="AO1088">
            <v>0.25</v>
          </cell>
          <cell r="AP1088">
            <v>0.25</v>
          </cell>
          <cell r="AQ1088">
            <v>0.25</v>
          </cell>
          <cell r="AR1088">
            <v>0.25</v>
          </cell>
          <cell r="AS1088">
            <v>0.25</v>
          </cell>
          <cell r="AT1088">
            <v>-0.04</v>
          </cell>
          <cell r="AU1088">
            <v>0.92</v>
          </cell>
          <cell r="AV1088">
            <v>20</v>
          </cell>
          <cell r="AW1088" t="str">
            <v>PIETRO OLIVADOTI</v>
          </cell>
          <cell r="AX1088">
            <v>0.95</v>
          </cell>
          <cell r="AZ1088">
            <v>0.25</v>
          </cell>
          <cell r="BA1088">
            <v>0.25</v>
          </cell>
        </row>
        <row r="1089">
          <cell r="A1089" t="str">
            <v>FIORETTI INFISSI SRL</v>
          </cell>
          <cell r="B1089" t="str">
            <v>05/12/22 MANDATA MAIL SIG. FIORETI MARIO</v>
          </cell>
          <cell r="D1089" t="str">
            <v>VIA DEL LAVORO, 145</v>
          </cell>
          <cell r="E1089">
            <v>62014</v>
          </cell>
          <cell r="F1089" t="str">
            <v>CORRIDONIA</v>
          </cell>
          <cell r="G1089" t="str">
            <v>PU</v>
          </cell>
          <cell r="H1089" t="str">
            <v>ITALIA</v>
          </cell>
          <cell r="I1089" t="str">
            <v>01447030436</v>
          </cell>
          <cell r="J1089" t="str">
            <v>01447030436</v>
          </cell>
          <cell r="M1089" t="str">
            <v>UFFICIO ACQUISTI</v>
          </cell>
          <cell r="N1089" t="str">
            <v>0733 281340</v>
          </cell>
          <cell r="P1089" t="str">
            <v>info@fioretti-infissi.it</v>
          </cell>
          <cell r="R1089" t="str">
            <v>BONIFICO BANCARIO, ALLA DATA DELLA NOSTRA CONFERMA D'ORDINE</v>
          </cell>
          <cell r="X1089">
            <v>0.25</v>
          </cell>
          <cell r="Y1089">
            <v>-0.04</v>
          </cell>
          <cell r="AB1089">
            <v>0.25</v>
          </cell>
          <cell r="AC1089">
            <v>0.25</v>
          </cell>
          <cell r="AD1089">
            <v>0.25</v>
          </cell>
          <cell r="AE1089">
            <v>0.25</v>
          </cell>
          <cell r="AF1089">
            <v>0.25</v>
          </cell>
          <cell r="AG1089">
            <v>0.25</v>
          </cell>
          <cell r="AH1089">
            <v>0.25</v>
          </cell>
          <cell r="AI1089">
            <v>0.25</v>
          </cell>
          <cell r="AJ1089">
            <v>0.25</v>
          </cell>
          <cell r="AK1089">
            <v>0.25</v>
          </cell>
          <cell r="AL1089">
            <v>0.25</v>
          </cell>
          <cell r="AM1089">
            <v>0.25</v>
          </cell>
          <cell r="AN1089">
            <v>0.25</v>
          </cell>
          <cell r="AO1089">
            <v>0.25</v>
          </cell>
          <cell r="AP1089">
            <v>0.25</v>
          </cell>
          <cell r="AQ1089">
            <v>0.25</v>
          </cell>
          <cell r="AR1089">
            <v>0.25</v>
          </cell>
          <cell r="AS1089">
            <v>0.25</v>
          </cell>
          <cell r="AT1089">
            <v>-0.04</v>
          </cell>
          <cell r="AU1089">
            <v>0.92</v>
          </cell>
          <cell r="AV1089">
            <v>20</v>
          </cell>
          <cell r="AY1089" t="str">
            <v/>
          </cell>
          <cell r="AZ1089">
            <v>0.25</v>
          </cell>
          <cell r="BA1089">
            <v>0.25</v>
          </cell>
        </row>
        <row r="1090">
          <cell r="A1090" t="str">
            <v>FIPREX CZ S.R.O.</v>
          </cell>
          <cell r="B1090" t="str">
            <v>RIVENDITORE NOAQ CZ</v>
          </cell>
          <cell r="D1090" t="str">
            <v>VODNI' 44/1</v>
          </cell>
          <cell r="E1090" t="str">
            <v>67801</v>
          </cell>
          <cell r="F1090" t="str">
            <v xml:space="preserve"> BLANSKO</v>
          </cell>
          <cell r="H1090" t="str">
            <v>REPUBBLICA CECA</v>
          </cell>
          <cell r="I1090" t="str">
            <v>CZ28322487</v>
          </cell>
          <cell r="J1090" t="str">
            <v>CZ28322487</v>
          </cell>
          <cell r="K1090" t="str">
            <v>XXXXXXX</v>
          </cell>
          <cell r="M1090" t="str">
            <v>UFFICIO ACQUISTI</v>
          </cell>
          <cell r="O1090" t="str">
            <v>+420 725133410</v>
          </cell>
          <cell r="P1090" t="str">
            <v>hladik@fiprex.cz; fiprex@fiprex.cz</v>
          </cell>
          <cell r="R1090" t="str">
            <v>BANK TRANSFER, ON THE DATE OF OUR ORDER CONFIRMATION</v>
          </cell>
          <cell r="X1090">
            <v>0.15</v>
          </cell>
          <cell r="AB1090">
            <v>0.15</v>
          </cell>
          <cell r="AC1090">
            <v>0.15</v>
          </cell>
          <cell r="AD1090">
            <v>0.15</v>
          </cell>
          <cell r="AE1090">
            <v>0.15</v>
          </cell>
          <cell r="AF1090">
            <v>0.15</v>
          </cell>
          <cell r="AG1090">
            <v>0.15</v>
          </cell>
          <cell r="AH1090">
            <v>0.15</v>
          </cell>
          <cell r="AI1090">
            <v>0.15</v>
          </cell>
          <cell r="AJ1090">
            <v>0.15</v>
          </cell>
          <cell r="AK1090">
            <v>0.15</v>
          </cell>
          <cell r="AL1090">
            <v>0.15</v>
          </cell>
          <cell r="AM1090">
            <v>0.15</v>
          </cell>
          <cell r="AN1090">
            <v>0.15</v>
          </cell>
          <cell r="AO1090">
            <v>0.15</v>
          </cell>
          <cell r="AP1090">
            <v>0.15</v>
          </cell>
          <cell r="AQ1090">
            <v>0.15</v>
          </cell>
          <cell r="AR1090">
            <v>0.15</v>
          </cell>
          <cell r="AS1090">
            <v>0.15</v>
          </cell>
          <cell r="AV1090">
            <v>20</v>
          </cell>
          <cell r="AZ1090">
            <v>0.15</v>
          </cell>
          <cell r="BA1090">
            <v>0.15</v>
          </cell>
          <cell r="BF1090" t="str">
            <v>CLICK RAPID con espositore 09/08/2021 - MODERNA con espositore 09/08/2021</v>
          </cell>
        </row>
        <row r="1091">
          <cell r="A1091" t="str">
            <v>FIRENZE INFISSI SNC</v>
          </cell>
          <cell r="B1091" t="str">
            <v>05/12/22 CHIAMATI PARECCHIE VOLTE. NON RISP MAI NESSUNO</v>
          </cell>
          <cell r="D1091" t="str">
            <v>VIA CAMILLO BENSO CONTE DI CAVOUR, 3</v>
          </cell>
          <cell r="E1091">
            <v>91026</v>
          </cell>
          <cell r="F1091" t="str">
            <v>MAZARA DEL VALLO</v>
          </cell>
          <cell r="G1091" t="str">
            <v>TP</v>
          </cell>
          <cell r="H1091" t="str">
            <v>ITALIA</v>
          </cell>
          <cell r="J1091" t="str">
            <v>02684220813</v>
          </cell>
          <cell r="M1091" t="str">
            <v>UFFICIO ACQUISTI</v>
          </cell>
          <cell r="N1091" t="str">
            <v>0923 934268</v>
          </cell>
          <cell r="P1091" t="str">
            <v>ufficio@infissifirenze.com</v>
          </cell>
          <cell r="R1091" t="str">
            <v>BONIFICO BANCARIO, ALLA DATA DELLA NOSTRA CONFERMA D'ORDINE</v>
          </cell>
          <cell r="X1091">
            <v>0.25</v>
          </cell>
          <cell r="Y1091">
            <v>-0.04</v>
          </cell>
          <cell r="AB1091">
            <v>0.25</v>
          </cell>
          <cell r="AC1091">
            <v>0.25</v>
          </cell>
          <cell r="AD1091">
            <v>0.25</v>
          </cell>
          <cell r="AE1091">
            <v>0.25</v>
          </cell>
          <cell r="AF1091">
            <v>0.25</v>
          </cell>
          <cell r="AG1091">
            <v>0.25</v>
          </cell>
          <cell r="AH1091">
            <v>0.25</v>
          </cell>
          <cell r="AI1091">
            <v>0.25</v>
          </cell>
          <cell r="AJ1091">
            <v>0.25</v>
          </cell>
          <cell r="AK1091">
            <v>0.25</v>
          </cell>
          <cell r="AL1091">
            <v>0.25</v>
          </cell>
          <cell r="AM1091">
            <v>0.25</v>
          </cell>
          <cell r="AN1091">
            <v>0.25</v>
          </cell>
          <cell r="AO1091">
            <v>0.25</v>
          </cell>
          <cell r="AP1091">
            <v>0.25</v>
          </cell>
          <cell r="AQ1091">
            <v>0.25</v>
          </cell>
          <cell r="AR1091">
            <v>0.25</v>
          </cell>
          <cell r="AS1091">
            <v>0.25</v>
          </cell>
          <cell r="AT1091">
            <v>-0.04</v>
          </cell>
          <cell r="AU1091">
            <v>0.92</v>
          </cell>
          <cell r="AV1091">
            <v>20</v>
          </cell>
          <cell r="AY1091" t="str">
            <v/>
          </cell>
          <cell r="AZ1091">
            <v>0.25</v>
          </cell>
          <cell r="BA1091">
            <v>0.25</v>
          </cell>
        </row>
        <row r="1092">
          <cell r="A1092" t="str">
            <v>FIRMO  SERRAMENTI SNC</v>
          </cell>
          <cell r="D1092" t="str">
            <v>VIA VIOLINO DI SOTTO, 74</v>
          </cell>
          <cell r="E1092">
            <v>25126</v>
          </cell>
          <cell r="F1092" t="str">
            <v>BRESCIA</v>
          </cell>
          <cell r="G1092" t="str">
            <v>BS</v>
          </cell>
          <cell r="H1092" t="str">
            <v>ITALIA</v>
          </cell>
          <cell r="I1092" t="str">
            <v>04034960981</v>
          </cell>
          <cell r="J1092" t="str">
            <v>04034960981</v>
          </cell>
          <cell r="K1092" t="str">
            <v>M5UXCR1</v>
          </cell>
          <cell r="M1092" t="str">
            <v>UFFICIO ACQUISTI</v>
          </cell>
          <cell r="N1092" t="str">
            <v>030 310194</v>
          </cell>
          <cell r="O1092" t="str">
            <v>Roberto 332 79074</v>
          </cell>
          <cell r="P1092" t="str">
            <v>firmoserramenti@firmoserranti</v>
          </cell>
          <cell r="R1092" t="str">
            <v>BONIFICO BANCARIO, ALLA DATA DELLA NOSTRA CONFERMA D'ORDINE</v>
          </cell>
          <cell r="X1092">
            <v>0.25</v>
          </cell>
          <cell r="Y1092">
            <v>-0.04</v>
          </cell>
          <cell r="AB1092">
            <v>0.25</v>
          </cell>
          <cell r="AC1092">
            <v>0.25</v>
          </cell>
          <cell r="AD1092">
            <v>0.25</v>
          </cell>
          <cell r="AE1092">
            <v>0.25</v>
          </cell>
          <cell r="AF1092">
            <v>0.25</v>
          </cell>
          <cell r="AG1092">
            <v>0.25</v>
          </cell>
          <cell r="AH1092">
            <v>0.25</v>
          </cell>
          <cell r="AI1092">
            <v>0.25</v>
          </cell>
          <cell r="AJ1092">
            <v>0.25</v>
          </cell>
          <cell r="AK1092">
            <v>0.25</v>
          </cell>
          <cell r="AL1092">
            <v>0.25</v>
          </cell>
          <cell r="AM1092">
            <v>0.25</v>
          </cell>
          <cell r="AN1092">
            <v>0.25</v>
          </cell>
          <cell r="AO1092">
            <v>0.25</v>
          </cell>
          <cell r="AP1092">
            <v>0.25</v>
          </cell>
          <cell r="AQ1092">
            <v>0.25</v>
          </cell>
          <cell r="AR1092">
            <v>0.25</v>
          </cell>
          <cell r="AS1092">
            <v>0.25</v>
          </cell>
          <cell r="AT1092">
            <v>-0.04</v>
          </cell>
          <cell r="AU1092">
            <v>0.92</v>
          </cell>
          <cell r="AV1092">
            <v>20</v>
          </cell>
          <cell r="AZ1092">
            <v>0.25</v>
          </cell>
          <cell r="BA1092">
            <v>0.25</v>
          </cell>
        </row>
        <row r="1093">
          <cell r="A1093" t="str">
            <v>FIRMO SERRAMENTI SNC di Firmo Susanna e Mattei Roberto</v>
          </cell>
          <cell r="D1093" t="str">
            <v>VIA VIOLINO DI SOTTO, 74</v>
          </cell>
          <cell r="E1093">
            <v>25126</v>
          </cell>
          <cell r="F1093" t="str">
            <v xml:space="preserve">BRESCIA </v>
          </cell>
          <cell r="G1093" t="str">
            <v>BS</v>
          </cell>
          <cell r="H1093" t="str">
            <v>ITALIA</v>
          </cell>
          <cell r="J1093" t="str">
            <v>04034960981</v>
          </cell>
          <cell r="K1093" t="str">
            <v>M5UXCR1</v>
          </cell>
          <cell r="M1093" t="str">
            <v>UFFICIO ACQUISTI</v>
          </cell>
          <cell r="N1093" t="str">
            <v>030 310194</v>
          </cell>
          <cell r="O1093" t="str">
            <v>338 7907478 ROBERTO</v>
          </cell>
          <cell r="P1093" t="str">
            <v>info@firmoserramenti.it</v>
          </cell>
          <cell r="R1093" t="str">
            <v>BONIFICO BANCARIO, ALLA DATA DELLA NOSTRA CONFERMA D'ORDINE</v>
          </cell>
          <cell r="X1093">
            <v>0.25</v>
          </cell>
          <cell r="Y1093">
            <v>-0.04</v>
          </cell>
          <cell r="AB1093">
            <v>0.25</v>
          </cell>
          <cell r="AC1093">
            <v>0.25</v>
          </cell>
          <cell r="AD1093">
            <v>0.25</v>
          </cell>
          <cell r="AE1093">
            <v>0.25</v>
          </cell>
          <cell r="AF1093">
            <v>0.25</v>
          </cell>
          <cell r="AG1093">
            <v>0.25</v>
          </cell>
          <cell r="AH1093">
            <v>0.25</v>
          </cell>
          <cell r="AI1093">
            <v>0.25</v>
          </cell>
          <cell r="AJ1093">
            <v>0.25</v>
          </cell>
          <cell r="AK1093">
            <v>0.25</v>
          </cell>
          <cell r="AL1093">
            <v>0.25</v>
          </cell>
          <cell r="AM1093">
            <v>0.25</v>
          </cell>
          <cell r="AN1093">
            <v>0.25</v>
          </cell>
          <cell r="AO1093">
            <v>0.25</v>
          </cell>
          <cell r="AP1093">
            <v>0.25</v>
          </cell>
          <cell r="AQ1093">
            <v>0.25</v>
          </cell>
          <cell r="AR1093">
            <v>0.25</v>
          </cell>
          <cell r="AS1093">
            <v>0.25</v>
          </cell>
          <cell r="AT1093">
            <v>-0.04</v>
          </cell>
          <cell r="AU1093">
            <v>0.92</v>
          </cell>
          <cell r="AV1093">
            <v>20</v>
          </cell>
          <cell r="AZ1093">
            <v>0.25</v>
          </cell>
          <cell r="BA1093">
            <v>0.25</v>
          </cell>
          <cell r="BF1093" t="str">
            <v>CLICK RAPID con carpenteria 22/07/2020</v>
          </cell>
        </row>
        <row r="1094">
          <cell r="A1094" t="str">
            <v>FL SOLUTIONS</v>
          </cell>
          <cell r="D1094" t="str">
            <v>VIA E. TORRICELLI 10</v>
          </cell>
          <cell r="E1094">
            <v>87036</v>
          </cell>
          <cell r="F1094" t="str">
            <v>RENDE</v>
          </cell>
          <cell r="G1094" t="str">
            <v>CS</v>
          </cell>
          <cell r="H1094" t="str">
            <v>ITALIA</v>
          </cell>
          <cell r="M1094" t="str">
            <v>UFFICIO ACQUISTI</v>
          </cell>
          <cell r="O1094" t="str">
            <v>392 5189603</v>
          </cell>
          <cell r="P1094" t="str">
            <v>info@effellesolutions.it</v>
          </cell>
          <cell r="R1094" t="str">
            <v>BONIFICO BANCARIO, ALLA DATA DELLA NOSTRA CONFERMA D'ORDINE</v>
          </cell>
          <cell r="X1094">
            <v>0.25</v>
          </cell>
          <cell r="Y1094">
            <v>-0.04</v>
          </cell>
          <cell r="AB1094">
            <v>0.25</v>
          </cell>
          <cell r="AC1094">
            <v>0.25</v>
          </cell>
          <cell r="AD1094">
            <v>0.25</v>
          </cell>
          <cell r="AE1094">
            <v>0.25</v>
          </cell>
          <cell r="AF1094">
            <v>0.25</v>
          </cell>
          <cell r="AG1094">
            <v>0.25</v>
          </cell>
          <cell r="AH1094">
            <v>0.25</v>
          </cell>
          <cell r="AI1094">
            <v>0.25</v>
          </cell>
          <cell r="AJ1094">
            <v>0.25</v>
          </cell>
          <cell r="AK1094">
            <v>0.25</v>
          </cell>
          <cell r="AL1094">
            <v>0.25</v>
          </cell>
          <cell r="AM1094">
            <v>0.25</v>
          </cell>
          <cell r="AN1094">
            <v>0.25</v>
          </cell>
          <cell r="AO1094">
            <v>0.25</v>
          </cell>
          <cell r="AP1094">
            <v>0.25</v>
          </cell>
          <cell r="AQ1094">
            <v>0.25</v>
          </cell>
          <cell r="AR1094">
            <v>0.25</v>
          </cell>
          <cell r="AS1094">
            <v>0.25</v>
          </cell>
          <cell r="AT1094">
            <v>-0.04</v>
          </cell>
          <cell r="AU1094">
            <v>0.92</v>
          </cell>
          <cell r="AV1094">
            <v>20</v>
          </cell>
          <cell r="AW1094" t="str">
            <v>PIETRO OLIVADOTI</v>
          </cell>
          <cell r="AX1094">
            <v>0.95</v>
          </cell>
          <cell r="AY1094" t="str">
            <v/>
          </cell>
          <cell r="AZ1094">
            <v>0.25</v>
          </cell>
          <cell r="BA1094">
            <v>0.25</v>
          </cell>
        </row>
        <row r="1095">
          <cell r="A1095" t="str">
            <v>FLACUS INFISSI E FERRAMENTA</v>
          </cell>
          <cell r="D1095" t="str">
            <v>VIALE ROMA, 12</v>
          </cell>
          <cell r="E1095" t="str">
            <v>06034</v>
          </cell>
          <cell r="F1095" t="str">
            <v>FOLIGNO</v>
          </cell>
          <cell r="G1095" t="str">
            <v>PG</v>
          </cell>
          <cell r="H1095" t="str">
            <v>ITALIA</v>
          </cell>
          <cell r="M1095" t="str">
            <v>UFFICIO ACQUISTI</v>
          </cell>
          <cell r="N1095" t="str">
            <v>0742 355308</v>
          </cell>
          <cell r="O1095" t="str">
            <v>348 2329068 CLAUDIO CAPODIMONTI</v>
          </cell>
          <cell r="P1095" t="str">
            <v>info@flacusinfissi.it</v>
          </cell>
          <cell r="R1095" t="str">
            <v>BONIFICO BANCARIO, ALLA DATA DELLA NOSTRA CONFERMA D'ORDINE</v>
          </cell>
          <cell r="Y1095">
            <v>-0.04</v>
          </cell>
          <cell r="AT1095">
            <v>-0.04</v>
          </cell>
          <cell r="AV1095">
            <v>20</v>
          </cell>
          <cell r="AZ1095">
            <v>0</v>
          </cell>
          <cell r="BA1095">
            <v>0</v>
          </cell>
        </row>
        <row r="1096">
          <cell r="A1096" t="str">
            <v>FLEXBED SRL</v>
          </cell>
          <cell r="D1096" t="str">
            <v>VIA ARMANDO FABI, 335</v>
          </cell>
          <cell r="E1096" t="str">
            <v>03100</v>
          </cell>
          <cell r="F1096" t="str">
            <v>FROSINONE</v>
          </cell>
          <cell r="G1096" t="str">
            <v>FR</v>
          </cell>
          <cell r="H1096" t="str">
            <v>ITALIA</v>
          </cell>
          <cell r="M1096" t="str">
            <v>UFFICIO ACQUISTI</v>
          </cell>
          <cell r="N1096" t="str">
            <v>0775 201171</v>
          </cell>
          <cell r="P1096" t="str">
            <v>flexbed@flexbed.com</v>
          </cell>
          <cell r="R1096" t="str">
            <v>BONIFICO BANCARIO, ALLA DATA DELLA NOSTRA CONFERMA D'ORDINE</v>
          </cell>
          <cell r="X1096">
            <v>0.25</v>
          </cell>
          <cell r="Y1096">
            <v>-0.04</v>
          </cell>
          <cell r="AB1096">
            <v>0.25</v>
          </cell>
          <cell r="AC1096">
            <v>0.25</v>
          </cell>
          <cell r="AD1096">
            <v>0.25</v>
          </cell>
          <cell r="AE1096">
            <v>0.25</v>
          </cell>
          <cell r="AF1096">
            <v>0.25</v>
          </cell>
          <cell r="AG1096">
            <v>0.25</v>
          </cell>
          <cell r="AH1096">
            <v>0.25</v>
          </cell>
          <cell r="AI1096">
            <v>0.25</v>
          </cell>
          <cell r="AJ1096">
            <v>0.25</v>
          </cell>
          <cell r="AK1096">
            <v>0.25</v>
          </cell>
          <cell r="AL1096">
            <v>0.25</v>
          </cell>
          <cell r="AM1096">
            <v>0.25</v>
          </cell>
          <cell r="AN1096">
            <v>0.25</v>
          </cell>
          <cell r="AO1096">
            <v>0.25</v>
          </cell>
          <cell r="AP1096">
            <v>0.25</v>
          </cell>
          <cell r="AQ1096">
            <v>0.25</v>
          </cell>
          <cell r="AR1096">
            <v>0.25</v>
          </cell>
          <cell r="AS1096">
            <v>0.25</v>
          </cell>
          <cell r="AT1096">
            <v>-0.04</v>
          </cell>
          <cell r="AU1096">
            <v>0.92</v>
          </cell>
          <cell r="AV1096">
            <v>20</v>
          </cell>
          <cell r="AZ1096">
            <v>0.25</v>
          </cell>
          <cell r="BA1096">
            <v>0.25</v>
          </cell>
        </row>
        <row r="1097">
          <cell r="A1097" t="str">
            <v>FLOOD DEFENSE GROUP LLC</v>
          </cell>
          <cell r="D1097" t="str">
            <v>1775 W STATE ST #348</v>
          </cell>
          <cell r="E1097" t="str">
            <v>ID 83702</v>
          </cell>
          <cell r="F1097" t="str">
            <v>BOISE - IDAHO</v>
          </cell>
          <cell r="H1097" t="str">
            <v>STATI UNITI</v>
          </cell>
          <cell r="M1097" t="str">
            <v>UFFICIO ACQUISTI</v>
          </cell>
          <cell r="N1097" t="str">
            <v>+1 2085851815</v>
          </cell>
          <cell r="P1097" t="str">
            <v>Keith.Anderson@flooddefensegroup.com</v>
          </cell>
          <cell r="R1097" t="str">
            <v>BANK TRANSFER, ON THE DATE OF OUR ORDER CONFIRMATION</v>
          </cell>
        </row>
        <row r="1098">
          <cell r="A1098" t="str">
            <v>FLOOR DESIGN</v>
          </cell>
          <cell r="D1098" t="str">
            <v>VIA MEUCCI, 1</v>
          </cell>
          <cell r="E1098">
            <v>56121</v>
          </cell>
          <cell r="F1098" t="str">
            <v>OSPEDALETTO PISA</v>
          </cell>
          <cell r="G1098" t="str">
            <v>PI</v>
          </cell>
          <cell r="H1098" t="str">
            <v>ITALIA</v>
          </cell>
          <cell r="M1098" t="str">
            <v>UFFICIO ACQUISTI</v>
          </cell>
          <cell r="N1098" t="str">
            <v>050 9913559</v>
          </cell>
          <cell r="O1098" t="str">
            <v>348 3388091</v>
          </cell>
          <cell r="P1098" t="str">
            <v>riccardo@floordesignsrl.it</v>
          </cell>
          <cell r="R1098" t="str">
            <v>BONIFICO BANCARIO, ALLA DATA DELLA NOSTRA CONFERMA D'ORDINE</v>
          </cell>
          <cell r="X1098">
            <v>0.25</v>
          </cell>
          <cell r="Y1098">
            <v>-0.04</v>
          </cell>
          <cell r="AB1098">
            <v>0.25</v>
          </cell>
          <cell r="AC1098">
            <v>0.25</v>
          </cell>
          <cell r="AD1098">
            <v>0.25</v>
          </cell>
          <cell r="AE1098">
            <v>0.25</v>
          </cell>
          <cell r="AF1098">
            <v>0.25</v>
          </cell>
          <cell r="AG1098">
            <v>0.25</v>
          </cell>
          <cell r="AH1098">
            <v>0.25</v>
          </cell>
          <cell r="AI1098">
            <v>0.25</v>
          </cell>
          <cell r="AJ1098">
            <v>0.25</v>
          </cell>
          <cell r="AK1098">
            <v>0.25</v>
          </cell>
          <cell r="AL1098">
            <v>0.25</v>
          </cell>
          <cell r="AM1098">
            <v>0.25</v>
          </cell>
          <cell r="AN1098">
            <v>0.25</v>
          </cell>
          <cell r="AO1098">
            <v>0.25</v>
          </cell>
          <cell r="AP1098">
            <v>0.25</v>
          </cell>
          <cell r="AQ1098">
            <v>0.25</v>
          </cell>
          <cell r="AR1098">
            <v>0.25</v>
          </cell>
          <cell r="AS1098">
            <v>0.25</v>
          </cell>
          <cell r="AT1098">
            <v>-0.04</v>
          </cell>
          <cell r="AU1098">
            <v>0.92</v>
          </cell>
          <cell r="AV1098">
            <v>20</v>
          </cell>
          <cell r="AY1098" t="str">
            <v/>
          </cell>
          <cell r="AZ1098">
            <v>0.25</v>
          </cell>
          <cell r="BA1098">
            <v>0.25</v>
          </cell>
        </row>
        <row r="1099">
          <cell r="A1099" t="str">
            <v>FM CASA SICURA SRL</v>
          </cell>
          <cell r="D1099" t="str">
            <v>VIA S. GALLO, 135/A</v>
          </cell>
          <cell r="E1099" t="str">
            <v>30126</v>
          </cell>
          <cell r="F1099" t="str">
            <v>LIDO DI VENEZIA</v>
          </cell>
          <cell r="G1099" t="str">
            <v>VE</v>
          </cell>
          <cell r="H1099" t="str">
            <v>ITALIA</v>
          </cell>
          <cell r="J1099" t="str">
            <v>03812310278</v>
          </cell>
          <cell r="K1099" t="str">
            <v>SUBM70N</v>
          </cell>
          <cell r="M1099" t="str">
            <v>UFFICIO ACQUISTI</v>
          </cell>
          <cell r="N1099" t="str">
            <v>041 2769183</v>
          </cell>
          <cell r="O1099" t="str">
            <v>339 2991021 GIUSEPPE</v>
          </cell>
          <cell r="P1099" t="str">
            <v>info@fmcasasicura.it</v>
          </cell>
          <cell r="R1099" t="str">
            <v>BONIFICO BANCARIO, ALLA DATA DELLA NOSTRA CONFERMA D'ORDINE</v>
          </cell>
          <cell r="X1099">
            <v>0.2</v>
          </cell>
          <cell r="Y1099">
            <v>-0.04</v>
          </cell>
          <cell r="AB1099">
            <v>0.2</v>
          </cell>
          <cell r="AC1099">
            <v>0.2</v>
          </cell>
          <cell r="AD1099">
            <v>0.2</v>
          </cell>
          <cell r="AE1099">
            <v>0.2</v>
          </cell>
          <cell r="AF1099">
            <v>0.2</v>
          </cell>
          <cell r="AG1099">
            <v>0.2</v>
          </cell>
          <cell r="AH1099">
            <v>0.2</v>
          </cell>
          <cell r="AI1099">
            <v>0.2</v>
          </cell>
          <cell r="AJ1099">
            <v>0.2</v>
          </cell>
          <cell r="AK1099">
            <v>0.2</v>
          </cell>
          <cell r="AL1099">
            <v>0.2</v>
          </cell>
          <cell r="AM1099">
            <v>0.2</v>
          </cell>
          <cell r="AN1099">
            <v>0.2</v>
          </cell>
          <cell r="AO1099">
            <v>0.2</v>
          </cell>
          <cell r="AP1099">
            <v>0.2</v>
          </cell>
          <cell r="AQ1099">
            <v>0.2</v>
          </cell>
          <cell r="AR1099">
            <v>0.2</v>
          </cell>
          <cell r="AS1099">
            <v>0.2</v>
          </cell>
          <cell r="AT1099">
            <v>-0.04</v>
          </cell>
          <cell r="AU1099">
            <v>0.92</v>
          </cell>
          <cell r="AV1099">
            <v>20</v>
          </cell>
          <cell r="AZ1099">
            <v>0.2</v>
          </cell>
          <cell r="BA1099">
            <v>0.2</v>
          </cell>
        </row>
        <row r="1100">
          <cell r="A1100" t="str">
            <v>FOCAL FINESTRE</v>
          </cell>
          <cell r="B1100" t="str">
            <v>ENZO CALAUDI 02/03/23 NUMERO INATTIVO</v>
          </cell>
          <cell r="D1100" t="str">
            <v>VIA DELLE INDUSTRIE, 5/7</v>
          </cell>
          <cell r="E1100" t="str">
            <v>65014</v>
          </cell>
          <cell r="F1100" t="str">
            <v>CITTA' SANT'ANGELO</v>
          </cell>
          <cell r="G1100" t="str">
            <v>PE</v>
          </cell>
          <cell r="H1100" t="str">
            <v>ITALIA</v>
          </cell>
          <cell r="M1100" t="str">
            <v>UFFICIO ACQUISTI</v>
          </cell>
          <cell r="N1100" t="str">
            <v>085 9690019</v>
          </cell>
          <cell r="P1100" t="str">
            <v>info@focalfinestre.it</v>
          </cell>
          <cell r="R1100" t="str">
            <v>BONIFICO BANCARIO, ALLA DATA DELLA NOSTRA CONFERMA D'ORDINE</v>
          </cell>
          <cell r="X1100">
            <v>0.25</v>
          </cell>
          <cell r="Y1100">
            <v>-0.04</v>
          </cell>
          <cell r="AB1100">
            <v>0.25</v>
          </cell>
          <cell r="AC1100">
            <v>0.25</v>
          </cell>
          <cell r="AD1100">
            <v>0.25</v>
          </cell>
          <cell r="AE1100">
            <v>0.25</v>
          </cell>
          <cell r="AF1100">
            <v>0.25</v>
          </cell>
          <cell r="AG1100">
            <v>0.25</v>
          </cell>
          <cell r="AH1100">
            <v>0.25</v>
          </cell>
          <cell r="AI1100">
            <v>0.25</v>
          </cell>
          <cell r="AJ1100">
            <v>0.25</v>
          </cell>
          <cell r="AK1100">
            <v>0.25</v>
          </cell>
          <cell r="AL1100">
            <v>0.25</v>
          </cell>
          <cell r="AM1100">
            <v>0.25</v>
          </cell>
          <cell r="AN1100">
            <v>0.25</v>
          </cell>
          <cell r="AO1100">
            <v>0.25</v>
          </cell>
          <cell r="AP1100">
            <v>0.25</v>
          </cell>
          <cell r="AQ1100">
            <v>0.25</v>
          </cell>
          <cell r="AR1100">
            <v>0.25</v>
          </cell>
          <cell r="AS1100">
            <v>0.25</v>
          </cell>
          <cell r="AT1100">
            <v>-0.04</v>
          </cell>
          <cell r="AU1100">
            <v>0.92</v>
          </cell>
          <cell r="AV1100">
            <v>20</v>
          </cell>
          <cell r="AY1100" t="str">
            <v/>
          </cell>
          <cell r="AZ1100">
            <v>0.25</v>
          </cell>
          <cell r="BA1100">
            <v>0.25</v>
          </cell>
        </row>
        <row r="1101">
          <cell r="A1101" t="str">
            <v>FOGLI SERRAMENTI SNC</v>
          </cell>
          <cell r="B1101" t="str">
            <v>LASCIATO LISTINO</v>
          </cell>
          <cell r="D1101" t="str">
            <v>VIA POLA 4</v>
          </cell>
          <cell r="E1101" t="str">
            <v>44020</v>
          </cell>
          <cell r="F1101" t="str">
            <v>SAN GIUSEPPE DI COMACCHIO</v>
          </cell>
          <cell r="G1101" t="str">
            <v>FE</v>
          </cell>
          <cell r="H1101" t="str">
            <v>ITALIA</v>
          </cell>
          <cell r="J1101" t="str">
            <v>00955630389</v>
          </cell>
          <cell r="M1101" t="str">
            <v>UFFICIO ACQUISTI</v>
          </cell>
          <cell r="N1101" t="str">
            <v>0533 380220</v>
          </cell>
          <cell r="O1101" t="str">
            <v>330 379711</v>
          </cell>
          <cell r="R1101" t="str">
            <v>BONIFICO BANCARIO, ALLA DATA DELLA NOSTRA CONFERMA D'ORDINE</v>
          </cell>
          <cell r="X1101">
            <v>0.25</v>
          </cell>
          <cell r="Y1101">
            <v>-0.04</v>
          </cell>
          <cell r="AB1101">
            <v>0.25</v>
          </cell>
          <cell r="AC1101">
            <v>0.25</v>
          </cell>
          <cell r="AD1101">
            <v>0.25</v>
          </cell>
          <cell r="AE1101">
            <v>0.25</v>
          </cell>
          <cell r="AF1101">
            <v>0.25</v>
          </cell>
          <cell r="AG1101">
            <v>0.25</v>
          </cell>
          <cell r="AH1101">
            <v>0.25</v>
          </cell>
          <cell r="AI1101">
            <v>0.25</v>
          </cell>
          <cell r="AJ1101">
            <v>0.25</v>
          </cell>
          <cell r="AK1101">
            <v>0.25</v>
          </cell>
          <cell r="AL1101">
            <v>0.25</v>
          </cell>
          <cell r="AM1101">
            <v>0.25</v>
          </cell>
          <cell r="AN1101">
            <v>0.25</v>
          </cell>
          <cell r="AO1101">
            <v>0.25</v>
          </cell>
          <cell r="AP1101">
            <v>0.25</v>
          </cell>
          <cell r="AQ1101">
            <v>0.25</v>
          </cell>
          <cell r="AR1101">
            <v>0.25</v>
          </cell>
          <cell r="AS1101">
            <v>0.25</v>
          </cell>
          <cell r="AT1101">
            <v>-0.04</v>
          </cell>
          <cell r="AU1101">
            <v>0.92</v>
          </cell>
          <cell r="AV1101">
            <v>20</v>
          </cell>
          <cell r="AY1101" t="str">
            <v/>
          </cell>
          <cell r="AZ1101">
            <v>0.25</v>
          </cell>
          <cell r="BA1101">
            <v>0.25</v>
          </cell>
        </row>
        <row r="1102">
          <cell r="A1102" t="str">
            <v xml:space="preserve">FOGLIANI SERRAMENTI E PORTONI </v>
          </cell>
          <cell r="B1102" t="str">
            <v>LE CHIEDONO</v>
          </cell>
          <cell r="D1102" t="str">
            <v>VIA MAESTRI DEL LAVORO, 58</v>
          </cell>
          <cell r="E1102" t="str">
            <v>30027</v>
          </cell>
          <cell r="F1102" t="str">
            <v xml:space="preserve">SAN DONA' DI PIAVE </v>
          </cell>
          <cell r="G1102" t="str">
            <v>VE</v>
          </cell>
          <cell r="H1102" t="str">
            <v>ITALIA</v>
          </cell>
          <cell r="J1102" t="str">
            <v>04437990270</v>
          </cell>
          <cell r="M1102" t="str">
            <v>UFFICIO ACQUISTI</v>
          </cell>
          <cell r="N1102" t="str">
            <v>0421 220028</v>
          </cell>
          <cell r="O1102" t="str">
            <v>349 7523051</v>
          </cell>
          <cell r="P1102" t="str">
            <v>info@foglianiserramenti.it</v>
          </cell>
          <cell r="R1102" t="str">
            <v>BONIFICO BANCARIO, ALLA DATA DELLA NOSTRA CONFERMA D'ORDINE</v>
          </cell>
          <cell r="X1102">
            <v>0.25</v>
          </cell>
          <cell r="Y1102">
            <v>-0.04</v>
          </cell>
          <cell r="AB1102">
            <v>0.25</v>
          </cell>
          <cell r="AC1102">
            <v>0.25</v>
          </cell>
          <cell r="AD1102">
            <v>0.25</v>
          </cell>
          <cell r="AE1102">
            <v>0.25</v>
          </cell>
          <cell r="AF1102">
            <v>0.25</v>
          </cell>
          <cell r="AG1102">
            <v>0.25</v>
          </cell>
          <cell r="AH1102">
            <v>0.25</v>
          </cell>
          <cell r="AI1102">
            <v>0.25</v>
          </cell>
          <cell r="AJ1102">
            <v>0.25</v>
          </cell>
          <cell r="AK1102">
            <v>0.25</v>
          </cell>
          <cell r="AL1102">
            <v>0.25</v>
          </cell>
          <cell r="AM1102">
            <v>0.25</v>
          </cell>
          <cell r="AN1102">
            <v>0.25</v>
          </cell>
          <cell r="AO1102">
            <v>0.25</v>
          </cell>
          <cell r="AP1102">
            <v>0.25</v>
          </cell>
          <cell r="AQ1102">
            <v>0.25</v>
          </cell>
          <cell r="AR1102">
            <v>0.25</v>
          </cell>
          <cell r="AS1102">
            <v>0.25</v>
          </cell>
          <cell r="AT1102">
            <v>-0.04</v>
          </cell>
          <cell r="AU1102">
            <v>0.92</v>
          </cell>
          <cell r="AV1102">
            <v>20</v>
          </cell>
          <cell r="AY1102" t="str">
            <v/>
          </cell>
          <cell r="AZ1102">
            <v>0.25</v>
          </cell>
          <cell r="BA1102">
            <v>0.25</v>
          </cell>
        </row>
        <row r="1103">
          <cell r="A1103" t="str">
            <v>FOR.M.ED. DI TUCCI CONCETTA E GIANNINI ALDO SNC</v>
          </cell>
          <cell r="B1103" t="str">
            <v>GIANNINI ALDO</v>
          </cell>
          <cell r="D1103" t="str">
            <v>VIA P.FUIANI, 12</v>
          </cell>
          <cell r="E1103" t="str">
            <v>71121</v>
          </cell>
          <cell r="F1103" t="str">
            <v>FOGGIA</v>
          </cell>
          <cell r="G1103" t="str">
            <v>FG</v>
          </cell>
          <cell r="H1103" t="str">
            <v>ITALIA</v>
          </cell>
          <cell r="J1103" t="str">
            <v>00199680711</v>
          </cell>
          <cell r="M1103" t="str">
            <v>UFFICIO ACQUISTI</v>
          </cell>
          <cell r="N1103" t="str">
            <v>0881 7127 80</v>
          </cell>
          <cell r="O1103" t="str">
            <v>368 499 980   329 8071712 GIOVANNINI ALDO</v>
          </cell>
          <cell r="P1103" t="str">
            <v>formed2007@libero.it</v>
          </cell>
          <cell r="R1103" t="str">
            <v>BONIFICO BANCARIO, ALLA DATA DELLA NOSTRA CONFERMA D'ORDINE</v>
          </cell>
          <cell r="X1103">
            <v>0.2</v>
          </cell>
          <cell r="Y1103">
            <v>-0.04</v>
          </cell>
          <cell r="AB1103">
            <v>0.2</v>
          </cell>
          <cell r="AC1103">
            <v>0.2</v>
          </cell>
          <cell r="AD1103">
            <v>0.2</v>
          </cell>
          <cell r="AE1103">
            <v>0.2</v>
          </cell>
          <cell r="AF1103">
            <v>0.2</v>
          </cell>
          <cell r="AG1103">
            <v>0.2</v>
          </cell>
          <cell r="AH1103">
            <v>0.2</v>
          </cell>
          <cell r="AI1103">
            <v>0.2</v>
          </cell>
          <cell r="AJ1103">
            <v>0.2</v>
          </cell>
          <cell r="AK1103">
            <v>0.2</v>
          </cell>
          <cell r="AL1103">
            <v>0.2</v>
          </cell>
          <cell r="AM1103">
            <v>0.2</v>
          </cell>
          <cell r="AN1103">
            <v>0.2</v>
          </cell>
          <cell r="AO1103">
            <v>0.2</v>
          </cell>
          <cell r="AP1103">
            <v>0.2</v>
          </cell>
          <cell r="AQ1103">
            <v>0.2</v>
          </cell>
          <cell r="AR1103">
            <v>0.2</v>
          </cell>
          <cell r="AS1103">
            <v>0.2</v>
          </cell>
          <cell r="AT1103">
            <v>-0.04</v>
          </cell>
          <cell r="AU1103">
            <v>0.92</v>
          </cell>
          <cell r="AV1103">
            <v>20</v>
          </cell>
          <cell r="AZ1103">
            <v>0.2</v>
          </cell>
          <cell r="BA1103">
            <v>0.2</v>
          </cell>
        </row>
        <row r="1104">
          <cell r="A1104" t="str">
            <v>FORESTAN RIPRISTINO SERRAMENTI</v>
          </cell>
          <cell r="B1104" t="str">
            <v>POSSIBILI</v>
          </cell>
          <cell r="D1104" t="str">
            <v>VIA STRADA DEI MOLINI, 20</v>
          </cell>
          <cell r="E1104">
            <v>36100</v>
          </cell>
          <cell r="F1104" t="str">
            <v>VICENZA</v>
          </cell>
          <cell r="G1104" t="str">
            <v>VI</v>
          </cell>
          <cell r="H1104" t="str">
            <v>ITALIA</v>
          </cell>
          <cell r="I1104" t="str">
            <v>FRSFRN71H23L840R</v>
          </cell>
          <cell r="J1104">
            <v>3936420243</v>
          </cell>
          <cell r="M1104" t="str">
            <v>UFFICIO ACQUISTI</v>
          </cell>
          <cell r="O1104" t="str">
            <v>349-3449363 - 349-676 1091</v>
          </cell>
          <cell r="P1104" t="str">
            <v>fores.ripristinoserr@libero.it</v>
          </cell>
          <cell r="R1104" t="str">
            <v>BONIFICO BANCARIO, ALLA DATA DELLA NOSTRA CONFERMA D'ORDINE</v>
          </cell>
          <cell r="X1104">
            <v>0.25</v>
          </cell>
          <cell r="Y1104">
            <v>-0.04</v>
          </cell>
          <cell r="AB1104">
            <v>0.25</v>
          </cell>
          <cell r="AC1104">
            <v>0.25</v>
          </cell>
          <cell r="AD1104">
            <v>0.25</v>
          </cell>
          <cell r="AE1104">
            <v>0.25</v>
          </cell>
          <cell r="AF1104">
            <v>0.25</v>
          </cell>
          <cell r="AG1104">
            <v>0.25</v>
          </cell>
          <cell r="AH1104">
            <v>0.25</v>
          </cell>
          <cell r="AI1104">
            <v>0.25</v>
          </cell>
          <cell r="AJ1104">
            <v>0.25</v>
          </cell>
          <cell r="AK1104">
            <v>0.25</v>
          </cell>
          <cell r="AL1104">
            <v>0.25</v>
          </cell>
          <cell r="AM1104">
            <v>0.25</v>
          </cell>
          <cell r="AN1104">
            <v>0.25</v>
          </cell>
          <cell r="AO1104">
            <v>0.25</v>
          </cell>
          <cell r="AP1104">
            <v>0.25</v>
          </cell>
          <cell r="AQ1104">
            <v>0.25</v>
          </cell>
          <cell r="AR1104">
            <v>0.25</v>
          </cell>
          <cell r="AS1104">
            <v>0.25</v>
          </cell>
          <cell r="AT1104">
            <v>-0.04</v>
          </cell>
          <cell r="AU1104">
            <v>0.92</v>
          </cell>
          <cell r="AV1104">
            <v>20</v>
          </cell>
          <cell r="AZ1104">
            <v>0.25</v>
          </cell>
          <cell r="BA1104">
            <v>0.25</v>
          </cell>
        </row>
        <row r="1105">
          <cell r="A1105" t="str">
            <v>FORNITURE ZAMBON STEFANO</v>
          </cell>
          <cell r="D1105" t="str">
            <v>VIA SAN LORENZO, 70</v>
          </cell>
          <cell r="E1105" t="str">
            <v>35013</v>
          </cell>
          <cell r="F1105" t="str">
            <v>CAMPO SAN MARTINO</v>
          </cell>
          <cell r="G1105" t="str">
            <v>PD</v>
          </cell>
          <cell r="H1105" t="str">
            <v>ITALIA</v>
          </cell>
          <cell r="I1105" t="str">
            <v>ZMBSFN69M12C743B</v>
          </cell>
          <cell r="J1105" t="str">
            <v>03462310289</v>
          </cell>
          <cell r="K1105" t="str">
            <v>W7YVJK9</v>
          </cell>
          <cell r="M1105" t="str">
            <v>UFFICIO ACQUISTI</v>
          </cell>
          <cell r="N1105" t="str">
            <v>049 9404525</v>
          </cell>
          <cell r="O1105" t="str">
            <v>393 9714202 zambon stefano</v>
          </cell>
          <cell r="P1105" t="str">
            <v>info@forniturezambon.com</v>
          </cell>
          <cell r="R1105" t="str">
            <v>BONIFICO BANCARIO, ALLA DATA DELLA NOSTRA CONFERMA D'ORDINE</v>
          </cell>
          <cell r="X1105">
            <v>0.25</v>
          </cell>
          <cell r="Y1105">
            <v>-0.04</v>
          </cell>
          <cell r="AB1105">
            <v>0.25</v>
          </cell>
          <cell r="AC1105">
            <v>0.25</v>
          </cell>
          <cell r="AD1105">
            <v>0.25</v>
          </cell>
          <cell r="AE1105">
            <v>0.25</v>
          </cell>
          <cell r="AF1105">
            <v>0.25</v>
          </cell>
          <cell r="AG1105">
            <v>0.25</v>
          </cell>
          <cell r="AH1105">
            <v>0.25</v>
          </cell>
          <cell r="AI1105">
            <v>0.25</v>
          </cell>
          <cell r="AJ1105">
            <v>0.25</v>
          </cell>
          <cell r="AK1105">
            <v>0.25</v>
          </cell>
          <cell r="AL1105">
            <v>0.25</v>
          </cell>
          <cell r="AM1105">
            <v>0.25</v>
          </cell>
          <cell r="AN1105">
            <v>0.25</v>
          </cell>
          <cell r="AO1105">
            <v>0.25</v>
          </cell>
          <cell r="AP1105">
            <v>0.25</v>
          </cell>
          <cell r="AQ1105">
            <v>0.25</v>
          </cell>
          <cell r="AR1105">
            <v>0.25</v>
          </cell>
          <cell r="AS1105">
            <v>0.25</v>
          </cell>
          <cell r="AT1105">
            <v>-0.04</v>
          </cell>
          <cell r="AU1105">
            <v>0.92</v>
          </cell>
          <cell r="AV1105">
            <v>20</v>
          </cell>
          <cell r="AZ1105">
            <v>0.25</v>
          </cell>
          <cell r="BA1105">
            <v>0.25</v>
          </cell>
          <cell r="BF1105" t="str">
            <v>CLICK RAPID con espositore 20/12/2021 - MODERNA con espositore 20/12/2021</v>
          </cell>
        </row>
        <row r="1106">
          <cell r="A1106" t="str">
            <v>FORTINFISSI</v>
          </cell>
          <cell r="D1106" t="str">
            <v>VIA ALESSANDRO DAL BORRO, 56</v>
          </cell>
          <cell r="E1106" t="str">
            <v>52100</v>
          </cell>
          <cell r="F1106" t="str">
            <v>AREZZO</v>
          </cell>
          <cell r="G1106" t="str">
            <v>AR</v>
          </cell>
          <cell r="H1106" t="str">
            <v>ITALIA</v>
          </cell>
          <cell r="M1106" t="str">
            <v>UFFICIO ACQUISTI</v>
          </cell>
          <cell r="N1106" t="str">
            <v>0575 954915</v>
          </cell>
          <cell r="O1106" t="str">
            <v>Luca Gildoni 351 2698008</v>
          </cell>
          <cell r="P1106" t="str">
            <v>info.fortinfissi@vantaggiosrl.com  gildoni.fortinfissi@vantaggiosrl.com</v>
          </cell>
          <cell r="R1106" t="str">
            <v>BONIFICO BANCARIO, ALLA DATA DELLA NOSTRA CONFERMA D'ORDINE</v>
          </cell>
          <cell r="X1106">
            <v>0.25</v>
          </cell>
          <cell r="Y1106">
            <v>-0.04</v>
          </cell>
          <cell r="AB1106">
            <v>0.25</v>
          </cell>
          <cell r="AC1106">
            <v>0.25</v>
          </cell>
          <cell r="AD1106">
            <v>0.25</v>
          </cell>
          <cell r="AE1106">
            <v>0.25</v>
          </cell>
          <cell r="AF1106">
            <v>0.25</v>
          </cell>
          <cell r="AG1106">
            <v>0.25</v>
          </cell>
          <cell r="AH1106">
            <v>0.25</v>
          </cell>
          <cell r="AI1106">
            <v>0.25</v>
          </cell>
          <cell r="AJ1106">
            <v>0.25</v>
          </cell>
          <cell r="AK1106">
            <v>0.25</v>
          </cell>
          <cell r="AL1106">
            <v>0.25</v>
          </cell>
          <cell r="AM1106">
            <v>0.25</v>
          </cell>
          <cell r="AN1106">
            <v>0.25</v>
          </cell>
          <cell r="AO1106">
            <v>0.25</v>
          </cell>
          <cell r="AP1106">
            <v>0.25</v>
          </cell>
          <cell r="AQ1106">
            <v>0.25</v>
          </cell>
          <cell r="AR1106">
            <v>0.25</v>
          </cell>
          <cell r="AS1106">
            <v>0.25</v>
          </cell>
          <cell r="AT1106">
            <v>-0.04</v>
          </cell>
          <cell r="AU1106">
            <v>0.92</v>
          </cell>
          <cell r="AV1106">
            <v>20</v>
          </cell>
          <cell r="AZ1106">
            <v>0.25</v>
          </cell>
          <cell r="BA1106">
            <v>0.25</v>
          </cell>
        </row>
        <row r="1107">
          <cell r="A1107" t="str">
            <v>FORVIT  S.A.S. DI VITETTI BEATRICE</v>
          </cell>
          <cell r="B1107" t="str">
            <v>INVIATO LISTINO EMAIL 23/11/2020   ALBERTO 347 7163143</v>
          </cell>
          <cell r="D1107" t="str">
            <v>VIA ROMA, 149</v>
          </cell>
          <cell r="E1107">
            <v>88811</v>
          </cell>
          <cell r="F1107" t="str">
            <v>CIRO' MARINA</v>
          </cell>
          <cell r="G1107" t="str">
            <v>KR</v>
          </cell>
          <cell r="H1107" t="str">
            <v>ITALIA</v>
          </cell>
          <cell r="J1107" t="str">
            <v>03836570790</v>
          </cell>
          <cell r="K1107" t="str">
            <v>6JXPS2J</v>
          </cell>
          <cell r="M1107" t="str">
            <v>UFFICIO ACQUISTI</v>
          </cell>
          <cell r="N1107" t="str">
            <v>0962 31257</v>
          </cell>
          <cell r="O1107" t="str">
            <v>Antonio 366 871846</v>
          </cell>
          <cell r="P1107" t="str">
            <v>forvitserramenti@gmail.com</v>
          </cell>
          <cell r="R1107" t="str">
            <v>BONIFICO BANCARIO, ALLA DATA DELLA NOSTRA CONFERMA D'ORDINE</v>
          </cell>
          <cell r="X1107">
            <v>0.25</v>
          </cell>
          <cell r="Y1107">
            <v>-0.04</v>
          </cell>
          <cell r="AB1107">
            <v>0.25</v>
          </cell>
          <cell r="AC1107">
            <v>0.25</v>
          </cell>
          <cell r="AD1107">
            <v>0.25</v>
          </cell>
          <cell r="AE1107">
            <v>0.25</v>
          </cell>
          <cell r="AF1107">
            <v>0.25</v>
          </cell>
          <cell r="AG1107">
            <v>0.25</v>
          </cell>
          <cell r="AH1107">
            <v>0.25</v>
          </cell>
          <cell r="AI1107">
            <v>0.25</v>
          </cell>
          <cell r="AJ1107">
            <v>0.25</v>
          </cell>
          <cell r="AK1107">
            <v>0.25</v>
          </cell>
          <cell r="AL1107">
            <v>0.25</v>
          </cell>
          <cell r="AM1107">
            <v>0.25</v>
          </cell>
          <cell r="AN1107">
            <v>0.25</v>
          </cell>
          <cell r="AO1107">
            <v>0.25</v>
          </cell>
          <cell r="AP1107">
            <v>0.25</v>
          </cell>
          <cell r="AQ1107">
            <v>0.25</v>
          </cell>
          <cell r="AR1107">
            <v>0.25</v>
          </cell>
          <cell r="AS1107">
            <v>0.25</v>
          </cell>
          <cell r="AT1107">
            <v>-0.04</v>
          </cell>
          <cell r="AU1107">
            <v>0.9</v>
          </cell>
          <cell r="AV1107">
            <v>20</v>
          </cell>
          <cell r="AW1107" t="str">
            <v>PIETRO OLIVADOTI</v>
          </cell>
          <cell r="AX1107">
            <v>0.95</v>
          </cell>
          <cell r="AY1107" t="str">
            <v/>
          </cell>
          <cell r="AZ1107">
            <v>0.25</v>
          </cell>
          <cell r="BA1107">
            <v>0.25</v>
          </cell>
          <cell r="BF1107" t="str">
            <v>CLICK RAPID con carpenteria 21/12/2020</v>
          </cell>
        </row>
        <row r="1108">
          <cell r="A1108" t="str">
            <v>FOSSATI GIUSEPPE E FIGLI SRL</v>
          </cell>
          <cell r="B1108" t="str">
            <v>NON GLIENE HANNO MAI CHIESTE</v>
          </cell>
          <cell r="D1108" t="str">
            <v>VIA NOVI 74</v>
          </cell>
          <cell r="E1108" t="str">
            <v>15060</v>
          </cell>
          <cell r="F1108" t="str">
            <v>BASALUZZO</v>
          </cell>
          <cell r="G1108" t="str">
            <v>AL</v>
          </cell>
          <cell r="H1108" t="str">
            <v>ITALIA</v>
          </cell>
          <cell r="J1108" t="str">
            <v>00579230061</v>
          </cell>
          <cell r="M1108" t="str">
            <v>UFFICIO ACQUISTI</v>
          </cell>
          <cell r="N1108" t="str">
            <v>0143 489201</v>
          </cell>
          <cell r="P1108" t="str">
            <v>info@fossatigiuseppe.it</v>
          </cell>
          <cell r="R1108" t="str">
            <v>BONIFICO BANCARIO, ALLA DATA DELLA NOSTRA CONFERMA D'ORDINE</v>
          </cell>
          <cell r="X1108">
            <v>0.25</v>
          </cell>
          <cell r="Y1108">
            <v>-0.04</v>
          </cell>
          <cell r="AB1108">
            <v>0.25</v>
          </cell>
          <cell r="AC1108">
            <v>0.25</v>
          </cell>
          <cell r="AD1108">
            <v>0.25</v>
          </cell>
          <cell r="AE1108">
            <v>0.25</v>
          </cell>
          <cell r="AF1108">
            <v>0.25</v>
          </cell>
          <cell r="AG1108">
            <v>0.25</v>
          </cell>
          <cell r="AH1108">
            <v>0.25</v>
          </cell>
          <cell r="AI1108">
            <v>0.25</v>
          </cell>
          <cell r="AJ1108">
            <v>0.25</v>
          </cell>
          <cell r="AK1108">
            <v>0.25</v>
          </cell>
          <cell r="AL1108">
            <v>0.25</v>
          </cell>
          <cell r="AM1108">
            <v>0.25</v>
          </cell>
          <cell r="AN1108">
            <v>0.25</v>
          </cell>
          <cell r="AO1108">
            <v>0.25</v>
          </cell>
          <cell r="AP1108">
            <v>0.25</v>
          </cell>
          <cell r="AQ1108">
            <v>0.25</v>
          </cell>
          <cell r="AR1108">
            <v>0.25</v>
          </cell>
          <cell r="AS1108">
            <v>0.25</v>
          </cell>
          <cell r="AT1108">
            <v>-0.04</v>
          </cell>
          <cell r="AU1108">
            <v>0.92</v>
          </cell>
          <cell r="AV1108">
            <v>20</v>
          </cell>
          <cell r="AY1108" t="str">
            <v/>
          </cell>
          <cell r="AZ1108">
            <v>0.25</v>
          </cell>
          <cell r="BA1108">
            <v>0.25</v>
          </cell>
        </row>
        <row r="1109">
          <cell r="A1109" t="str">
            <v>FP INFISSI DI PROCOPIO FRANCESCO</v>
          </cell>
          <cell r="D1109" t="str">
            <v>VIALE EMILIA, 98</v>
          </cell>
          <cell r="E1109" t="str">
            <v>88100</v>
          </cell>
          <cell r="F1109" t="str">
            <v>CATANZARO</v>
          </cell>
          <cell r="G1109" t="str">
            <v>CZ</v>
          </cell>
          <cell r="H1109" t="str">
            <v>ITALIA</v>
          </cell>
          <cell r="I1109" t="str">
            <v>PRGFNC71L03C352W</v>
          </cell>
          <cell r="J1109" t="str">
            <v>03121730794</v>
          </cell>
          <cell r="K1109" t="str">
            <v>M5UXCR1</v>
          </cell>
          <cell r="M1109" t="str">
            <v>UFFICIO ACQUISTI</v>
          </cell>
          <cell r="N1109" t="str">
            <v>0961 63371</v>
          </cell>
          <cell r="O1109" t="str">
            <v>333 2505400 FRANCESCO PROCOPIO</v>
          </cell>
          <cell r="P1109" t="str">
            <v>fpinfissi@virgilio.it</v>
          </cell>
          <cell r="R1109" t="str">
            <v>BONIFICO BANCARIO, ALLA DATA DELLA NOSTRA CONFERMA D'ORDINE</v>
          </cell>
          <cell r="X1109">
            <v>0.25</v>
          </cell>
          <cell r="Y1109">
            <v>-0.04</v>
          </cell>
          <cell r="AB1109">
            <v>0.25</v>
          </cell>
          <cell r="AC1109">
            <v>0.25</v>
          </cell>
          <cell r="AD1109">
            <v>0.25</v>
          </cell>
          <cell r="AE1109">
            <v>0.25</v>
          </cell>
          <cell r="AF1109">
            <v>0.25</v>
          </cell>
          <cell r="AG1109">
            <v>0.25</v>
          </cell>
          <cell r="AH1109">
            <v>0.25</v>
          </cell>
          <cell r="AI1109">
            <v>0.25</v>
          </cell>
          <cell r="AJ1109">
            <v>0.25</v>
          </cell>
          <cell r="AK1109">
            <v>0.25</v>
          </cell>
          <cell r="AL1109">
            <v>0.25</v>
          </cell>
          <cell r="AM1109">
            <v>0.25</v>
          </cell>
          <cell r="AN1109">
            <v>0.25</v>
          </cell>
          <cell r="AO1109">
            <v>0.25</v>
          </cell>
          <cell r="AP1109">
            <v>0.25</v>
          </cell>
          <cell r="AQ1109">
            <v>0.25</v>
          </cell>
          <cell r="AR1109">
            <v>0.25</v>
          </cell>
          <cell r="AS1109">
            <v>0.25</v>
          </cell>
          <cell r="AT1109">
            <v>-0.04</v>
          </cell>
          <cell r="AU1109">
            <v>0.92</v>
          </cell>
          <cell r="AV1109">
            <v>20</v>
          </cell>
          <cell r="AW1109" t="str">
            <v>PIETRO OLIVADOTI</v>
          </cell>
          <cell r="AX1109">
            <v>0.95</v>
          </cell>
          <cell r="AZ1109">
            <v>0.25</v>
          </cell>
          <cell r="BA1109">
            <v>0.25</v>
          </cell>
        </row>
        <row r="1110">
          <cell r="A1110" t="str">
            <v>FP SISTEM</v>
          </cell>
          <cell r="B1110" t="str">
            <v>AUTORIZZA FOTO + FILMATI</v>
          </cell>
          <cell r="D1110" t="str">
            <v>VIA A. DA FORLI, 44</v>
          </cell>
          <cell r="E1110">
            <v>35134</v>
          </cell>
          <cell r="F1110" t="str">
            <v>PADOVA</v>
          </cell>
          <cell r="G1110" t="str">
            <v>PD</v>
          </cell>
          <cell r="H1110" t="str">
            <v>ITALIA</v>
          </cell>
          <cell r="J1110" t="str">
            <v>04284070280</v>
          </cell>
          <cell r="K1110" t="str">
            <v>SUBM70N</v>
          </cell>
          <cell r="M1110" t="str">
            <v>UFFICIO ACQUISTI</v>
          </cell>
          <cell r="N1110" t="str">
            <v>049 619244</v>
          </cell>
          <cell r="O1110" t="str">
            <v>FEDERICO FECCHIO 348 4221083</v>
          </cell>
          <cell r="P1110" t="str">
            <v>fpsistem@yahoo.it</v>
          </cell>
          <cell r="R1110" t="str">
            <v>BONIFICO BANCARIO, ALLA DATA DELLA NOSTRA CONFERMA D'ORDINE</v>
          </cell>
          <cell r="X1110">
            <v>0.25</v>
          </cell>
          <cell r="Y1110">
            <v>-0.04</v>
          </cell>
          <cell r="AB1110">
            <v>0.25</v>
          </cell>
          <cell r="AC1110">
            <v>0.25</v>
          </cell>
          <cell r="AD1110">
            <v>0.25</v>
          </cell>
          <cell r="AE1110">
            <v>0.25</v>
          </cell>
          <cell r="AF1110">
            <v>0.25</v>
          </cell>
          <cell r="AG1110">
            <v>0.25</v>
          </cell>
          <cell r="AH1110">
            <v>0.25</v>
          </cell>
          <cell r="AI1110">
            <v>0.25</v>
          </cell>
          <cell r="AJ1110">
            <v>0.25</v>
          </cell>
          <cell r="AK1110">
            <v>0.25</v>
          </cell>
          <cell r="AL1110">
            <v>0.25</v>
          </cell>
          <cell r="AM1110">
            <v>0.25</v>
          </cell>
          <cell r="AN1110">
            <v>0.25</v>
          </cell>
          <cell r="AO1110">
            <v>0.25</v>
          </cell>
          <cell r="AP1110">
            <v>0.25</v>
          </cell>
          <cell r="AQ1110">
            <v>0.25</v>
          </cell>
          <cell r="AR1110">
            <v>0.25</v>
          </cell>
          <cell r="AS1110">
            <v>0.25</v>
          </cell>
          <cell r="AT1110">
            <v>-0.04</v>
          </cell>
          <cell r="AU1110">
            <v>0.92</v>
          </cell>
          <cell r="AV1110">
            <v>20</v>
          </cell>
          <cell r="AY1110" t="str">
            <v/>
          </cell>
          <cell r="AZ1110">
            <v>0.25</v>
          </cell>
          <cell r="BA1110">
            <v>0.25</v>
          </cell>
          <cell r="BF1110" t="str">
            <v>CLICK RAPID con carpenteria 24/09/2020</v>
          </cell>
        </row>
        <row r="1111">
          <cell r="A1111" t="str">
            <v>FPV SRL</v>
          </cell>
          <cell r="D1111" t="str">
            <v>VIA D. ALIGHIERI 25/31</v>
          </cell>
          <cell r="E1111" t="str">
            <v>50021</v>
          </cell>
          <cell r="F1111" t="str">
            <v>BARBERINO VAL D'ELSA</v>
          </cell>
          <cell r="G1111" t="str">
            <v>FI</v>
          </cell>
          <cell r="H1111" t="str">
            <v>ITALIA</v>
          </cell>
          <cell r="J1111" t="str">
            <v>01278790520</v>
          </cell>
          <cell r="M1111" t="str">
            <v>UFFICIO ACQUISTI</v>
          </cell>
          <cell r="N1111" t="str">
            <v>055 806841</v>
          </cell>
          <cell r="O1111" t="str">
            <v>345 0468579</v>
          </cell>
          <cell r="P1111" t="str">
            <v>info@fpvsrl.it</v>
          </cell>
          <cell r="R1111" t="str">
            <v>BONIFICO BANCARIO, ALLA DATA DELLA NOSTRA CONFERMA D'ORDINE</v>
          </cell>
          <cell r="X1111">
            <v>0.25</v>
          </cell>
          <cell r="Y1111">
            <v>-0.04</v>
          </cell>
          <cell r="AB1111">
            <v>0.25</v>
          </cell>
          <cell r="AC1111">
            <v>0.25</v>
          </cell>
          <cell r="AD1111">
            <v>0.25</v>
          </cell>
          <cell r="AE1111">
            <v>0.25</v>
          </cell>
          <cell r="AF1111">
            <v>0.25</v>
          </cell>
          <cell r="AG1111">
            <v>0.25</v>
          </cell>
          <cell r="AH1111">
            <v>0.25</v>
          </cell>
          <cell r="AI1111">
            <v>0.25</v>
          </cell>
          <cell r="AJ1111">
            <v>0.25</v>
          </cell>
          <cell r="AK1111">
            <v>0.25</v>
          </cell>
          <cell r="AL1111">
            <v>0.25</v>
          </cell>
          <cell r="AM1111">
            <v>0.25</v>
          </cell>
          <cell r="AN1111">
            <v>0.25</v>
          </cell>
          <cell r="AO1111">
            <v>0.25</v>
          </cell>
          <cell r="AP1111">
            <v>0.25</v>
          </cell>
          <cell r="AQ1111">
            <v>0.25</v>
          </cell>
          <cell r="AR1111">
            <v>0.25</v>
          </cell>
          <cell r="AS1111">
            <v>0.25</v>
          </cell>
          <cell r="AT1111">
            <v>-0.04</v>
          </cell>
          <cell r="AU1111">
            <v>0.92</v>
          </cell>
          <cell r="AV1111">
            <v>20</v>
          </cell>
          <cell r="AY1111" t="str">
            <v/>
          </cell>
          <cell r="AZ1111">
            <v>0.25</v>
          </cell>
          <cell r="BA1111">
            <v>0.25</v>
          </cell>
        </row>
        <row r="1112">
          <cell r="A1112" t="str">
            <v>FRACCHIA &amp; GIESSE</v>
          </cell>
          <cell r="D1112" t="str">
            <v>C.SO VERCELLI, 149</v>
          </cell>
          <cell r="E1112">
            <v>10015</v>
          </cell>
          <cell r="F1112" t="str">
            <v>IVREA</v>
          </cell>
          <cell r="G1112" t="str">
            <v>TO</v>
          </cell>
          <cell r="H1112" t="str">
            <v>ITALIA</v>
          </cell>
          <cell r="M1112" t="str">
            <v>UFFICIO ACQUISTI</v>
          </cell>
          <cell r="N1112" t="str">
            <v>0125 251130</v>
          </cell>
          <cell r="P1112" t="str">
            <v>info@fracchiagiesse.it</v>
          </cell>
          <cell r="R1112" t="str">
            <v>BONIFICO BANCARIO, ALLA DATA DELLA NOSTRA CONFERMA D'ORDINE</v>
          </cell>
          <cell r="X1112">
            <v>0.25</v>
          </cell>
          <cell r="Y1112">
            <v>-0.04</v>
          </cell>
          <cell r="AB1112">
            <v>0.25</v>
          </cell>
          <cell r="AC1112">
            <v>0.25</v>
          </cell>
          <cell r="AD1112">
            <v>0.25</v>
          </cell>
          <cell r="AE1112">
            <v>0.25</v>
          </cell>
          <cell r="AF1112">
            <v>0.25</v>
          </cell>
          <cell r="AG1112">
            <v>0.25</v>
          </cell>
          <cell r="AH1112">
            <v>0.25</v>
          </cell>
          <cell r="AI1112">
            <v>0.25</v>
          </cell>
          <cell r="AJ1112">
            <v>0.25</v>
          </cell>
          <cell r="AK1112">
            <v>0.25</v>
          </cell>
          <cell r="AL1112">
            <v>0.25</v>
          </cell>
          <cell r="AM1112">
            <v>0.25</v>
          </cell>
          <cell r="AN1112">
            <v>0.25</v>
          </cell>
          <cell r="AO1112">
            <v>0.25</v>
          </cell>
          <cell r="AP1112">
            <v>0.25</v>
          </cell>
          <cell r="AQ1112">
            <v>0.25</v>
          </cell>
          <cell r="AR1112">
            <v>0.25</v>
          </cell>
          <cell r="AS1112">
            <v>0.25</v>
          </cell>
          <cell r="AT1112">
            <v>-0.04</v>
          </cell>
          <cell r="AU1112">
            <v>0.92</v>
          </cell>
          <cell r="AV1112">
            <v>20</v>
          </cell>
          <cell r="AY1112" t="str">
            <v/>
          </cell>
          <cell r="AZ1112">
            <v>0.25</v>
          </cell>
          <cell r="BA1112">
            <v>0.25</v>
          </cell>
        </row>
        <row r="1113">
          <cell r="A1113" t="str">
            <v>FRAMA SERRAMENTI</v>
          </cell>
          <cell r="D1113" t="str">
            <v>LOCALITA' PLAN FELINAZ, 21</v>
          </cell>
          <cell r="E1113">
            <v>11020</v>
          </cell>
          <cell r="F1113" t="str">
            <v>CHARVENSOD</v>
          </cell>
          <cell r="G1113" t="str">
            <v>AO</v>
          </cell>
          <cell r="H1113" t="str">
            <v>ITALIA</v>
          </cell>
          <cell r="J1113" t="str">
            <v>01159540077</v>
          </cell>
          <cell r="M1113" t="str">
            <v>UFFICIO ACQUISTI</v>
          </cell>
          <cell r="N1113" t="str">
            <v>0165 361255</v>
          </cell>
          <cell r="O1113" t="str">
            <v>Raoul 333 8040605</v>
          </cell>
          <cell r="P1113" t="str">
            <v>info@framavetri.it</v>
          </cell>
          <cell r="R1113" t="str">
            <v>BONIFICO BANCARIO, ALLA DATA DELLA NOSTRA CONFERMA D'ORDINE</v>
          </cell>
          <cell r="X1113">
            <v>0.25</v>
          </cell>
          <cell r="Y1113">
            <v>-0.04</v>
          </cell>
          <cell r="AB1113">
            <v>0.25</v>
          </cell>
          <cell r="AC1113">
            <v>0.25</v>
          </cell>
          <cell r="AD1113">
            <v>0.25</v>
          </cell>
          <cell r="AE1113">
            <v>0.25</v>
          </cell>
          <cell r="AF1113">
            <v>0.25</v>
          </cell>
          <cell r="AG1113">
            <v>0.25</v>
          </cell>
          <cell r="AH1113">
            <v>0.25</v>
          </cell>
          <cell r="AI1113">
            <v>0.25</v>
          </cell>
          <cell r="AJ1113">
            <v>0.25</v>
          </cell>
          <cell r="AK1113">
            <v>0.25</v>
          </cell>
          <cell r="AL1113">
            <v>0.25</v>
          </cell>
          <cell r="AM1113">
            <v>0.25</v>
          </cell>
          <cell r="AN1113">
            <v>0.25</v>
          </cell>
          <cell r="AO1113">
            <v>0.25</v>
          </cell>
          <cell r="AP1113">
            <v>0.25</v>
          </cell>
          <cell r="AQ1113">
            <v>0.25</v>
          </cell>
          <cell r="AR1113">
            <v>0.25</v>
          </cell>
          <cell r="AS1113">
            <v>0.25</v>
          </cell>
          <cell r="AT1113">
            <v>-0.04</v>
          </cell>
          <cell r="AU1113">
            <v>0.92</v>
          </cell>
          <cell r="AV1113">
            <v>20</v>
          </cell>
          <cell r="AZ1113">
            <v>0.25</v>
          </cell>
          <cell r="BA1113">
            <v>0.25</v>
          </cell>
        </row>
        <row r="1114">
          <cell r="A1114" t="str">
            <v>FRAMOBIL SNC DI MORETTI  F.&amp; A.</v>
          </cell>
          <cell r="B1114" t="str">
            <v>ESP.:VIA MAZZINI, 118 - LUMEZZANES.S.</v>
          </cell>
          <cell r="D1114" t="str">
            <v>VIA SIMONCELLI, 30</v>
          </cell>
          <cell r="E1114" t="str">
            <v>25065</v>
          </cell>
          <cell r="F1114" t="str">
            <v>LUMEZZANE S.S.</v>
          </cell>
          <cell r="G1114" t="str">
            <v>BS</v>
          </cell>
          <cell r="H1114" t="str">
            <v>ITALIA</v>
          </cell>
          <cell r="J1114" t="str">
            <v>00547420984</v>
          </cell>
          <cell r="M1114" t="str">
            <v>UFFICIO ACQUISTI</v>
          </cell>
          <cell r="N1114" t="str">
            <v>030 826159</v>
          </cell>
          <cell r="O1114" t="str">
            <v>339 7333570 A.MORETTI-320 1893171 F.MORETTI</v>
          </cell>
          <cell r="P1114" t="str">
            <v>info@framobil.it</v>
          </cell>
          <cell r="R1114" t="str">
            <v>BONIFICO BANCARIO, ALLA DATA DELLA NOSTRA CONFERMA D'ORDINE</v>
          </cell>
          <cell r="X1114">
            <v>0.2</v>
          </cell>
          <cell r="Y1114">
            <v>-0.04</v>
          </cell>
          <cell r="AB1114">
            <v>0.2</v>
          </cell>
          <cell r="AC1114">
            <v>0.2</v>
          </cell>
          <cell r="AD1114">
            <v>0.2</v>
          </cell>
          <cell r="AE1114">
            <v>0.2</v>
          </cell>
          <cell r="AF1114">
            <v>0.2</v>
          </cell>
          <cell r="AG1114">
            <v>0.2</v>
          </cell>
          <cell r="AH1114">
            <v>0.2</v>
          </cell>
          <cell r="AI1114">
            <v>0.2</v>
          </cell>
          <cell r="AJ1114">
            <v>0.2</v>
          </cell>
          <cell r="AK1114">
            <v>0.2</v>
          </cell>
          <cell r="AL1114">
            <v>0.2</v>
          </cell>
          <cell r="AM1114">
            <v>0.2</v>
          </cell>
          <cell r="AN1114">
            <v>0.2</v>
          </cell>
          <cell r="AO1114">
            <v>0.2</v>
          </cell>
          <cell r="AP1114">
            <v>0.2</v>
          </cell>
          <cell r="AQ1114">
            <v>0.2</v>
          </cell>
          <cell r="AR1114">
            <v>0.2</v>
          </cell>
          <cell r="AS1114">
            <v>0.2</v>
          </cell>
          <cell r="AT1114">
            <v>-0.04</v>
          </cell>
          <cell r="AU1114">
            <v>0.92</v>
          </cell>
          <cell r="AV1114">
            <v>20</v>
          </cell>
          <cell r="AZ1114">
            <v>0.2</v>
          </cell>
          <cell r="BA1114">
            <v>0.2</v>
          </cell>
        </row>
        <row r="1115">
          <cell r="A1115" t="str">
            <v>FRANCESCO CAUTI</v>
          </cell>
          <cell r="D1115" t="str">
            <v xml:space="preserve">VIA CEFALONIA, 18 A </v>
          </cell>
          <cell r="E1115">
            <v>42124</v>
          </cell>
          <cell r="F1115" t="str">
            <v>REGGIO EMILIA</v>
          </cell>
          <cell r="G1115" t="str">
            <v>RE</v>
          </cell>
          <cell r="H1115" t="str">
            <v>ITALIA</v>
          </cell>
          <cell r="M1115" t="str">
            <v>UFFICIO ACQUISTI</v>
          </cell>
          <cell r="N1115" t="str">
            <v>0522 857119</v>
          </cell>
          <cell r="O1115" t="str">
            <v>331 4423026</v>
          </cell>
          <cell r="P1115" t="str">
            <v>cauti@gruppoerreserramenti.it</v>
          </cell>
          <cell r="R1115" t="str">
            <v>BONIFICO BANCARIO, ALLA DATA DELLA NOSTRA CONFERMA D'ORDINE</v>
          </cell>
          <cell r="X1115">
            <v>0.25</v>
          </cell>
          <cell r="Y1115">
            <v>-0.04</v>
          </cell>
          <cell r="AB1115">
            <v>0.25</v>
          </cell>
          <cell r="AC1115">
            <v>0.25</v>
          </cell>
          <cell r="AD1115">
            <v>0.25</v>
          </cell>
          <cell r="AE1115">
            <v>0.25</v>
          </cell>
          <cell r="AF1115">
            <v>0.25</v>
          </cell>
          <cell r="AG1115">
            <v>0.25</v>
          </cell>
          <cell r="AH1115">
            <v>0.25</v>
          </cell>
          <cell r="AI1115">
            <v>0.25</v>
          </cell>
          <cell r="AJ1115">
            <v>0.25</v>
          </cell>
          <cell r="AK1115">
            <v>0.25</v>
          </cell>
          <cell r="AL1115">
            <v>0.25</v>
          </cell>
          <cell r="AM1115">
            <v>0.25</v>
          </cell>
          <cell r="AN1115">
            <v>0.25</v>
          </cell>
          <cell r="AO1115">
            <v>0.25</v>
          </cell>
          <cell r="AP1115">
            <v>0.25</v>
          </cell>
          <cell r="AQ1115">
            <v>0.25</v>
          </cell>
          <cell r="AR1115">
            <v>0.25</v>
          </cell>
          <cell r="AS1115">
            <v>0.25</v>
          </cell>
          <cell r="AT1115">
            <v>-0.04</v>
          </cell>
          <cell r="AU1115">
            <v>0.92</v>
          </cell>
          <cell r="AV1115">
            <v>20</v>
          </cell>
          <cell r="AZ1115">
            <v>0.25</v>
          </cell>
          <cell r="BA1115">
            <v>0.25</v>
          </cell>
        </row>
        <row r="1116">
          <cell r="A1116" t="str">
            <v>FRANCO SIGNORELLI</v>
          </cell>
          <cell r="D1116" t="str">
            <v>VIA P. PINETTI, 90 R</v>
          </cell>
          <cell r="E1116" t="str">
            <v>16144</v>
          </cell>
          <cell r="F1116" t="str">
            <v>GENOVA</v>
          </cell>
          <cell r="G1116" t="str">
            <v>GE</v>
          </cell>
          <cell r="H1116" t="str">
            <v>ITALIA</v>
          </cell>
          <cell r="J1116" t="str">
            <v>02716100108</v>
          </cell>
          <cell r="M1116" t="str">
            <v>UFFICIO ACQUISTI</v>
          </cell>
          <cell r="N1116" t="str">
            <v>010 8327635</v>
          </cell>
          <cell r="O1116" t="str">
            <v>348 0179772</v>
          </cell>
          <cell r="P1116" t="str">
            <v>signore17@signorellifranco.191.it</v>
          </cell>
          <cell r="R1116" t="str">
            <v>BONIFICO BANCARIO, ALLA DATA DELLA NOSTRA CONFERMA D'ORDINE</v>
          </cell>
          <cell r="X1116">
            <v>0.25</v>
          </cell>
          <cell r="Y1116">
            <v>-0.04</v>
          </cell>
          <cell r="AB1116">
            <v>0.25</v>
          </cell>
          <cell r="AC1116">
            <v>0.25</v>
          </cell>
          <cell r="AD1116">
            <v>0.25</v>
          </cell>
          <cell r="AE1116">
            <v>0.25</v>
          </cell>
          <cell r="AF1116">
            <v>0.25</v>
          </cell>
          <cell r="AG1116">
            <v>0.25</v>
          </cell>
          <cell r="AH1116">
            <v>0.25</v>
          </cell>
          <cell r="AI1116">
            <v>0.25</v>
          </cell>
          <cell r="AJ1116">
            <v>0.25</v>
          </cell>
          <cell r="AK1116">
            <v>0.25</v>
          </cell>
          <cell r="AL1116">
            <v>0.25</v>
          </cell>
          <cell r="AM1116">
            <v>0.25</v>
          </cell>
          <cell r="AN1116">
            <v>0.25</v>
          </cell>
          <cell r="AO1116">
            <v>0.25</v>
          </cell>
          <cell r="AP1116">
            <v>0.25</v>
          </cell>
          <cell r="AQ1116">
            <v>0.25</v>
          </cell>
          <cell r="AR1116">
            <v>0.25</v>
          </cell>
          <cell r="AS1116">
            <v>0.25</v>
          </cell>
          <cell r="AT1116">
            <v>-0.04</v>
          </cell>
          <cell r="AU1116">
            <v>0.92</v>
          </cell>
          <cell r="AV1116">
            <v>20</v>
          </cell>
          <cell r="AZ1116">
            <v>0.25</v>
          </cell>
          <cell r="BA1116">
            <v>0.25</v>
          </cell>
        </row>
        <row r="1117">
          <cell r="A1117" t="str">
            <v>FRATELLI BARTOLI</v>
          </cell>
          <cell r="D1117" t="str">
            <v>VIA MERCADANTE, 18 20</v>
          </cell>
          <cell r="E1117" t="str">
            <v>47841</v>
          </cell>
          <cell r="F1117" t="str">
            <v>CATTOLICA</v>
          </cell>
          <cell r="G1117" t="str">
            <v>RN</v>
          </cell>
          <cell r="H1117" t="str">
            <v>ITALIA</v>
          </cell>
          <cell r="I1117" t="str">
            <v>02203030404</v>
          </cell>
          <cell r="J1117" t="str">
            <v>02203030404</v>
          </cell>
          <cell r="K1117" t="str">
            <v>M5UXCR1</v>
          </cell>
          <cell r="M1117" t="str">
            <v>UFFICIO ACQUISTI</v>
          </cell>
          <cell r="N1117" t="str">
            <v>0541 951635</v>
          </cell>
          <cell r="P1117" t="str">
            <v xml:space="preserve">bartoli@gestimpresa.net </v>
          </cell>
          <cell r="R1117" t="str">
            <v>BONIFICO BANCARIO, ALLA DATA DELLA NOSTRA CONFERMA D'ORDINE</v>
          </cell>
          <cell r="X1117">
            <v>0.25</v>
          </cell>
          <cell r="Y1117">
            <v>-0.04</v>
          </cell>
          <cell r="AB1117">
            <v>0.25</v>
          </cell>
          <cell r="AC1117">
            <v>0.25</v>
          </cell>
          <cell r="AD1117">
            <v>0.25</v>
          </cell>
          <cell r="AE1117">
            <v>0.25</v>
          </cell>
          <cell r="AF1117">
            <v>0.25</v>
          </cell>
          <cell r="AG1117">
            <v>0.25</v>
          </cell>
          <cell r="AH1117">
            <v>0.25</v>
          </cell>
          <cell r="AI1117">
            <v>0.25</v>
          </cell>
          <cell r="AJ1117">
            <v>0.25</v>
          </cell>
          <cell r="AK1117">
            <v>0.25</v>
          </cell>
          <cell r="AL1117">
            <v>0.25</v>
          </cell>
          <cell r="AM1117">
            <v>0.25</v>
          </cell>
          <cell r="AN1117">
            <v>0.25</v>
          </cell>
          <cell r="AO1117">
            <v>0.25</v>
          </cell>
          <cell r="AP1117">
            <v>0.25</v>
          </cell>
          <cell r="AQ1117">
            <v>0.25</v>
          </cell>
          <cell r="AR1117">
            <v>0.25</v>
          </cell>
          <cell r="AS1117">
            <v>0.25</v>
          </cell>
          <cell r="AT1117">
            <v>-0.04</v>
          </cell>
          <cell r="AU1117">
            <v>0.92</v>
          </cell>
          <cell r="AV1117">
            <v>20</v>
          </cell>
          <cell r="AZ1117">
            <v>0.25</v>
          </cell>
          <cell r="BA1117">
            <v>0.25</v>
          </cell>
        </row>
        <row r="1118">
          <cell r="A1118" t="str">
            <v>FRATELLI BERGAMASCHI SRL</v>
          </cell>
          <cell r="D1118" t="str">
            <v>VIA DUCA D'AOSTA, 121</v>
          </cell>
          <cell r="E1118" t="str">
            <v>24058</v>
          </cell>
          <cell r="F1118" t="str">
            <v>ROMANO DI LOMBARDIA</v>
          </cell>
          <cell r="G1118" t="str">
            <v>BG</v>
          </cell>
          <cell r="H1118" t="str">
            <v>ITALIA</v>
          </cell>
          <cell r="J1118" t="str">
            <v>00537560161</v>
          </cell>
          <cell r="M1118" t="str">
            <v>UFFICIO ACQUISTI</v>
          </cell>
          <cell r="N1118" t="str">
            <v>0363 902565</v>
          </cell>
          <cell r="P1118" t="str">
            <v>info@fratellibergamaschi.it</v>
          </cell>
          <cell r="R1118" t="str">
            <v>BONIFICO BANCARIO, ALLA DATA DELLA NOSTRA CONFERMA D'ORDINE</v>
          </cell>
          <cell r="X1118">
            <v>0.2</v>
          </cell>
          <cell r="Y1118">
            <v>-0.04</v>
          </cell>
          <cell r="AB1118">
            <v>0.2</v>
          </cell>
          <cell r="AC1118">
            <v>0.2</v>
          </cell>
          <cell r="AD1118">
            <v>0.2</v>
          </cell>
          <cell r="AE1118">
            <v>0.2</v>
          </cell>
          <cell r="AF1118">
            <v>0.2</v>
          </cell>
          <cell r="AG1118">
            <v>0.2</v>
          </cell>
          <cell r="AH1118">
            <v>0.2</v>
          </cell>
          <cell r="AI1118">
            <v>0.2</v>
          </cell>
          <cell r="AJ1118">
            <v>0.2</v>
          </cell>
          <cell r="AK1118">
            <v>0.2</v>
          </cell>
          <cell r="AL1118">
            <v>0.2</v>
          </cell>
          <cell r="AM1118">
            <v>0.2</v>
          </cell>
          <cell r="AN1118">
            <v>0.2</v>
          </cell>
          <cell r="AO1118">
            <v>0.2</v>
          </cell>
          <cell r="AP1118">
            <v>0.2</v>
          </cell>
          <cell r="AQ1118">
            <v>0.2</v>
          </cell>
          <cell r="AR1118">
            <v>0.2</v>
          </cell>
          <cell r="AS1118">
            <v>0.2</v>
          </cell>
          <cell r="AT1118">
            <v>-0.04</v>
          </cell>
          <cell r="AU1118">
            <v>0.92</v>
          </cell>
          <cell r="AV1118">
            <v>20</v>
          </cell>
          <cell r="AZ1118">
            <v>0.2</v>
          </cell>
          <cell r="BA1118">
            <v>0.2</v>
          </cell>
        </row>
        <row r="1119">
          <cell r="A1119" t="str">
            <v>FRATELLI BUCCI SNC</v>
          </cell>
          <cell r="D1119" t="str">
            <v>VIA LEA GIACCAGLIA 36</v>
          </cell>
          <cell r="E1119" t="str">
            <v>47924</v>
          </cell>
          <cell r="F1119" t="str">
            <v>RIMINI</v>
          </cell>
          <cell r="G1119" t="str">
            <v>RN</v>
          </cell>
          <cell r="H1119" t="str">
            <v>ITALIA</v>
          </cell>
          <cell r="J1119" t="str">
            <v>00694980400</v>
          </cell>
          <cell r="M1119" t="str">
            <v>UFFICIO ACQUISTI</v>
          </cell>
          <cell r="N1119" t="str">
            <v>0541 386287</v>
          </cell>
          <cell r="R1119" t="str">
            <v>BONIFICO BANCARIO, ALLA DATA DELLA NOSTRA CONFERMA D'ORDINE</v>
          </cell>
          <cell r="X1119">
            <v>0.25</v>
          </cell>
          <cell r="Y1119">
            <v>-0.04</v>
          </cell>
          <cell r="AB1119">
            <v>0.25</v>
          </cell>
          <cell r="AC1119">
            <v>0.25</v>
          </cell>
          <cell r="AD1119">
            <v>0.25</v>
          </cell>
          <cell r="AE1119">
            <v>0.25</v>
          </cell>
          <cell r="AF1119">
            <v>0.25</v>
          </cell>
          <cell r="AG1119">
            <v>0.25</v>
          </cell>
          <cell r="AH1119">
            <v>0.25</v>
          </cell>
          <cell r="AI1119">
            <v>0.25</v>
          </cell>
          <cell r="AJ1119">
            <v>0.25</v>
          </cell>
          <cell r="AK1119">
            <v>0.25</v>
          </cell>
          <cell r="AL1119">
            <v>0.25</v>
          </cell>
          <cell r="AM1119">
            <v>0.25</v>
          </cell>
          <cell r="AN1119">
            <v>0.25</v>
          </cell>
          <cell r="AO1119">
            <v>0.25</v>
          </cell>
          <cell r="AP1119">
            <v>0.25</v>
          </cell>
          <cell r="AQ1119">
            <v>0.25</v>
          </cell>
          <cell r="AR1119">
            <v>0.25</v>
          </cell>
          <cell r="AS1119">
            <v>0.25</v>
          </cell>
          <cell r="AT1119">
            <v>-0.04</v>
          </cell>
          <cell r="AU1119">
            <v>0.92</v>
          </cell>
          <cell r="AV1119">
            <v>20</v>
          </cell>
          <cell r="AY1119" t="str">
            <v/>
          </cell>
          <cell r="AZ1119">
            <v>0.25</v>
          </cell>
          <cell r="BA1119">
            <v>0.25</v>
          </cell>
        </row>
        <row r="1120">
          <cell r="A1120" t="str">
            <v>FRATELLI DE STEFANO</v>
          </cell>
          <cell r="D1120" t="str">
            <v>VIA BEATO LANUINO</v>
          </cell>
          <cell r="F1120" t="str">
            <v>SPADOLA</v>
          </cell>
          <cell r="G1120" t="str">
            <v>VV</v>
          </cell>
          <cell r="H1120" t="str">
            <v>ITALIA</v>
          </cell>
          <cell r="M1120" t="str">
            <v>UFFICIO ACQUISTI</v>
          </cell>
          <cell r="N1120" t="str">
            <v>0963 74716</v>
          </cell>
          <cell r="O1120" t="str">
            <v>3393471900</v>
          </cell>
          <cell r="P1120" t="str">
            <v>fratellidestefano@virgilio.it</v>
          </cell>
          <cell r="R1120" t="str">
            <v>BONIFICO BANCARIO, ALLA DATA DELLA NOSTRA CONFERMA D'ORDINE</v>
          </cell>
          <cell r="X1120">
            <v>0.25</v>
          </cell>
          <cell r="Y1120">
            <v>-0.04</v>
          </cell>
          <cell r="AB1120">
            <v>0.25</v>
          </cell>
          <cell r="AC1120">
            <v>0.25</v>
          </cell>
          <cell r="AD1120">
            <v>0.25</v>
          </cell>
          <cell r="AE1120">
            <v>0.25</v>
          </cell>
          <cell r="AF1120">
            <v>0.25</v>
          </cell>
          <cell r="AG1120">
            <v>0.25</v>
          </cell>
          <cell r="AH1120">
            <v>0.25</v>
          </cell>
          <cell r="AI1120">
            <v>0.25</v>
          </cell>
          <cell r="AJ1120">
            <v>0.25</v>
          </cell>
          <cell r="AK1120">
            <v>0.25</v>
          </cell>
          <cell r="AL1120">
            <v>0.25</v>
          </cell>
          <cell r="AM1120">
            <v>0.25</v>
          </cell>
          <cell r="AN1120">
            <v>0.25</v>
          </cell>
          <cell r="AO1120">
            <v>0.25</v>
          </cell>
          <cell r="AP1120">
            <v>0.25</v>
          </cell>
          <cell r="AQ1120">
            <v>0.25</v>
          </cell>
          <cell r="AR1120">
            <v>0.25</v>
          </cell>
          <cell r="AS1120">
            <v>0.25</v>
          </cell>
          <cell r="AT1120">
            <v>-0.04</v>
          </cell>
          <cell r="AU1120">
            <v>0.92</v>
          </cell>
          <cell r="AV1120">
            <v>20</v>
          </cell>
          <cell r="AW1120" t="str">
            <v>PIETRO OLIVADOTI</v>
          </cell>
          <cell r="AX1120">
            <v>0.95</v>
          </cell>
          <cell r="AY1120" t="str">
            <v/>
          </cell>
          <cell r="AZ1120">
            <v>0.25</v>
          </cell>
          <cell r="BA1120">
            <v>0.25</v>
          </cell>
        </row>
        <row r="1121">
          <cell r="A1121" t="str">
            <v>FRATELLI FERRIGNO SNC</v>
          </cell>
          <cell r="D1121" t="str">
            <v>VIA CAP. NICOLA CICCO 76/80</v>
          </cell>
          <cell r="E1121" t="str">
            <v>76123</v>
          </cell>
          <cell r="F1121" t="str">
            <v>ANDRIA</v>
          </cell>
          <cell r="G1121" t="str">
            <v>BT</v>
          </cell>
          <cell r="H1121" t="str">
            <v>ITALIA</v>
          </cell>
          <cell r="J1121" t="str">
            <v>07553550729</v>
          </cell>
          <cell r="M1121" t="str">
            <v>UFFICIO ACQUISTI</v>
          </cell>
          <cell r="N1121" t="str">
            <v>0883 546117</v>
          </cell>
          <cell r="O1121" t="str">
            <v>340 5986308 - 329 7236416</v>
          </cell>
          <cell r="P1121" t="str">
            <v>info@ferrignoserramenti.it</v>
          </cell>
          <cell r="R1121" t="str">
            <v>BONIFICO BANCARIO, ALLA DATA DELLA NOSTRA CONFERMA D'ORDINE</v>
          </cell>
          <cell r="X1121">
            <v>0.25</v>
          </cell>
          <cell r="Y1121">
            <v>-0.04</v>
          </cell>
          <cell r="AB1121">
            <v>0.25</v>
          </cell>
          <cell r="AC1121">
            <v>0.25</v>
          </cell>
          <cell r="AD1121">
            <v>0.25</v>
          </cell>
          <cell r="AE1121">
            <v>0.25</v>
          </cell>
          <cell r="AF1121">
            <v>0.25</v>
          </cell>
          <cell r="AG1121">
            <v>0.25</v>
          </cell>
          <cell r="AH1121">
            <v>0.25</v>
          </cell>
          <cell r="AI1121">
            <v>0.25</v>
          </cell>
          <cell r="AJ1121">
            <v>0.25</v>
          </cell>
          <cell r="AK1121">
            <v>0.25</v>
          </cell>
          <cell r="AL1121">
            <v>0.25</v>
          </cell>
          <cell r="AM1121">
            <v>0.25</v>
          </cell>
          <cell r="AN1121">
            <v>0.25</v>
          </cell>
          <cell r="AO1121">
            <v>0.25</v>
          </cell>
          <cell r="AP1121">
            <v>0.25</v>
          </cell>
          <cell r="AQ1121">
            <v>0.25</v>
          </cell>
          <cell r="AR1121">
            <v>0.25</v>
          </cell>
          <cell r="AS1121">
            <v>0.25</v>
          </cell>
          <cell r="AT1121">
            <v>-0.04</v>
          </cell>
          <cell r="AU1121">
            <v>0.92</v>
          </cell>
          <cell r="AV1121">
            <v>20</v>
          </cell>
          <cell r="AY1121" t="str">
            <v/>
          </cell>
          <cell r="AZ1121">
            <v>0.25</v>
          </cell>
          <cell r="BA1121">
            <v>0.25</v>
          </cell>
        </row>
        <row r="1122">
          <cell r="A1122" t="str">
            <v>FRATELLI FILIPPI SNC</v>
          </cell>
          <cell r="D1122" t="str">
            <v>VIA G. E S CABOTO 23</v>
          </cell>
          <cell r="E1122" t="str">
            <v xml:space="preserve">34147 </v>
          </cell>
          <cell r="F1122" t="str">
            <v>TRIESTE</v>
          </cell>
          <cell r="G1122" t="str">
            <v>TS</v>
          </cell>
          <cell r="H1122" t="str">
            <v>ITALIA</v>
          </cell>
          <cell r="J1122" t="str">
            <v>00858390321</v>
          </cell>
          <cell r="M1122" t="str">
            <v>UFFICIO ACQUISTI</v>
          </cell>
          <cell r="N1122" t="str">
            <v>040 8438001</v>
          </cell>
          <cell r="P1122" t="str">
            <v>roberto@fratellifilippi.it</v>
          </cell>
          <cell r="R1122" t="str">
            <v>BONIFICO BANCARIO, ALLA DATA DELLA NOSTRA CONFERMA D'ORDINE</v>
          </cell>
          <cell r="X1122">
            <v>0.25</v>
          </cell>
          <cell r="Y1122">
            <v>-0.04</v>
          </cell>
          <cell r="AB1122">
            <v>0.25</v>
          </cell>
          <cell r="AC1122">
            <v>0.25</v>
          </cell>
          <cell r="AD1122">
            <v>0.25</v>
          </cell>
          <cell r="AE1122">
            <v>0.25</v>
          </cell>
          <cell r="AF1122">
            <v>0.25</v>
          </cell>
          <cell r="AG1122">
            <v>0.25</v>
          </cell>
          <cell r="AH1122">
            <v>0.25</v>
          </cell>
          <cell r="AI1122">
            <v>0.25</v>
          </cell>
          <cell r="AJ1122">
            <v>0.25</v>
          </cell>
          <cell r="AK1122">
            <v>0.25</v>
          </cell>
          <cell r="AL1122">
            <v>0.25</v>
          </cell>
          <cell r="AM1122">
            <v>0.25</v>
          </cell>
          <cell r="AN1122">
            <v>0.25</v>
          </cell>
          <cell r="AO1122">
            <v>0.25</v>
          </cell>
          <cell r="AP1122">
            <v>0.25</v>
          </cell>
          <cell r="AQ1122">
            <v>0.25</v>
          </cell>
          <cell r="AR1122">
            <v>0.25</v>
          </cell>
          <cell r="AS1122">
            <v>0.25</v>
          </cell>
          <cell r="AT1122">
            <v>-0.04</v>
          </cell>
          <cell r="AU1122">
            <v>0.92</v>
          </cell>
          <cell r="AV1122">
            <v>20</v>
          </cell>
          <cell r="AY1122" t="str">
            <v/>
          </cell>
          <cell r="AZ1122">
            <v>0.25</v>
          </cell>
          <cell r="BA1122">
            <v>0.25</v>
          </cell>
        </row>
        <row r="1123">
          <cell r="A1123" t="str">
            <v>FRATELLI GALLI SRL</v>
          </cell>
          <cell r="D1123" t="str">
            <v>VIA FORNACI, 6</v>
          </cell>
          <cell r="E1123">
            <v>38068</v>
          </cell>
          <cell r="F1123" t="str">
            <v>ROVERETO</v>
          </cell>
          <cell r="G1123" t="str">
            <v>TN</v>
          </cell>
          <cell r="H1123" t="str">
            <v>ITALIA</v>
          </cell>
          <cell r="I1123" t="str">
            <v>00338760226</v>
          </cell>
          <cell r="J1123" t="str">
            <v>00338760226</v>
          </cell>
          <cell r="M1123" t="str">
            <v>UFFICIO ACQUISTI</v>
          </cell>
          <cell r="N1123" t="str">
            <v>0464 432364</v>
          </cell>
          <cell r="P1123" t="str">
            <v>info@fratelligalli.eu - amministrazione@fratelligalli.eu - tecnico@fratelligalli.eu</v>
          </cell>
          <cell r="R1123" t="str">
            <v>BONIFICO BANCARIO, ALLA DATA DELLA NOSTRA CONFERMA D'ORDINE</v>
          </cell>
          <cell r="X1123">
            <v>0.25</v>
          </cell>
          <cell r="Y1123">
            <v>-0.04</v>
          </cell>
          <cell r="AB1123">
            <v>0.25</v>
          </cell>
          <cell r="AC1123">
            <v>0.25</v>
          </cell>
          <cell r="AD1123">
            <v>0.25</v>
          </cell>
          <cell r="AE1123">
            <v>0.25</v>
          </cell>
          <cell r="AF1123">
            <v>0.25</v>
          </cell>
          <cell r="AG1123">
            <v>0.25</v>
          </cell>
          <cell r="AH1123">
            <v>0.25</v>
          </cell>
          <cell r="AI1123">
            <v>0.25</v>
          </cell>
          <cell r="AJ1123">
            <v>0.25</v>
          </cell>
          <cell r="AK1123">
            <v>0.25</v>
          </cell>
          <cell r="AL1123">
            <v>0.25</v>
          </cell>
          <cell r="AM1123">
            <v>0.25</v>
          </cell>
          <cell r="AN1123">
            <v>0.25</v>
          </cell>
          <cell r="AO1123">
            <v>0.25</v>
          </cell>
          <cell r="AP1123">
            <v>0.25</v>
          </cell>
          <cell r="AQ1123">
            <v>0.25</v>
          </cell>
          <cell r="AR1123">
            <v>0.25</v>
          </cell>
          <cell r="AS1123">
            <v>0.25</v>
          </cell>
          <cell r="AT1123">
            <v>-0.04</v>
          </cell>
          <cell r="AU1123">
            <v>0.92</v>
          </cell>
          <cell r="AV1123">
            <v>20</v>
          </cell>
          <cell r="AY1123" t="str">
            <v/>
          </cell>
          <cell r="AZ1123">
            <v>0.25</v>
          </cell>
          <cell r="BA1123">
            <v>0.25</v>
          </cell>
        </row>
        <row r="1124">
          <cell r="A1124" t="str">
            <v>FRATELLI GIUFFRE'</v>
          </cell>
          <cell r="D1124" t="str">
            <v>C.SO NOVARA, 162 7</v>
          </cell>
          <cell r="E1124">
            <v>27029</v>
          </cell>
          <cell r="F1124" t="str">
            <v>VIGEVANO</v>
          </cell>
          <cell r="G1124" t="str">
            <v>PV</v>
          </cell>
          <cell r="H1124" t="str">
            <v>ITALIA</v>
          </cell>
          <cell r="J1124" t="str">
            <v>02733620187</v>
          </cell>
          <cell r="M1124" t="str">
            <v>UFFICIO ACQUISTI</v>
          </cell>
          <cell r="N1124" t="str">
            <v>0381 20815</v>
          </cell>
          <cell r="O1124" t="str">
            <v>333 4761675 Paolo - 333 9155841 Laura</v>
          </cell>
          <cell r="P1124" t="str">
            <v>info@fratelligiuffre.it</v>
          </cell>
          <cell r="R1124" t="str">
            <v>BONIFICO BANCARIO, ALLA DATA DELLA NOSTRA CONFERMA D'ORDINE</v>
          </cell>
          <cell r="X1124">
            <v>0.25</v>
          </cell>
          <cell r="Y1124">
            <v>-0.04</v>
          </cell>
          <cell r="AB1124">
            <v>0.25</v>
          </cell>
          <cell r="AC1124">
            <v>0.25</v>
          </cell>
          <cell r="AD1124">
            <v>0.25</v>
          </cell>
          <cell r="AE1124">
            <v>0.25</v>
          </cell>
          <cell r="AF1124">
            <v>0.25</v>
          </cell>
          <cell r="AG1124">
            <v>0.25</v>
          </cell>
          <cell r="AH1124">
            <v>0.25</v>
          </cell>
          <cell r="AI1124">
            <v>0.25</v>
          </cell>
          <cell r="AJ1124">
            <v>0.25</v>
          </cell>
          <cell r="AK1124">
            <v>0.25</v>
          </cell>
          <cell r="AL1124">
            <v>0.25</v>
          </cell>
          <cell r="AM1124">
            <v>0.25</v>
          </cell>
          <cell r="AN1124">
            <v>0.25</v>
          </cell>
          <cell r="AO1124">
            <v>0.25</v>
          </cell>
          <cell r="AP1124">
            <v>0.25</v>
          </cell>
          <cell r="AQ1124">
            <v>0.25</v>
          </cell>
          <cell r="AR1124">
            <v>0.25</v>
          </cell>
          <cell r="AS1124">
            <v>0.25</v>
          </cell>
          <cell r="AT1124">
            <v>-0.04</v>
          </cell>
          <cell r="AU1124">
            <v>0.92</v>
          </cell>
          <cell r="AV1124">
            <v>20</v>
          </cell>
          <cell r="AY1124" t="str">
            <v/>
          </cell>
          <cell r="AZ1124">
            <v>0.25</v>
          </cell>
          <cell r="BA1124">
            <v>0.25</v>
          </cell>
        </row>
        <row r="1125">
          <cell r="A1125" t="str">
            <v xml:space="preserve">FRATELLI PELOSO </v>
          </cell>
          <cell r="B1125" t="str">
            <v>MARTINA FIGLIA</v>
          </cell>
          <cell r="D1125" t="str">
            <v>VIA PONTE POLCEVERA,  8 13 A</v>
          </cell>
          <cell r="E1125" t="str">
            <v>16161</v>
          </cell>
          <cell r="F1125" t="str">
            <v>RIVAROLO</v>
          </cell>
          <cell r="G1125" t="str">
            <v>GE</v>
          </cell>
          <cell r="H1125" t="str">
            <v>ITALIA</v>
          </cell>
          <cell r="J1125" t="str">
            <v>01429400995</v>
          </cell>
          <cell r="M1125" t="str">
            <v>UFFICIO ACQUISTI</v>
          </cell>
          <cell r="N1125" t="str">
            <v>010 7492342</v>
          </cell>
          <cell r="P1125" t="str">
            <v>info@fratellipeloso.com</v>
          </cell>
          <cell r="R1125" t="str">
            <v>BONIFICO BANCARIO, ALLA DATA DELLA NOSTRA CONFERMA D'ORDINE</v>
          </cell>
          <cell r="X1125">
            <v>0.2</v>
          </cell>
          <cell r="Y1125">
            <v>-0.04</v>
          </cell>
          <cell r="AB1125">
            <v>0.2</v>
          </cell>
          <cell r="AC1125">
            <v>0.2</v>
          </cell>
          <cell r="AD1125">
            <v>0.2</v>
          </cell>
          <cell r="AE1125">
            <v>0.2</v>
          </cell>
          <cell r="AF1125">
            <v>0.2</v>
          </cell>
          <cell r="AG1125">
            <v>0.2</v>
          </cell>
          <cell r="AH1125">
            <v>0.2</v>
          </cell>
          <cell r="AI1125">
            <v>0.2</v>
          </cell>
          <cell r="AJ1125">
            <v>0.2</v>
          </cell>
          <cell r="AK1125">
            <v>0.2</v>
          </cell>
          <cell r="AL1125">
            <v>0.2</v>
          </cell>
          <cell r="AM1125">
            <v>0.2</v>
          </cell>
          <cell r="AN1125">
            <v>0.2</v>
          </cell>
          <cell r="AO1125">
            <v>0.2</v>
          </cell>
          <cell r="AP1125">
            <v>0.2</v>
          </cell>
          <cell r="AQ1125">
            <v>0.2</v>
          </cell>
          <cell r="AR1125">
            <v>0.2</v>
          </cell>
          <cell r="AS1125">
            <v>0.2</v>
          </cell>
          <cell r="AT1125">
            <v>-0.04</v>
          </cell>
          <cell r="AU1125">
            <v>0.92</v>
          </cell>
          <cell r="AV1125">
            <v>20</v>
          </cell>
          <cell r="AZ1125">
            <v>0.2</v>
          </cell>
          <cell r="BA1125">
            <v>0.2</v>
          </cell>
        </row>
        <row r="1126">
          <cell r="A1126" t="str">
            <v>FRATELLI RANGHETTI SNC</v>
          </cell>
          <cell r="D1126" t="str">
            <v>VIA DON L MILANI, 14</v>
          </cell>
          <cell r="E1126" t="str">
            <v>24050</v>
          </cell>
          <cell r="F1126" t="str">
            <v>CIVIDATE AL PIANO</v>
          </cell>
          <cell r="G1126" t="str">
            <v>BG</v>
          </cell>
          <cell r="H1126" t="str">
            <v>ITALIA</v>
          </cell>
          <cell r="J1126" t="str">
            <v>00609410162</v>
          </cell>
          <cell r="K1126" t="str">
            <v>USAL8PV</v>
          </cell>
          <cell r="M1126" t="str">
            <v>UFFICIO ACQUISTI</v>
          </cell>
          <cell r="N1126" t="str">
            <v>0363 97118</v>
          </cell>
          <cell r="P1126" t="str">
            <v>fratelliranghettisnc@gmail.com</v>
          </cell>
          <cell r="R1126" t="str">
            <v>BONIFICO BANCARIO, ALLA DATA DELLA NOSTRA CONFERMA D'ORDINE</v>
          </cell>
          <cell r="Y1126">
            <v>-0.04</v>
          </cell>
          <cell r="AT1126">
            <v>-0.04</v>
          </cell>
          <cell r="AV1126">
            <v>20</v>
          </cell>
          <cell r="AZ1126">
            <v>0</v>
          </cell>
          <cell r="BA1126">
            <v>0</v>
          </cell>
        </row>
        <row r="1127">
          <cell r="A1127" t="str">
            <v xml:space="preserve">FRATELLI SALSA </v>
          </cell>
          <cell r="D1127" t="str">
            <v>VIA PARTIGIANI 15</v>
          </cell>
          <cell r="E1127" t="str">
            <v xml:space="preserve">28047 </v>
          </cell>
          <cell r="F1127" t="str">
            <v>OLEGGIO</v>
          </cell>
          <cell r="G1127" t="str">
            <v>NO</v>
          </cell>
          <cell r="H1127" t="str">
            <v>ITALIA</v>
          </cell>
          <cell r="M1127" t="str">
            <v>UFFICIO ACQUISTI</v>
          </cell>
          <cell r="N1127" t="str">
            <v>0321 91488</v>
          </cell>
          <cell r="P1127" t="str">
            <v>stefano@fratellisalsa.it</v>
          </cell>
          <cell r="R1127" t="str">
            <v>BONIFICO BANCARIO, ALLA DATA DELLA NOSTRA CONFERMA D'ORDINE</v>
          </cell>
          <cell r="X1127">
            <v>0.25</v>
          </cell>
          <cell r="Y1127">
            <v>-0.04</v>
          </cell>
          <cell r="AB1127">
            <v>0.25</v>
          </cell>
          <cell r="AC1127">
            <v>0.25</v>
          </cell>
          <cell r="AD1127">
            <v>0.25</v>
          </cell>
          <cell r="AE1127">
            <v>0.25</v>
          </cell>
          <cell r="AF1127">
            <v>0.25</v>
          </cell>
          <cell r="AG1127">
            <v>0.25</v>
          </cell>
          <cell r="AH1127">
            <v>0.25</v>
          </cell>
          <cell r="AI1127">
            <v>0.25</v>
          </cell>
          <cell r="AJ1127">
            <v>0.25</v>
          </cell>
          <cell r="AK1127">
            <v>0.25</v>
          </cell>
          <cell r="AL1127">
            <v>0.25</v>
          </cell>
          <cell r="AM1127">
            <v>0.25</v>
          </cell>
          <cell r="AN1127">
            <v>0.25</v>
          </cell>
          <cell r="AO1127">
            <v>0.25</v>
          </cell>
          <cell r="AP1127">
            <v>0.25</v>
          </cell>
          <cell r="AQ1127">
            <v>0.25</v>
          </cell>
          <cell r="AR1127">
            <v>0.25</v>
          </cell>
          <cell r="AS1127">
            <v>0.25</v>
          </cell>
          <cell r="AT1127">
            <v>-0.04</v>
          </cell>
          <cell r="AU1127">
            <v>0.92</v>
          </cell>
          <cell r="AV1127">
            <v>20</v>
          </cell>
          <cell r="AY1127" t="str">
            <v/>
          </cell>
          <cell r="AZ1127">
            <v>0.25</v>
          </cell>
          <cell r="BA1127">
            <v>0.25</v>
          </cell>
        </row>
        <row r="1128">
          <cell r="A1128" t="str">
            <v>FRATELLI SALVADOR</v>
          </cell>
          <cell r="B1128" t="str">
            <v>POTREBBERO ESSERE INTERESSATI</v>
          </cell>
          <cell r="D1128" t="str">
            <v>VIA AGORDINA, 62 A</v>
          </cell>
          <cell r="E1128" t="str">
            <v>32036</v>
          </cell>
          <cell r="F1128" t="str">
            <v>SEDICO</v>
          </cell>
          <cell r="G1128" t="str">
            <v>BL</v>
          </cell>
          <cell r="H1128" t="str">
            <v>ITALIA</v>
          </cell>
          <cell r="J1128" t="str">
            <v>00298380254</v>
          </cell>
          <cell r="K1128" t="str">
            <v>UNI0WOG</v>
          </cell>
          <cell r="M1128" t="str">
            <v>UFFICIO ACQUISTI</v>
          </cell>
          <cell r="N1128" t="str">
            <v>0437 838539</v>
          </cell>
          <cell r="P1128" t="str">
            <v>info@falegnameriasalvador.com</v>
          </cell>
          <cell r="R1128" t="str">
            <v>BONIFICO BANCARIO, ALLA DATA DELLA NOSTRA CONFERMA D'ORDINE</v>
          </cell>
          <cell r="X1128">
            <v>0</v>
          </cell>
          <cell r="Y1128">
            <v>-0.04</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-0.04</v>
          </cell>
          <cell r="AU1128">
            <v>0.92</v>
          </cell>
          <cell r="AV1128">
            <v>20</v>
          </cell>
          <cell r="AZ1128">
            <v>0</v>
          </cell>
          <cell r="BA1128">
            <v>0</v>
          </cell>
        </row>
        <row r="1129">
          <cell r="A1129" t="str">
            <v>FRIUL AL SRL</v>
          </cell>
          <cell r="B1129" t="str">
            <v>SIG. FABBRO TITOLARE</v>
          </cell>
          <cell r="D1129" t="str">
            <v>VIA PALUDO, 2 - BUERIIS</v>
          </cell>
          <cell r="E1129" t="str">
            <v>33010</v>
          </cell>
          <cell r="F1129" t="str">
            <v>MAGNANO IN RIVIERA</v>
          </cell>
          <cell r="G1129" t="str">
            <v>UD</v>
          </cell>
          <cell r="H1129" t="str">
            <v>ITALIA</v>
          </cell>
          <cell r="J1129" t="str">
            <v>00650830300</v>
          </cell>
          <cell r="M1129" t="str">
            <v>UFFICIO ACQUISTI</v>
          </cell>
          <cell r="N1129" t="str">
            <v>0432 792014</v>
          </cell>
          <cell r="P1129" t="str">
            <v>info@friulal.com</v>
          </cell>
          <cell r="R1129" t="str">
            <v>BONIFICO BANCARIO, ALLA DATA DELLA NOSTRA CONFERMA D'ORDINE</v>
          </cell>
          <cell r="X1129">
            <v>0.25</v>
          </cell>
          <cell r="Y1129">
            <v>-0.04</v>
          </cell>
          <cell r="AB1129">
            <v>0.25</v>
          </cell>
          <cell r="AC1129">
            <v>0.25</v>
          </cell>
          <cell r="AD1129">
            <v>0.25</v>
          </cell>
          <cell r="AE1129">
            <v>0.25</v>
          </cell>
          <cell r="AF1129">
            <v>0.25</v>
          </cell>
          <cell r="AG1129">
            <v>0.25</v>
          </cell>
          <cell r="AH1129">
            <v>0.25</v>
          </cell>
          <cell r="AI1129">
            <v>0.25</v>
          </cell>
          <cell r="AJ1129">
            <v>0.25</v>
          </cell>
          <cell r="AK1129">
            <v>0.25</v>
          </cell>
          <cell r="AL1129">
            <v>0.25</v>
          </cell>
          <cell r="AM1129">
            <v>0.25</v>
          </cell>
          <cell r="AN1129">
            <v>0.25</v>
          </cell>
          <cell r="AO1129">
            <v>0.25</v>
          </cell>
          <cell r="AP1129">
            <v>0.25</v>
          </cell>
          <cell r="AQ1129">
            <v>0.25</v>
          </cell>
          <cell r="AR1129">
            <v>0.25</v>
          </cell>
          <cell r="AS1129">
            <v>0.25</v>
          </cell>
          <cell r="AT1129">
            <v>-0.04</v>
          </cell>
          <cell r="AU1129">
            <v>0.92</v>
          </cell>
          <cell r="AV1129">
            <v>20</v>
          </cell>
          <cell r="AY1129" t="str">
            <v/>
          </cell>
          <cell r="AZ1129">
            <v>0.25</v>
          </cell>
          <cell r="BA1129">
            <v>0.25</v>
          </cell>
        </row>
        <row r="1130">
          <cell r="A1130" t="str">
            <v>FRUGERI DANILO SRL</v>
          </cell>
          <cell r="D1130" t="str">
            <v>VIA L.DA VINCI, 40</v>
          </cell>
          <cell r="E1130" t="str">
            <v>41015</v>
          </cell>
          <cell r="F1130" t="str">
            <v>NONANTOLA</v>
          </cell>
          <cell r="G1130" t="str">
            <v>MO</v>
          </cell>
          <cell r="H1130" t="str">
            <v>ITALIA</v>
          </cell>
          <cell r="J1130" t="str">
            <v>02822720369</v>
          </cell>
          <cell r="M1130" t="str">
            <v>UFFICIO ACQUISTI</v>
          </cell>
          <cell r="N1130" t="str">
            <v>059 549338</v>
          </cell>
          <cell r="P1130" t="str">
            <v>info@frugeridanilo.it</v>
          </cell>
          <cell r="R1130" t="str">
            <v>BONIFICO BANCARIO, ALLA DATA DELLA NOSTRA CONFERMA D'ORDINE</v>
          </cell>
          <cell r="X1130">
            <v>0.1</v>
          </cell>
          <cell r="Y1130">
            <v>-0.04</v>
          </cell>
          <cell r="AB1130">
            <v>0.1</v>
          </cell>
          <cell r="AC1130">
            <v>0.1</v>
          </cell>
          <cell r="AD1130">
            <v>0.1</v>
          </cell>
          <cell r="AE1130">
            <v>0.1</v>
          </cell>
          <cell r="AF1130">
            <v>0.1</v>
          </cell>
          <cell r="AG1130">
            <v>0.1</v>
          </cell>
          <cell r="AH1130">
            <v>0.1</v>
          </cell>
          <cell r="AI1130">
            <v>0.1</v>
          </cell>
          <cell r="AJ1130">
            <v>0.1</v>
          </cell>
          <cell r="AK1130">
            <v>0.1</v>
          </cell>
          <cell r="AL1130">
            <v>0.1</v>
          </cell>
          <cell r="AM1130">
            <v>0.1</v>
          </cell>
          <cell r="AN1130">
            <v>0.1</v>
          </cell>
          <cell r="AO1130">
            <v>0.1</v>
          </cell>
          <cell r="AP1130">
            <v>0.1</v>
          </cell>
          <cell r="AQ1130">
            <v>0.1</v>
          </cell>
          <cell r="AR1130">
            <v>0.1</v>
          </cell>
          <cell r="AS1130">
            <v>0.1</v>
          </cell>
          <cell r="AT1130">
            <v>-0.04</v>
          </cell>
          <cell r="AU1130">
            <v>0.9</v>
          </cell>
          <cell r="AV1130">
            <v>20</v>
          </cell>
          <cell r="AZ1130">
            <v>0.1</v>
          </cell>
          <cell r="BA1130">
            <v>0.1</v>
          </cell>
        </row>
        <row r="1131">
          <cell r="A1131" t="str">
            <v>FRONTERA ALFONSO IL FABBRO</v>
          </cell>
          <cell r="D1131" t="str">
            <v>VIA MOLINO VICO ZOARO, 1  B</v>
          </cell>
          <cell r="E1131">
            <v>42023</v>
          </cell>
          <cell r="F1131" t="str">
            <v>CADELBOSCO DI SOPRA</v>
          </cell>
          <cell r="G1131" t="str">
            <v>RE</v>
          </cell>
          <cell r="H1131" t="str">
            <v>ITALIA</v>
          </cell>
          <cell r="J1131" t="str">
            <v>01897400352</v>
          </cell>
          <cell r="M1131" t="str">
            <v>UFFICIO ACQUISTI</v>
          </cell>
          <cell r="N1131" t="str">
            <v>0522 917907</v>
          </cell>
          <cell r="O1131" t="str">
            <v>339 4887782</v>
          </cell>
          <cell r="P1131" t="str">
            <v>info@fronterailfabbro.it</v>
          </cell>
          <cell r="R1131" t="str">
            <v>BONIFICO BANCARIO, ALLA DATA DELLA NOSTRA CONFERMA D'ORDINE</v>
          </cell>
          <cell r="X1131">
            <v>0.25</v>
          </cell>
          <cell r="Y1131">
            <v>-0.04</v>
          </cell>
          <cell r="AB1131">
            <v>0.25</v>
          </cell>
          <cell r="AC1131">
            <v>0.25</v>
          </cell>
          <cell r="AD1131">
            <v>0.25</v>
          </cell>
          <cell r="AE1131">
            <v>0.25</v>
          </cell>
          <cell r="AF1131">
            <v>0.25</v>
          </cell>
          <cell r="AG1131">
            <v>0.25</v>
          </cell>
          <cell r="AH1131">
            <v>0.25</v>
          </cell>
          <cell r="AI1131">
            <v>0.25</v>
          </cell>
          <cell r="AJ1131">
            <v>0.25</v>
          </cell>
          <cell r="AK1131">
            <v>0.25</v>
          </cell>
          <cell r="AL1131">
            <v>0.25</v>
          </cell>
          <cell r="AM1131">
            <v>0.25</v>
          </cell>
          <cell r="AN1131">
            <v>0.25</v>
          </cell>
          <cell r="AO1131">
            <v>0.25</v>
          </cell>
          <cell r="AP1131">
            <v>0.25</v>
          </cell>
          <cell r="AQ1131">
            <v>0.25</v>
          </cell>
          <cell r="AR1131">
            <v>0.25</v>
          </cell>
          <cell r="AS1131">
            <v>0.25</v>
          </cell>
          <cell r="AT1131">
            <v>-0.04</v>
          </cell>
          <cell r="AV1131">
            <v>20</v>
          </cell>
          <cell r="AZ1131">
            <v>0.25</v>
          </cell>
          <cell r="BA1131">
            <v>0.25</v>
          </cell>
        </row>
        <row r="1132">
          <cell r="A1132" t="str">
            <v>FS FANTASTICO SERRAMENTI</v>
          </cell>
          <cell r="D1132" t="str">
            <v>VIA MARIANO RICCIO, 16</v>
          </cell>
          <cell r="E1132">
            <v>98123</v>
          </cell>
          <cell r="F1132" t="str">
            <v>MESSINA</v>
          </cell>
          <cell r="G1132" t="str">
            <v>ME</v>
          </cell>
          <cell r="H1132" t="str">
            <v>ITALIA</v>
          </cell>
          <cell r="M1132" t="str">
            <v>UFFICIO ACQUISTI</v>
          </cell>
          <cell r="N1132" t="str">
            <v>090 2404605</v>
          </cell>
          <cell r="O1132" t="str">
            <v>335 1047335</v>
          </cell>
          <cell r="P1132" t="str">
            <v>fantasticoserramenti@hotmail.it</v>
          </cell>
          <cell r="R1132" t="str">
            <v>BONIFICO BANCARIO, ALLA DATA DELLA NOSTRA CONFERMA D'ORDINE</v>
          </cell>
          <cell r="X1132">
            <v>0.25</v>
          </cell>
          <cell r="Y1132">
            <v>-0.04</v>
          </cell>
          <cell r="AB1132">
            <v>0.25</v>
          </cell>
          <cell r="AC1132">
            <v>0.25</v>
          </cell>
          <cell r="AD1132">
            <v>0.25</v>
          </cell>
          <cell r="AE1132">
            <v>0.25</v>
          </cell>
          <cell r="AF1132">
            <v>0.25</v>
          </cell>
          <cell r="AG1132">
            <v>0.25</v>
          </cell>
          <cell r="AH1132">
            <v>0.25</v>
          </cell>
          <cell r="AI1132">
            <v>0.25</v>
          </cell>
          <cell r="AJ1132">
            <v>0.25</v>
          </cell>
          <cell r="AK1132">
            <v>0.25</v>
          </cell>
          <cell r="AL1132">
            <v>0.25</v>
          </cell>
          <cell r="AM1132">
            <v>0.25</v>
          </cell>
          <cell r="AN1132">
            <v>0.25</v>
          </cell>
          <cell r="AO1132">
            <v>0.25</v>
          </cell>
          <cell r="AP1132">
            <v>0.25</v>
          </cell>
          <cell r="AQ1132">
            <v>0.25</v>
          </cell>
          <cell r="AR1132">
            <v>0.25</v>
          </cell>
          <cell r="AS1132">
            <v>0.25</v>
          </cell>
          <cell r="AT1132">
            <v>-0.04</v>
          </cell>
          <cell r="AU1132">
            <v>0.92</v>
          </cell>
          <cell r="AV1132">
            <v>20</v>
          </cell>
          <cell r="AY1132" t="str">
            <v/>
          </cell>
          <cell r="AZ1132">
            <v>0.25</v>
          </cell>
          <cell r="BA1132">
            <v>0.25</v>
          </cell>
        </row>
        <row r="1133">
          <cell r="A1133" t="str">
            <v>FSC METALLI SRLS</v>
          </cell>
          <cell r="D1133" t="str">
            <v>VIA ASSISI, 21</v>
          </cell>
          <cell r="E1133" t="str">
            <v>00048</v>
          </cell>
          <cell r="F1133" t="str">
            <v>NETTUNO</v>
          </cell>
          <cell r="G1133" t="str">
            <v>RM</v>
          </cell>
          <cell r="H1133" t="str">
            <v>ITALIA</v>
          </cell>
          <cell r="J1133" t="str">
            <v>15535341000</v>
          </cell>
          <cell r="K1133" t="str">
            <v>M5UXCR1</v>
          </cell>
          <cell r="M1133" t="str">
            <v>UFFICIO ACQUISTI</v>
          </cell>
          <cell r="O1133" t="str">
            <v>328 3161855 NICODEMO FUSCALDO</v>
          </cell>
          <cell r="P1133" t="str">
            <v>info@fscmetalli.it</v>
          </cell>
          <cell r="R1133" t="str">
            <v>BONIFICO BANCARIO, ALLA DATA DELLA NOSTRA CONFERMA D'ORDINE</v>
          </cell>
          <cell r="X1133">
            <v>0.2</v>
          </cell>
          <cell r="AB1133">
            <v>0.2</v>
          </cell>
          <cell r="AC1133">
            <v>0.2</v>
          </cell>
          <cell r="AD1133">
            <v>0.2</v>
          </cell>
          <cell r="AE1133">
            <v>0.2</v>
          </cell>
          <cell r="AF1133">
            <v>0.2</v>
          </cell>
          <cell r="AG1133">
            <v>0.2</v>
          </cell>
          <cell r="AH1133">
            <v>0.2</v>
          </cell>
          <cell r="AI1133">
            <v>0.2</v>
          </cell>
          <cell r="AJ1133">
            <v>0.2</v>
          </cell>
          <cell r="AK1133">
            <v>0.2</v>
          </cell>
          <cell r="AL1133">
            <v>0.2</v>
          </cell>
          <cell r="AM1133">
            <v>0.2</v>
          </cell>
          <cell r="AN1133">
            <v>0.2</v>
          </cell>
          <cell r="AO1133">
            <v>0.2</v>
          </cell>
          <cell r="AP1133">
            <v>0.2</v>
          </cell>
          <cell r="AQ1133">
            <v>0.2</v>
          </cell>
          <cell r="AR1133">
            <v>0.2</v>
          </cell>
          <cell r="AS1133">
            <v>0.2</v>
          </cell>
          <cell r="AU1133">
            <v>0.88</v>
          </cell>
          <cell r="AV1133">
            <v>20</v>
          </cell>
          <cell r="AZ1133">
            <v>0.2</v>
          </cell>
          <cell r="BA1133">
            <v>0.2</v>
          </cell>
        </row>
        <row r="1134">
          <cell r="A1134" t="str">
            <v>FTF SERRAMENTI SNC</v>
          </cell>
          <cell r="D1134" t="str">
            <v>VIA THOMAS EDISON, 3</v>
          </cell>
          <cell r="E1134" t="str">
            <v>25013</v>
          </cell>
          <cell r="F1134" t="str">
            <v>CARPENEDOLO</v>
          </cell>
          <cell r="G1134" t="str">
            <v>BS</v>
          </cell>
          <cell r="H1134" t="str">
            <v>ITALIA</v>
          </cell>
          <cell r="M1134" t="str">
            <v>UFFICIO ACQUISTI</v>
          </cell>
          <cell r="N1134" t="str">
            <v>030 9697084</v>
          </cell>
          <cell r="O1134" t="str">
            <v>339 8045367 TRECCANI MASSIMO</v>
          </cell>
          <cell r="P1134" t="str">
            <v>info@ftfserramenti.com</v>
          </cell>
          <cell r="R1134" t="str">
            <v>BONIFICO BANCARIO, ALLA DATA DELLA NOSTRA CONFERMA D'ORDINE</v>
          </cell>
          <cell r="Y1134">
            <v>-0.04</v>
          </cell>
          <cell r="AT1134">
            <v>-0.04</v>
          </cell>
          <cell r="AV1134">
            <v>20</v>
          </cell>
          <cell r="AZ1134">
            <v>0</v>
          </cell>
          <cell r="BA1134">
            <v>0</v>
          </cell>
        </row>
        <row r="1135">
          <cell r="A1135" t="str">
            <v>FUCINA DEL FABBRO</v>
          </cell>
          <cell r="D1135" t="str">
            <v>VIA AGOSTINO NOVELLA, 7</v>
          </cell>
          <cell r="E1135" t="str">
            <v>47922</v>
          </cell>
          <cell r="F1135" t="str">
            <v>RIMINI</v>
          </cell>
          <cell r="G1135" t="str">
            <v>RN</v>
          </cell>
          <cell r="H1135" t="str">
            <v>ITALIA</v>
          </cell>
          <cell r="M1135" t="str">
            <v>UFFICIO ACQUISTI</v>
          </cell>
          <cell r="N1135" t="str">
            <v>0541 682201</v>
          </cell>
          <cell r="O1135" t="str">
            <v>328 3366479</v>
          </cell>
          <cell r="P1135" t="str">
            <v>info@fucinafabbrofabrizio.com</v>
          </cell>
          <cell r="R1135" t="str">
            <v>BONIFICO BANCARIO, ALLA DATA DELLA NOSTRA CONFERMA D'ORDINE</v>
          </cell>
          <cell r="X1135">
            <v>0.2</v>
          </cell>
          <cell r="Y1135">
            <v>-0.04</v>
          </cell>
          <cell r="AB1135">
            <v>0.2</v>
          </cell>
          <cell r="AC1135">
            <v>0.2</v>
          </cell>
          <cell r="AD1135">
            <v>0.2</v>
          </cell>
          <cell r="AE1135">
            <v>0.2</v>
          </cell>
          <cell r="AF1135">
            <v>0.2</v>
          </cell>
          <cell r="AG1135">
            <v>0.2</v>
          </cell>
          <cell r="AH1135">
            <v>0.2</v>
          </cell>
          <cell r="AI1135">
            <v>0.2</v>
          </cell>
          <cell r="AJ1135">
            <v>0.2</v>
          </cell>
          <cell r="AK1135">
            <v>0.2</v>
          </cell>
          <cell r="AL1135">
            <v>0.2</v>
          </cell>
          <cell r="AM1135">
            <v>0.2</v>
          </cell>
          <cell r="AN1135">
            <v>0.2</v>
          </cell>
          <cell r="AO1135">
            <v>0.2</v>
          </cell>
          <cell r="AP1135">
            <v>0.2</v>
          </cell>
          <cell r="AQ1135">
            <v>0.2</v>
          </cell>
          <cell r="AR1135">
            <v>0.2</v>
          </cell>
          <cell r="AS1135">
            <v>0.2</v>
          </cell>
          <cell r="AT1135">
            <v>-0.04</v>
          </cell>
          <cell r="AU1135">
            <v>0.92</v>
          </cell>
          <cell r="AV1135">
            <v>20</v>
          </cell>
          <cell r="AZ1135">
            <v>0.2</v>
          </cell>
          <cell r="BA1135">
            <v>0.2</v>
          </cell>
        </row>
        <row r="1136">
          <cell r="A1136" t="str">
            <v>FULCHERI s.n.c.</v>
          </cell>
          <cell r="D1136" t="str">
            <v>VIA SAVONA, 77</v>
          </cell>
          <cell r="E1136">
            <v>12100</v>
          </cell>
          <cell r="F1136" t="str">
            <v>CUNEO</v>
          </cell>
          <cell r="G1136" t="str">
            <v>CN</v>
          </cell>
          <cell r="H1136" t="str">
            <v>ITALIA</v>
          </cell>
          <cell r="I1136" t="str">
            <v>01875180042</v>
          </cell>
          <cell r="J1136" t="str">
            <v>01875180042</v>
          </cell>
          <cell r="M1136" t="str">
            <v>UFFICIO ACQUISTI</v>
          </cell>
          <cell r="N1136" t="str">
            <v>0171 401604</v>
          </cell>
          <cell r="P1136" t="str">
            <v>fulcheriserr@libero.it</v>
          </cell>
          <cell r="R1136" t="str">
            <v>BONIFICO BANCARIO, ALLA DATA DELLA NOSTRA CONFERMA D'ORDINE</v>
          </cell>
          <cell r="X1136">
            <v>0.25</v>
          </cell>
          <cell r="Y1136">
            <v>-0.04</v>
          </cell>
          <cell r="AB1136">
            <v>0.25</v>
          </cell>
          <cell r="AC1136">
            <v>0.25</v>
          </cell>
          <cell r="AD1136">
            <v>0.25</v>
          </cell>
          <cell r="AE1136">
            <v>0.25</v>
          </cell>
          <cell r="AF1136">
            <v>0.25</v>
          </cell>
          <cell r="AG1136">
            <v>0.25</v>
          </cell>
          <cell r="AH1136">
            <v>0.25</v>
          </cell>
          <cell r="AI1136">
            <v>0.25</v>
          </cell>
          <cell r="AJ1136">
            <v>0.25</v>
          </cell>
          <cell r="AK1136">
            <v>0.25</v>
          </cell>
          <cell r="AL1136">
            <v>0.25</v>
          </cell>
          <cell r="AM1136">
            <v>0.25</v>
          </cell>
          <cell r="AN1136">
            <v>0.25</v>
          </cell>
          <cell r="AO1136">
            <v>0.25</v>
          </cell>
          <cell r="AP1136">
            <v>0.25</v>
          </cell>
          <cell r="AQ1136">
            <v>0.25</v>
          </cell>
          <cell r="AR1136">
            <v>0.25</v>
          </cell>
          <cell r="AS1136">
            <v>0.25</v>
          </cell>
          <cell r="AT1136">
            <v>-0.04</v>
          </cell>
          <cell r="AU1136">
            <v>0.92</v>
          </cell>
          <cell r="AV1136">
            <v>20</v>
          </cell>
          <cell r="AY1136" t="str">
            <v/>
          </cell>
          <cell r="AZ1136">
            <v>0.25</v>
          </cell>
          <cell r="BA1136">
            <v>0.25</v>
          </cell>
        </row>
        <row r="1137">
          <cell r="A1137" t="str">
            <v>FUMEC SRL</v>
          </cell>
          <cell r="B1137" t="str">
            <v>ROSSI DEBORA</v>
          </cell>
          <cell r="D1137" t="str">
            <v>VIA TRANI 306</v>
          </cell>
          <cell r="E1137" t="str">
            <v>76121</v>
          </cell>
          <cell r="F1137" t="str">
            <v>BARLETTA</v>
          </cell>
          <cell r="G1137" t="str">
            <v>BT</v>
          </cell>
          <cell r="H1137" t="str">
            <v>ITALIA</v>
          </cell>
          <cell r="J1137" t="str">
            <v>07949390723</v>
          </cell>
          <cell r="M1137" t="str">
            <v>UFFICIO ACQUISTI</v>
          </cell>
          <cell r="N1137" t="str">
            <v>0883 334134</v>
          </cell>
          <cell r="P1137" t="str">
            <v>info@fumec.it</v>
          </cell>
          <cell r="R1137" t="str">
            <v>BONIFICO BANCARIO, ALLA DATA DELLA NOSTRA CONFERMA D'ORDINE</v>
          </cell>
          <cell r="X1137">
            <v>0.25</v>
          </cell>
          <cell r="Y1137">
            <v>-0.04</v>
          </cell>
          <cell r="AB1137">
            <v>0.25</v>
          </cell>
          <cell r="AC1137">
            <v>0.25</v>
          </cell>
          <cell r="AD1137">
            <v>0.25</v>
          </cell>
          <cell r="AE1137">
            <v>0.25</v>
          </cell>
          <cell r="AF1137">
            <v>0.25</v>
          </cell>
          <cell r="AG1137">
            <v>0.25</v>
          </cell>
          <cell r="AH1137">
            <v>0.25</v>
          </cell>
          <cell r="AI1137">
            <v>0.25</v>
          </cell>
          <cell r="AJ1137">
            <v>0.25</v>
          </cell>
          <cell r="AK1137">
            <v>0.25</v>
          </cell>
          <cell r="AL1137">
            <v>0.25</v>
          </cell>
          <cell r="AM1137">
            <v>0.25</v>
          </cell>
          <cell r="AN1137">
            <v>0.25</v>
          </cell>
          <cell r="AO1137">
            <v>0.25</v>
          </cell>
          <cell r="AP1137">
            <v>0.25</v>
          </cell>
          <cell r="AQ1137">
            <v>0.25</v>
          </cell>
          <cell r="AR1137">
            <v>0.25</v>
          </cell>
          <cell r="AS1137">
            <v>0.25</v>
          </cell>
          <cell r="AT1137">
            <v>-0.04</v>
          </cell>
          <cell r="AU1137">
            <v>0.92</v>
          </cell>
          <cell r="AV1137">
            <v>20</v>
          </cell>
          <cell r="AY1137" t="str">
            <v>CONTRASSEGNO corriere espresso GLS 3% (minimo 3 euro)</v>
          </cell>
          <cell r="AZ1137">
            <v>0.25</v>
          </cell>
          <cell r="BA1137">
            <v>0.25</v>
          </cell>
        </row>
        <row r="1138">
          <cell r="A1138" t="str">
            <v>FUTURA INFISSI SNC</v>
          </cell>
          <cell r="D1138" t="str">
            <v>VIA DON BURATELLI, 22</v>
          </cell>
          <cell r="E1138">
            <v>61032</v>
          </cell>
          <cell r="F1138" t="str">
            <v>FANO</v>
          </cell>
          <cell r="G1138" t="str">
            <v>PU</v>
          </cell>
          <cell r="H1138" t="str">
            <v>ITALIA</v>
          </cell>
          <cell r="J1138" t="str">
            <v>02072070416</v>
          </cell>
          <cell r="M1138" t="str">
            <v>UFFICIO ACQUISTI</v>
          </cell>
          <cell r="N1138" t="str">
            <v>0721 850225</v>
          </cell>
          <cell r="O1138" t="str">
            <v>Giovanni Giovannini 329 9446568</v>
          </cell>
          <cell r="P1138" t="str">
            <v>info@futurainfissi.it</v>
          </cell>
          <cell r="R1138" t="str">
            <v>BONIFICO BANCARIO, ALLA DATA DELLA NOSTRA CONFERMA D'ORDINE</v>
          </cell>
          <cell r="W1138" t="str">
            <v>ACQUA SALATA</v>
          </cell>
          <cell r="X1138">
            <v>0.1</v>
          </cell>
          <cell r="Y1138">
            <v>-0.04</v>
          </cell>
          <cell r="AB1138">
            <v>0.1</v>
          </cell>
          <cell r="AC1138">
            <v>0.1</v>
          </cell>
          <cell r="AD1138">
            <v>0.1</v>
          </cell>
          <cell r="AE1138">
            <v>0.1</v>
          </cell>
          <cell r="AF1138">
            <v>0.1</v>
          </cell>
          <cell r="AG1138">
            <v>0.1</v>
          </cell>
          <cell r="AH1138">
            <v>0.1</v>
          </cell>
          <cell r="AI1138">
            <v>0.1</v>
          </cell>
          <cell r="AJ1138">
            <v>0.1</v>
          </cell>
          <cell r="AK1138">
            <v>0.1</v>
          </cell>
          <cell r="AL1138">
            <v>0.1</v>
          </cell>
          <cell r="AM1138">
            <v>0.1</v>
          </cell>
          <cell r="AN1138">
            <v>0.1</v>
          </cell>
          <cell r="AO1138">
            <v>0.1</v>
          </cell>
          <cell r="AP1138">
            <v>0.1</v>
          </cell>
          <cell r="AQ1138">
            <v>0.1</v>
          </cell>
          <cell r="AR1138">
            <v>0.1</v>
          </cell>
          <cell r="AS1138">
            <v>0.1</v>
          </cell>
          <cell r="AT1138">
            <v>-0.04</v>
          </cell>
          <cell r="AU1138">
            <v>0.92</v>
          </cell>
          <cell r="AV1138">
            <v>20</v>
          </cell>
          <cell r="AZ1138">
            <v>0.1</v>
          </cell>
          <cell r="BA1138">
            <v>0.1</v>
          </cell>
        </row>
        <row r="1139">
          <cell r="A1139" t="str">
            <v>FUTURA SERRAMENTI</v>
          </cell>
          <cell r="D1139" t="str">
            <v>VIALE DELL'INDUSTRIA 4</v>
          </cell>
          <cell r="E1139" t="str">
            <v>31055</v>
          </cell>
          <cell r="F1139" t="str">
            <v>QUINTO DI TREVISO</v>
          </cell>
          <cell r="G1139" t="str">
            <v>TV</v>
          </cell>
          <cell r="H1139" t="str">
            <v>ITALIA</v>
          </cell>
          <cell r="J1139" t="str">
            <v>03730990268</v>
          </cell>
          <cell r="M1139" t="str">
            <v>UFFICIO ACQUISTI</v>
          </cell>
          <cell r="N1139" t="str">
            <v>0422 471550</v>
          </cell>
          <cell r="P1139" t="str">
            <v>info@futuraserramenti.it</v>
          </cell>
          <cell r="R1139" t="str">
            <v>BONIFICO BANCARIO, ALLA DATA DELLA NOSTRA CONFERMA D'ORDINE</v>
          </cell>
          <cell r="X1139">
            <v>0.25</v>
          </cell>
          <cell r="Y1139">
            <v>-0.04</v>
          </cell>
          <cell r="AB1139">
            <v>0.25</v>
          </cell>
          <cell r="AC1139">
            <v>0.25</v>
          </cell>
          <cell r="AD1139">
            <v>0.25</v>
          </cell>
          <cell r="AE1139">
            <v>0.25</v>
          </cell>
          <cell r="AF1139">
            <v>0.25</v>
          </cell>
          <cell r="AG1139">
            <v>0.25</v>
          </cell>
          <cell r="AH1139">
            <v>0.25</v>
          </cell>
          <cell r="AI1139">
            <v>0.25</v>
          </cell>
          <cell r="AJ1139">
            <v>0.25</v>
          </cell>
          <cell r="AK1139">
            <v>0.25</v>
          </cell>
          <cell r="AL1139">
            <v>0.25</v>
          </cell>
          <cell r="AM1139">
            <v>0.25</v>
          </cell>
          <cell r="AN1139">
            <v>0.25</v>
          </cell>
          <cell r="AO1139">
            <v>0.25</v>
          </cell>
          <cell r="AP1139">
            <v>0.25</v>
          </cell>
          <cell r="AQ1139">
            <v>0.25</v>
          </cell>
          <cell r="AR1139">
            <v>0.25</v>
          </cell>
          <cell r="AS1139">
            <v>0.25</v>
          </cell>
          <cell r="AT1139">
            <v>-0.04</v>
          </cell>
          <cell r="AU1139">
            <v>0.92</v>
          </cell>
          <cell r="AV1139">
            <v>20</v>
          </cell>
          <cell r="AZ1139">
            <v>0.25</v>
          </cell>
          <cell r="BA1139">
            <v>0.25</v>
          </cell>
        </row>
        <row r="1140">
          <cell r="A1140" t="str">
            <v xml:space="preserve">FUTURALL </v>
          </cell>
          <cell r="D1140" t="str">
            <v>VIA SANTA MARIA DI CAMPAGNATE, 14</v>
          </cell>
          <cell r="E1140">
            <v>13900</v>
          </cell>
          <cell r="F1140" t="str">
            <v>BIELLA</v>
          </cell>
          <cell r="G1140" t="str">
            <v>BI</v>
          </cell>
          <cell r="H1140" t="str">
            <v>ITALIA</v>
          </cell>
          <cell r="I1140" t="str">
            <v>02389430022</v>
          </cell>
          <cell r="J1140" t="str">
            <v>02389430022</v>
          </cell>
          <cell r="M1140" t="str">
            <v>UFFICIO ACQUISTI</v>
          </cell>
          <cell r="N1140" t="str">
            <v>015 94791</v>
          </cell>
          <cell r="P1140" t="str">
            <v>info@futurall.it</v>
          </cell>
          <cell r="R1140" t="str">
            <v>BONIFICO BANCARIO, ALLA DATA DELLA NOSTRA CONFERMA D'ORDINE</v>
          </cell>
          <cell r="X1140">
            <v>0.25</v>
          </cell>
          <cell r="Y1140">
            <v>-0.04</v>
          </cell>
          <cell r="AB1140">
            <v>0.25</v>
          </cell>
          <cell r="AC1140">
            <v>0.25</v>
          </cell>
          <cell r="AD1140">
            <v>0.25</v>
          </cell>
          <cell r="AE1140">
            <v>0.25</v>
          </cell>
          <cell r="AF1140">
            <v>0.25</v>
          </cell>
          <cell r="AG1140">
            <v>0.25</v>
          </cell>
          <cell r="AH1140">
            <v>0.25</v>
          </cell>
          <cell r="AI1140">
            <v>0.25</v>
          </cell>
          <cell r="AJ1140">
            <v>0.25</v>
          </cell>
          <cell r="AK1140">
            <v>0.25</v>
          </cell>
          <cell r="AL1140">
            <v>0.25</v>
          </cell>
          <cell r="AM1140">
            <v>0.25</v>
          </cell>
          <cell r="AN1140">
            <v>0.25</v>
          </cell>
          <cell r="AO1140">
            <v>0.25</v>
          </cell>
          <cell r="AP1140">
            <v>0.25</v>
          </cell>
          <cell r="AQ1140">
            <v>0.25</v>
          </cell>
          <cell r="AR1140">
            <v>0.25</v>
          </cell>
          <cell r="AS1140">
            <v>0.25</v>
          </cell>
          <cell r="AT1140">
            <v>-0.04</v>
          </cell>
          <cell r="AU1140">
            <v>0.92</v>
          </cell>
          <cell r="AV1140">
            <v>20</v>
          </cell>
          <cell r="AY1140" t="str">
            <v/>
          </cell>
          <cell r="AZ1140">
            <v>0.25</v>
          </cell>
          <cell r="BA1140">
            <v>0.25</v>
          </cell>
        </row>
        <row r="1141">
          <cell r="A1141" t="str">
            <v>FUTURE HOUSE S.A.S.</v>
          </cell>
          <cell r="D1141" t="str">
            <v>VIA PELLISIER, 38</v>
          </cell>
          <cell r="E1141">
            <v>11024</v>
          </cell>
          <cell r="F1141" t="str">
            <v>CHATILLON</v>
          </cell>
          <cell r="G1141" t="str">
            <v>AO</v>
          </cell>
          <cell r="H1141" t="str">
            <v>ITALIA</v>
          </cell>
          <cell r="I1141" t="str">
            <v>01184380077</v>
          </cell>
          <cell r="J1141" t="str">
            <v>01184380077</v>
          </cell>
          <cell r="M1141" t="str">
            <v>UFFICIO ACQUISTI</v>
          </cell>
          <cell r="N1141" t="str">
            <v>0166 61775</v>
          </cell>
          <cell r="O1141" t="str">
            <v>327 22955338</v>
          </cell>
          <cell r="P1141" t="str">
            <v>futurehousevida@gmail.com</v>
          </cell>
          <cell r="R1141" t="str">
            <v>BONIFICO BANCARIO, ALLA DATA DELLA NOSTRA CONFERMA D'ORDINE</v>
          </cell>
          <cell r="X1141">
            <v>0.25</v>
          </cell>
          <cell r="Y1141">
            <v>-0.04</v>
          </cell>
          <cell r="AB1141">
            <v>0.25</v>
          </cell>
          <cell r="AC1141">
            <v>0.25</v>
          </cell>
          <cell r="AD1141">
            <v>0.25</v>
          </cell>
          <cell r="AE1141">
            <v>0.25</v>
          </cell>
          <cell r="AF1141">
            <v>0.25</v>
          </cell>
          <cell r="AG1141">
            <v>0.25</v>
          </cell>
          <cell r="AH1141">
            <v>0.25</v>
          </cell>
          <cell r="AI1141">
            <v>0.25</v>
          </cell>
          <cell r="AJ1141">
            <v>0.25</v>
          </cell>
          <cell r="AK1141">
            <v>0.25</v>
          </cell>
          <cell r="AL1141">
            <v>0.25</v>
          </cell>
          <cell r="AM1141">
            <v>0.25</v>
          </cell>
          <cell r="AN1141">
            <v>0.25</v>
          </cell>
          <cell r="AO1141">
            <v>0.25</v>
          </cell>
          <cell r="AP1141">
            <v>0.25</v>
          </cell>
          <cell r="AQ1141">
            <v>0.25</v>
          </cell>
          <cell r="AR1141">
            <v>0.25</v>
          </cell>
          <cell r="AS1141">
            <v>0.25</v>
          </cell>
          <cell r="AT1141">
            <v>-0.04</v>
          </cell>
          <cell r="AU1141">
            <v>0.92</v>
          </cell>
          <cell r="AV1141">
            <v>20</v>
          </cell>
          <cell r="AZ1141">
            <v>0.25</v>
          </cell>
          <cell r="BA1141">
            <v>0.25</v>
          </cell>
        </row>
        <row r="1142">
          <cell r="A1142" t="str">
            <v>G&amp;D INGROSSO PER L'EDILIZIA</v>
          </cell>
          <cell r="B1142" t="str">
            <v>15/02/23 GIA' PROPOSTO MA NON HANNO RICHIESTE</v>
          </cell>
          <cell r="D1142" t="str">
            <v>VIA NOVALUCE, 27</v>
          </cell>
          <cell r="E1142" t="str">
            <v>95030</v>
          </cell>
          <cell r="F1142" t="str">
            <v>CANALICCHIO-TREMESTIERI ETNEO</v>
          </cell>
          <cell r="G1142" t="str">
            <v>CT</v>
          </cell>
          <cell r="H1142" t="str">
            <v>ITALIA</v>
          </cell>
          <cell r="M1142" t="str">
            <v>UFFICIO ACQUISTI</v>
          </cell>
          <cell r="N1142" t="str">
            <v>095 338014</v>
          </cell>
          <cell r="O1142" t="str">
            <v>393 9160724</v>
          </cell>
          <cell r="R1142" t="str">
            <v>BONIFICO BANCARIO, ALLA DATA DELLA NOSTRA CONFERMA D'ORDINE</v>
          </cell>
          <cell r="W1142" t="str">
            <v>ACQUA SALATA</v>
          </cell>
          <cell r="X1142">
            <v>0.1</v>
          </cell>
          <cell r="Y1142">
            <v>-0.04</v>
          </cell>
          <cell r="AB1142">
            <v>0.1</v>
          </cell>
          <cell r="AC1142">
            <v>0.1</v>
          </cell>
          <cell r="AD1142">
            <v>0.1</v>
          </cell>
          <cell r="AE1142">
            <v>0.1</v>
          </cell>
          <cell r="AF1142">
            <v>0.1</v>
          </cell>
          <cell r="AG1142">
            <v>0.1</v>
          </cell>
          <cell r="AH1142">
            <v>0.1</v>
          </cell>
          <cell r="AI1142">
            <v>0.1</v>
          </cell>
          <cell r="AJ1142">
            <v>0.1</v>
          </cell>
          <cell r="AK1142">
            <v>0.1</v>
          </cell>
          <cell r="AL1142">
            <v>0.1</v>
          </cell>
          <cell r="AM1142">
            <v>0.1</v>
          </cell>
          <cell r="AN1142">
            <v>0.1</v>
          </cell>
          <cell r="AO1142">
            <v>0.1</v>
          </cell>
          <cell r="AP1142">
            <v>0.1</v>
          </cell>
          <cell r="AQ1142">
            <v>0.1</v>
          </cell>
          <cell r="AR1142">
            <v>0.1</v>
          </cell>
          <cell r="AS1142">
            <v>0.1</v>
          </cell>
          <cell r="AT1142">
            <v>-0.04</v>
          </cell>
          <cell r="AU1142">
            <v>0.92</v>
          </cell>
          <cell r="AV1142">
            <v>20</v>
          </cell>
          <cell r="AZ1142">
            <v>0.1</v>
          </cell>
          <cell r="BA1142">
            <v>0.1</v>
          </cell>
        </row>
        <row r="1143">
          <cell r="A1143" t="str">
            <v>G.N. INSTALLAZIONE INFISSI SNC</v>
          </cell>
          <cell r="D1143" t="str">
            <v>VIALE TOSCANA 18/20</v>
          </cell>
          <cell r="E1143" t="str">
            <v>26855</v>
          </cell>
          <cell r="F1143" t="str">
            <v>LODIVECCHIO</v>
          </cell>
          <cell r="G1143" t="str">
            <v>LO</v>
          </cell>
          <cell r="H1143" t="str">
            <v>ITALIA</v>
          </cell>
          <cell r="J1143" t="str">
            <v>10189310153</v>
          </cell>
          <cell r="M1143" t="str">
            <v>UFFICIO ACQUISTI</v>
          </cell>
          <cell r="N1143" t="str">
            <v>0371 460012</v>
          </cell>
          <cell r="R1143" t="str">
            <v>BONIFICO BANCARIO, ALLA DATA DELLA NOSTRA CONFERMA D'ORDINE</v>
          </cell>
          <cell r="X1143">
            <v>0.25</v>
          </cell>
          <cell r="Y1143">
            <v>-0.04</v>
          </cell>
          <cell r="AB1143">
            <v>0.25</v>
          </cell>
          <cell r="AC1143">
            <v>0.25</v>
          </cell>
          <cell r="AD1143">
            <v>0.25</v>
          </cell>
          <cell r="AE1143">
            <v>0.25</v>
          </cell>
          <cell r="AF1143">
            <v>0.25</v>
          </cell>
          <cell r="AG1143">
            <v>0.25</v>
          </cell>
          <cell r="AH1143">
            <v>0.25</v>
          </cell>
          <cell r="AI1143">
            <v>0.25</v>
          </cell>
          <cell r="AJ1143">
            <v>0.25</v>
          </cell>
          <cell r="AK1143">
            <v>0.25</v>
          </cell>
          <cell r="AL1143">
            <v>0.25</v>
          </cell>
          <cell r="AM1143">
            <v>0.25</v>
          </cell>
          <cell r="AN1143">
            <v>0.25</v>
          </cell>
          <cell r="AO1143">
            <v>0.25</v>
          </cell>
          <cell r="AP1143">
            <v>0.25</v>
          </cell>
          <cell r="AQ1143">
            <v>0.25</v>
          </cell>
          <cell r="AR1143">
            <v>0.25</v>
          </cell>
          <cell r="AS1143">
            <v>0.25</v>
          </cell>
          <cell r="AT1143">
            <v>-0.04</v>
          </cell>
          <cell r="AU1143">
            <v>0.92</v>
          </cell>
          <cell r="AV1143">
            <v>20</v>
          </cell>
          <cell r="AY1143" t="str">
            <v/>
          </cell>
          <cell r="AZ1143">
            <v>0.25</v>
          </cell>
          <cell r="BA1143">
            <v>0.25</v>
          </cell>
        </row>
        <row r="1144">
          <cell r="A1144" t="str">
            <v>G.R.. SERRAMENTI</v>
          </cell>
          <cell r="D1144" t="str">
            <v>VIALE DELL'UNIONE EUROPEA, 14</v>
          </cell>
          <cell r="E1144">
            <v>21013</v>
          </cell>
          <cell r="F1144" t="str">
            <v>GALLARATE</v>
          </cell>
          <cell r="G1144" t="str">
            <v>VA</v>
          </cell>
          <cell r="H1144" t="str">
            <v>ITALIA</v>
          </cell>
          <cell r="J1144" t="str">
            <v>01847870027</v>
          </cell>
          <cell r="M1144" t="str">
            <v>UFFICIO ACQUISTI</v>
          </cell>
          <cell r="N1144" t="str">
            <v>0331 790053</v>
          </cell>
          <cell r="P1144" t="str">
            <v>info@gr-serramenti.it</v>
          </cell>
          <cell r="R1144" t="str">
            <v>BONIFICO BANCARIO, ALLA DATA DELLA NOSTRA CONFERMA D'ORDINE</v>
          </cell>
          <cell r="X1144">
            <v>0.25</v>
          </cell>
          <cell r="Y1144">
            <v>-0.04</v>
          </cell>
          <cell r="AB1144">
            <v>0.25</v>
          </cell>
          <cell r="AC1144">
            <v>0.25</v>
          </cell>
          <cell r="AD1144">
            <v>0.25</v>
          </cell>
          <cell r="AE1144">
            <v>0.25</v>
          </cell>
          <cell r="AF1144">
            <v>0.25</v>
          </cell>
          <cell r="AG1144">
            <v>0.25</v>
          </cell>
          <cell r="AH1144">
            <v>0.25</v>
          </cell>
          <cell r="AI1144">
            <v>0.25</v>
          </cell>
          <cell r="AJ1144">
            <v>0.25</v>
          </cell>
          <cell r="AK1144">
            <v>0.25</v>
          </cell>
          <cell r="AL1144">
            <v>0.25</v>
          </cell>
          <cell r="AM1144">
            <v>0.25</v>
          </cell>
          <cell r="AN1144">
            <v>0.25</v>
          </cell>
          <cell r="AO1144">
            <v>0.25</v>
          </cell>
          <cell r="AP1144">
            <v>0.25</v>
          </cell>
          <cell r="AQ1144">
            <v>0.25</v>
          </cell>
          <cell r="AR1144">
            <v>0.25</v>
          </cell>
          <cell r="AS1144">
            <v>0.25</v>
          </cell>
          <cell r="AT1144">
            <v>-0.04</v>
          </cell>
          <cell r="AU1144">
            <v>0.92</v>
          </cell>
          <cell r="AV1144">
            <v>20</v>
          </cell>
          <cell r="AY1144" t="str">
            <v/>
          </cell>
          <cell r="AZ1144">
            <v>0.25</v>
          </cell>
          <cell r="BA1144">
            <v>0.25</v>
          </cell>
        </row>
        <row r="1145">
          <cell r="A1145" t="str">
            <v>G.R.G.INFISSI</v>
          </cell>
          <cell r="B1145" t="str">
            <v>SOLO BIGLIETTO DA VISITA</v>
          </cell>
          <cell r="D1145" t="str">
            <v>Z.I.VIA PEGASO, 19 LOC.SA STOIA</v>
          </cell>
          <cell r="E1145" t="str">
            <v>09016</v>
          </cell>
          <cell r="F1145" t="str">
            <v>IGLESIAS</v>
          </cell>
          <cell r="G1145" t="str">
            <v>CI</v>
          </cell>
          <cell r="H1145" t="str">
            <v>ITALIA</v>
          </cell>
          <cell r="J1145" t="str">
            <v>03003000928</v>
          </cell>
          <cell r="M1145" t="str">
            <v>UFFICIO ACQUISTI</v>
          </cell>
          <cell r="N1145" t="str">
            <v xml:space="preserve">0781 23278 </v>
          </cell>
          <cell r="O1145" t="str">
            <v>393 9932304 OFFICINA</v>
          </cell>
          <cell r="P1145" t="str">
            <v>grg.infissi@tiscali.it</v>
          </cell>
          <cell r="R1145" t="str">
            <v>BONIFICO BANCARIO, ALLA DATA DELLA NOSTRA CONFERMA D'ORDINE</v>
          </cell>
          <cell r="X1145">
            <v>0.25</v>
          </cell>
          <cell r="Y1145">
            <v>-0.04</v>
          </cell>
          <cell r="AB1145">
            <v>0.25</v>
          </cell>
          <cell r="AC1145">
            <v>0.25</v>
          </cell>
          <cell r="AD1145">
            <v>0.25</v>
          </cell>
          <cell r="AE1145">
            <v>0.25</v>
          </cell>
          <cell r="AF1145">
            <v>0.25</v>
          </cell>
          <cell r="AG1145">
            <v>0.25</v>
          </cell>
          <cell r="AH1145">
            <v>0.25</v>
          </cell>
          <cell r="AI1145">
            <v>0.25</v>
          </cell>
          <cell r="AJ1145">
            <v>0.25</v>
          </cell>
          <cell r="AK1145">
            <v>0.25</v>
          </cell>
          <cell r="AL1145">
            <v>0.25</v>
          </cell>
          <cell r="AM1145">
            <v>0.25</v>
          </cell>
          <cell r="AN1145">
            <v>0.25</v>
          </cell>
          <cell r="AO1145">
            <v>0.25</v>
          </cell>
          <cell r="AP1145">
            <v>0.25</v>
          </cell>
          <cell r="AQ1145">
            <v>0.25</v>
          </cell>
          <cell r="AR1145">
            <v>0.25</v>
          </cell>
          <cell r="AS1145">
            <v>0.25</v>
          </cell>
          <cell r="AT1145">
            <v>-0.04</v>
          </cell>
          <cell r="AU1145">
            <v>0.92</v>
          </cell>
          <cell r="AV1145">
            <v>20</v>
          </cell>
          <cell r="AZ1145">
            <v>0.25</v>
          </cell>
          <cell r="BA1145">
            <v>0.25</v>
          </cell>
        </row>
        <row r="1146">
          <cell r="A1146" t="str">
            <v>G.R.V. SERRAMENTI IN ALLUMINIO</v>
          </cell>
          <cell r="D1146" t="str">
            <v>VIA VALLE PO, 92</v>
          </cell>
          <cell r="E1146">
            <v>12020</v>
          </cell>
          <cell r="F1146" t="str">
            <v>MADONNA DLL'OLMO</v>
          </cell>
          <cell r="G1146" t="str">
            <v>CN</v>
          </cell>
          <cell r="H1146" t="str">
            <v>ITALIA</v>
          </cell>
          <cell r="M1146" t="str">
            <v>UFFICIO ACQUISTI</v>
          </cell>
          <cell r="N1146" t="str">
            <v>0171 411887</v>
          </cell>
          <cell r="R1146" t="str">
            <v>BONIFICO BANCARIO, ALLA DATA DELLA NOSTRA CONFERMA D'ORDINE</v>
          </cell>
          <cell r="X1146">
            <v>0.25</v>
          </cell>
          <cell r="Y1146">
            <v>-0.04</v>
          </cell>
          <cell r="AB1146">
            <v>0.25</v>
          </cell>
          <cell r="AC1146">
            <v>0.25</v>
          </cell>
          <cell r="AD1146">
            <v>0.25</v>
          </cell>
          <cell r="AE1146">
            <v>0.25</v>
          </cell>
          <cell r="AF1146">
            <v>0.25</v>
          </cell>
          <cell r="AG1146">
            <v>0.25</v>
          </cell>
          <cell r="AH1146">
            <v>0.25</v>
          </cell>
          <cell r="AI1146">
            <v>0.25</v>
          </cell>
          <cell r="AJ1146">
            <v>0.25</v>
          </cell>
          <cell r="AK1146">
            <v>0.25</v>
          </cell>
          <cell r="AL1146">
            <v>0.25</v>
          </cell>
          <cell r="AM1146">
            <v>0.25</v>
          </cell>
          <cell r="AN1146">
            <v>0.25</v>
          </cell>
          <cell r="AO1146">
            <v>0.25</v>
          </cell>
          <cell r="AP1146">
            <v>0.25</v>
          </cell>
          <cell r="AQ1146">
            <v>0.25</v>
          </cell>
          <cell r="AR1146">
            <v>0.25</v>
          </cell>
          <cell r="AS1146">
            <v>0.25</v>
          </cell>
          <cell r="AT1146">
            <v>-0.04</v>
          </cell>
          <cell r="AU1146">
            <v>0.92</v>
          </cell>
          <cell r="AV1146">
            <v>20</v>
          </cell>
          <cell r="AY1146" t="str">
            <v/>
          </cell>
          <cell r="AZ1146">
            <v>0.25</v>
          </cell>
          <cell r="BA1146">
            <v>0.25</v>
          </cell>
        </row>
        <row r="1147">
          <cell r="A1147" t="str">
            <v>GABIINFISSI</v>
          </cell>
          <cell r="D1147" t="str">
            <v>VIA G. DI VITTORIO, 9</v>
          </cell>
          <cell r="E1147">
            <v>62012</v>
          </cell>
          <cell r="F1147" t="str">
            <v>CIVITANOVA MARCHE</v>
          </cell>
          <cell r="G1147" t="str">
            <v>MC</v>
          </cell>
          <cell r="H1147" t="str">
            <v>ITALIA</v>
          </cell>
          <cell r="I1147" t="str">
            <v>BNCPNI50E48I156E</v>
          </cell>
          <cell r="J1147" t="str">
            <v>00722960432</v>
          </cell>
          <cell r="M1147" t="str">
            <v>UFFICIO ACQUISTI</v>
          </cell>
          <cell r="N1147" t="str">
            <v>0733 898486</v>
          </cell>
          <cell r="O1147" t="str">
            <v>Eddy 347 4261181  Mauro 34763763</v>
          </cell>
          <cell r="P1147" t="str">
            <v>info@gabiinfissi.it</v>
          </cell>
          <cell r="R1147" t="str">
            <v>BONIFICO BANCARIO, ALLA DATA DELLA NOSTRA CONFERMA D'ORDINE</v>
          </cell>
          <cell r="X1147">
            <v>0.25</v>
          </cell>
          <cell r="Y1147">
            <v>-0.04</v>
          </cell>
          <cell r="AB1147">
            <v>0.25</v>
          </cell>
          <cell r="AC1147">
            <v>0.25</v>
          </cell>
          <cell r="AD1147">
            <v>0.25</v>
          </cell>
          <cell r="AE1147">
            <v>0.25</v>
          </cell>
          <cell r="AF1147">
            <v>0.25</v>
          </cell>
          <cell r="AG1147">
            <v>0.25</v>
          </cell>
          <cell r="AH1147">
            <v>0.25</v>
          </cell>
          <cell r="AI1147">
            <v>0.25</v>
          </cell>
          <cell r="AJ1147">
            <v>0.25</v>
          </cell>
          <cell r="AK1147">
            <v>0.25</v>
          </cell>
          <cell r="AL1147">
            <v>0.25</v>
          </cell>
          <cell r="AM1147">
            <v>0.25</v>
          </cell>
          <cell r="AN1147">
            <v>0.25</v>
          </cell>
          <cell r="AO1147">
            <v>0.25</v>
          </cell>
          <cell r="AP1147">
            <v>0.25</v>
          </cell>
          <cell r="AQ1147">
            <v>0.25</v>
          </cell>
          <cell r="AR1147">
            <v>0.25</v>
          </cell>
          <cell r="AS1147">
            <v>0.25</v>
          </cell>
          <cell r="AT1147">
            <v>-0.04</v>
          </cell>
          <cell r="AU1147">
            <v>0.92</v>
          </cell>
          <cell r="AV1147">
            <v>20</v>
          </cell>
          <cell r="AY1147" t="str">
            <v/>
          </cell>
          <cell r="AZ1147">
            <v>0.25</v>
          </cell>
          <cell r="BA1147">
            <v>0.25</v>
          </cell>
        </row>
        <row r="1148">
          <cell r="A1148" t="str">
            <v>GABRIELE BOZZATO E FIGLI SNC</v>
          </cell>
          <cell r="D1148" t="str">
            <v>VIA DELL'ARTIGLIERE 5</v>
          </cell>
          <cell r="E1148" t="str">
            <v>30013</v>
          </cell>
          <cell r="F1148" t="str">
            <v>CAVALLINO TREPORTI</v>
          </cell>
          <cell r="G1148" t="str">
            <v>VE</v>
          </cell>
          <cell r="H1148" t="str">
            <v>ITALIA</v>
          </cell>
          <cell r="M1148" t="str">
            <v>UFFICIO ACQUISTI</v>
          </cell>
          <cell r="N1148" t="str">
            <v>041 968302</v>
          </cell>
          <cell r="O1148" t="str">
            <v>335 6169087</v>
          </cell>
          <cell r="P1148" t="str">
            <v>andreabozzato66@gmail.com</v>
          </cell>
          <cell r="R1148" t="str">
            <v>BONIFICO BANCARIO, ALLA DATA DELLA NOSTRA CONFERMA D'ORDINE</v>
          </cell>
          <cell r="X1148">
            <v>0.25</v>
          </cell>
          <cell r="Y1148">
            <v>-0.04</v>
          </cell>
          <cell r="AB1148">
            <v>0.25</v>
          </cell>
          <cell r="AC1148">
            <v>0.25</v>
          </cell>
          <cell r="AD1148">
            <v>0.25</v>
          </cell>
          <cell r="AE1148">
            <v>0.25</v>
          </cell>
          <cell r="AF1148">
            <v>0.25</v>
          </cell>
          <cell r="AG1148">
            <v>0.25</v>
          </cell>
          <cell r="AH1148">
            <v>0.25</v>
          </cell>
          <cell r="AI1148">
            <v>0.25</v>
          </cell>
          <cell r="AJ1148">
            <v>0.25</v>
          </cell>
          <cell r="AK1148">
            <v>0.25</v>
          </cell>
          <cell r="AL1148">
            <v>0.25</v>
          </cell>
          <cell r="AM1148">
            <v>0.25</v>
          </cell>
          <cell r="AN1148">
            <v>0.25</v>
          </cell>
          <cell r="AO1148">
            <v>0.25</v>
          </cell>
          <cell r="AP1148">
            <v>0.25</v>
          </cell>
          <cell r="AQ1148">
            <v>0.25</v>
          </cell>
          <cell r="AR1148">
            <v>0.25</v>
          </cell>
          <cell r="AS1148">
            <v>0.25</v>
          </cell>
          <cell r="AT1148">
            <v>-0.04</v>
          </cell>
          <cell r="AU1148">
            <v>0.92</v>
          </cell>
          <cell r="AV1148">
            <v>20</v>
          </cell>
          <cell r="AY1148" t="str">
            <v/>
          </cell>
          <cell r="AZ1148">
            <v>0.25</v>
          </cell>
          <cell r="BA1148">
            <v>0.25</v>
          </cell>
        </row>
        <row r="1149">
          <cell r="A1149" t="str">
            <v>GALANTINI SNC</v>
          </cell>
          <cell r="D1149" t="str">
            <v>VIALE BONAINI, 17</v>
          </cell>
          <cell r="E1149">
            <v>56125</v>
          </cell>
          <cell r="F1149" t="str">
            <v>PISA</v>
          </cell>
          <cell r="G1149" t="str">
            <v>PI</v>
          </cell>
          <cell r="H1149" t="str">
            <v>ITALIA</v>
          </cell>
          <cell r="M1149" t="str">
            <v>UFFICIO ACQUISTI</v>
          </cell>
          <cell r="N1149" t="str">
            <v>050 23765</v>
          </cell>
          <cell r="O1149" t="str">
            <v>333 5242588</v>
          </cell>
          <cell r="P1149" t="str">
            <v>galantinisnc@live.it</v>
          </cell>
          <cell r="R1149" t="str">
            <v>BONIFICO BANCARIO, ALLA DATA DELLA NOSTRA CONFERMA D'ORDINE</v>
          </cell>
          <cell r="X1149">
            <v>0.25</v>
          </cell>
          <cell r="Y1149">
            <v>-0.04</v>
          </cell>
          <cell r="AB1149">
            <v>0.25</v>
          </cell>
          <cell r="AC1149">
            <v>0.25</v>
          </cell>
          <cell r="AD1149">
            <v>0.25</v>
          </cell>
          <cell r="AE1149">
            <v>0.25</v>
          </cell>
          <cell r="AF1149">
            <v>0.25</v>
          </cell>
          <cell r="AG1149">
            <v>0.25</v>
          </cell>
          <cell r="AH1149">
            <v>0.25</v>
          </cell>
          <cell r="AI1149">
            <v>0.25</v>
          </cell>
          <cell r="AJ1149">
            <v>0.25</v>
          </cell>
          <cell r="AK1149">
            <v>0.25</v>
          </cell>
          <cell r="AL1149">
            <v>0.25</v>
          </cell>
          <cell r="AM1149">
            <v>0.25</v>
          </cell>
          <cell r="AN1149">
            <v>0.25</v>
          </cell>
          <cell r="AO1149">
            <v>0.25</v>
          </cell>
          <cell r="AP1149">
            <v>0.25</v>
          </cell>
          <cell r="AQ1149">
            <v>0.25</v>
          </cell>
          <cell r="AR1149">
            <v>0.25</v>
          </cell>
          <cell r="AS1149">
            <v>0.25</v>
          </cell>
          <cell r="AT1149">
            <v>-0.04</v>
          </cell>
          <cell r="AU1149">
            <v>0.92</v>
          </cell>
          <cell r="AV1149">
            <v>20</v>
          </cell>
          <cell r="AY1149" t="str">
            <v/>
          </cell>
          <cell r="AZ1149">
            <v>0.25</v>
          </cell>
          <cell r="BA1149">
            <v>0.25</v>
          </cell>
        </row>
        <row r="1150">
          <cell r="A1150" t="str">
            <v xml:space="preserve">GALIMBERTI PORTE E FINESTRE D'ARREDAMENTO </v>
          </cell>
          <cell r="D1150" t="str">
            <v>VIA TARQUINIA 37 - 39</v>
          </cell>
          <cell r="E1150" t="str">
            <v>00053</v>
          </cell>
          <cell r="F1150" t="str">
            <v>CIVITAVECCHIA</v>
          </cell>
          <cell r="G1150" t="str">
            <v>RM</v>
          </cell>
          <cell r="H1150" t="str">
            <v>ITALIA</v>
          </cell>
          <cell r="J1150" t="str">
            <v>12275151004</v>
          </cell>
          <cell r="M1150" t="str">
            <v>UFFICIO ACQUISTI</v>
          </cell>
          <cell r="N1150" t="str">
            <v>0766 35996</v>
          </cell>
          <cell r="P1150" t="str">
            <v>info@galimbertiporte.it</v>
          </cell>
          <cell r="R1150" t="str">
            <v>BONIFICO BANCARIO, ALLA DATA DELLA NOSTRA CONFERMA D'ORDINE</v>
          </cell>
          <cell r="X1150">
            <v>0.25</v>
          </cell>
          <cell r="Y1150">
            <v>-0.04</v>
          </cell>
          <cell r="AB1150">
            <v>0.25</v>
          </cell>
          <cell r="AC1150">
            <v>0.25</v>
          </cell>
          <cell r="AD1150">
            <v>0.25</v>
          </cell>
          <cell r="AE1150">
            <v>0.25</v>
          </cell>
          <cell r="AF1150">
            <v>0.25</v>
          </cell>
          <cell r="AG1150">
            <v>0.25</v>
          </cell>
          <cell r="AH1150">
            <v>0.25</v>
          </cell>
          <cell r="AI1150">
            <v>0.25</v>
          </cell>
          <cell r="AJ1150">
            <v>0.25</v>
          </cell>
          <cell r="AK1150">
            <v>0.25</v>
          </cell>
          <cell r="AL1150">
            <v>0.25</v>
          </cell>
          <cell r="AM1150">
            <v>0.25</v>
          </cell>
          <cell r="AN1150">
            <v>0.25</v>
          </cell>
          <cell r="AO1150">
            <v>0.25</v>
          </cell>
          <cell r="AP1150">
            <v>0.25</v>
          </cell>
          <cell r="AQ1150">
            <v>0.25</v>
          </cell>
          <cell r="AR1150">
            <v>0.25</v>
          </cell>
          <cell r="AS1150">
            <v>0.25</v>
          </cell>
          <cell r="AT1150">
            <v>-0.04</v>
          </cell>
          <cell r="AU1150">
            <v>0.92</v>
          </cell>
          <cell r="AV1150">
            <v>20</v>
          </cell>
          <cell r="AY1150" t="str">
            <v/>
          </cell>
          <cell r="AZ1150">
            <v>0.25</v>
          </cell>
          <cell r="BA1150">
            <v>0.25</v>
          </cell>
        </row>
        <row r="1151">
          <cell r="A1151" t="str">
            <v>GALLI GIUSEPPE</v>
          </cell>
          <cell r="D1151" t="str">
            <v>VIA BOLIVIA, 41</v>
          </cell>
          <cell r="E1151" t="str">
            <v>63066</v>
          </cell>
          <cell r="F1151" t="str">
            <v>GROTTAMMARE</v>
          </cell>
          <cell r="G1151" t="str">
            <v>AP</v>
          </cell>
          <cell r="H1151" t="str">
            <v>ITALIA</v>
          </cell>
          <cell r="M1151" t="str">
            <v>UFFICIO ACQUISTI</v>
          </cell>
          <cell r="N1151" t="str">
            <v>0735 500614</v>
          </cell>
          <cell r="O1151" t="str">
            <v>347 5442306</v>
          </cell>
          <cell r="P1151" t="str">
            <v>galligiuseppe.infissi@alice.it</v>
          </cell>
          <cell r="R1151" t="str">
            <v>BONIFICO BANCARIO, ALLA DATA DELLA NOSTRA CONFERMA D'ORDINE</v>
          </cell>
          <cell r="X1151">
            <v>0.2</v>
          </cell>
          <cell r="Y1151">
            <v>-0.04</v>
          </cell>
          <cell r="AB1151">
            <v>0.2</v>
          </cell>
          <cell r="AC1151">
            <v>0.2</v>
          </cell>
          <cell r="AD1151">
            <v>0.2</v>
          </cell>
          <cell r="AE1151">
            <v>0.2</v>
          </cell>
          <cell r="AF1151">
            <v>0.2</v>
          </cell>
          <cell r="AG1151">
            <v>0.2</v>
          </cell>
          <cell r="AH1151">
            <v>0.2</v>
          </cell>
          <cell r="AI1151">
            <v>0.2</v>
          </cell>
          <cell r="AJ1151">
            <v>0.2</v>
          </cell>
          <cell r="AK1151">
            <v>0.2</v>
          </cell>
          <cell r="AL1151">
            <v>0.2</v>
          </cell>
          <cell r="AM1151">
            <v>0.2</v>
          </cell>
          <cell r="AN1151">
            <v>0.2</v>
          </cell>
          <cell r="AO1151">
            <v>0.2</v>
          </cell>
          <cell r="AP1151">
            <v>0.2</v>
          </cell>
          <cell r="AQ1151">
            <v>0.2</v>
          </cell>
          <cell r="AR1151">
            <v>0.2</v>
          </cell>
          <cell r="AS1151">
            <v>0.2</v>
          </cell>
          <cell r="AT1151">
            <v>-0.04</v>
          </cell>
          <cell r="AU1151">
            <v>0.92</v>
          </cell>
          <cell r="AV1151">
            <v>20</v>
          </cell>
          <cell r="AZ1151">
            <v>0.2</v>
          </cell>
          <cell r="BA1151">
            <v>0.2</v>
          </cell>
        </row>
        <row r="1152">
          <cell r="A1152" t="str">
            <v>GALLI SRL</v>
          </cell>
          <cell r="D1152" t="str">
            <v>VIA E.DE AMICIS, 42</v>
          </cell>
          <cell r="E1152" t="str">
            <v>18039</v>
          </cell>
          <cell r="F1152" t="str">
            <v>VENTIMIGLIA</v>
          </cell>
          <cell r="G1152" t="str">
            <v>IM</v>
          </cell>
          <cell r="H1152" t="str">
            <v>ITALIA</v>
          </cell>
          <cell r="M1152" t="str">
            <v>UFFICIO ACQUISTI</v>
          </cell>
          <cell r="N1152" t="str">
            <v>0184 31014</v>
          </cell>
          <cell r="P1152" t="str">
            <v>info@gallisrl.eu</v>
          </cell>
          <cell r="R1152" t="str">
            <v>BONIFICO BANCARIO, ALLA DATA DELLA NOSTRA CONFERMA D'ORDINE</v>
          </cell>
          <cell r="X1152">
            <v>0.2</v>
          </cell>
          <cell r="Y1152">
            <v>-0.04</v>
          </cell>
          <cell r="AB1152">
            <v>0.2</v>
          </cell>
          <cell r="AC1152">
            <v>0.2</v>
          </cell>
          <cell r="AD1152">
            <v>0.2</v>
          </cell>
          <cell r="AE1152">
            <v>0.2</v>
          </cell>
          <cell r="AF1152">
            <v>0.2</v>
          </cell>
          <cell r="AG1152">
            <v>0.2</v>
          </cell>
          <cell r="AH1152">
            <v>0.2</v>
          </cell>
          <cell r="AI1152">
            <v>0.2</v>
          </cell>
          <cell r="AJ1152">
            <v>0.2</v>
          </cell>
          <cell r="AK1152">
            <v>0.2</v>
          </cell>
          <cell r="AL1152">
            <v>0.2</v>
          </cell>
          <cell r="AM1152">
            <v>0.2</v>
          </cell>
          <cell r="AN1152">
            <v>0.2</v>
          </cell>
          <cell r="AO1152">
            <v>0.2</v>
          </cell>
          <cell r="AP1152">
            <v>0.2</v>
          </cell>
          <cell r="AQ1152">
            <v>0.2</v>
          </cell>
          <cell r="AR1152">
            <v>0.2</v>
          </cell>
          <cell r="AS1152">
            <v>0.2</v>
          </cell>
          <cell r="AT1152">
            <v>-0.04</v>
          </cell>
          <cell r="AU1152">
            <v>0.92</v>
          </cell>
          <cell r="AV1152">
            <v>20</v>
          </cell>
          <cell r="AZ1152">
            <v>0.2</v>
          </cell>
          <cell r="BA1152">
            <v>0.2</v>
          </cell>
        </row>
        <row r="1153">
          <cell r="A1153" t="str">
            <v>GAMBA SERRAMENTI</v>
          </cell>
          <cell r="D1153" t="str">
            <v>VIA CREMASCA, 10</v>
          </cell>
          <cell r="E1153" t="str">
            <v>24052</v>
          </cell>
          <cell r="F1153" t="str">
            <v>AZZANO SAN PAOLO</v>
          </cell>
          <cell r="G1153" t="str">
            <v>BG</v>
          </cell>
          <cell r="H1153" t="str">
            <v>ITALIA</v>
          </cell>
          <cell r="M1153" t="str">
            <v>UFFICIO ACQUISTI</v>
          </cell>
          <cell r="N1153" t="str">
            <v>035 533208</v>
          </cell>
          <cell r="P1153" t="str">
            <v>info@gamba.it</v>
          </cell>
          <cell r="Q1153" t="str">
            <v>acquisti@gamba.it</v>
          </cell>
          <cell r="R1153" t="str">
            <v>BONIFICO BANCARIO, ALLA DATA DELLA NOSTRA CONFERMA D'ORDINE</v>
          </cell>
          <cell r="X1153">
            <v>0.2</v>
          </cell>
          <cell r="Y1153">
            <v>-0.04</v>
          </cell>
          <cell r="AB1153">
            <v>0.2</v>
          </cell>
          <cell r="AC1153">
            <v>0.2</v>
          </cell>
          <cell r="AD1153">
            <v>0.2</v>
          </cell>
          <cell r="AE1153">
            <v>0.2</v>
          </cell>
          <cell r="AF1153">
            <v>0.2</v>
          </cell>
          <cell r="AG1153">
            <v>0.2</v>
          </cell>
          <cell r="AH1153">
            <v>0.2</v>
          </cell>
          <cell r="AI1153">
            <v>0.2</v>
          </cell>
          <cell r="AJ1153">
            <v>0.2</v>
          </cell>
          <cell r="AK1153">
            <v>0.2</v>
          </cell>
          <cell r="AL1153">
            <v>0.2</v>
          </cell>
          <cell r="AM1153">
            <v>0.2</v>
          </cell>
          <cell r="AN1153">
            <v>0.2</v>
          </cell>
          <cell r="AO1153">
            <v>0.2</v>
          </cell>
          <cell r="AP1153">
            <v>0.2</v>
          </cell>
          <cell r="AQ1153">
            <v>0.2</v>
          </cell>
          <cell r="AR1153">
            <v>0.2</v>
          </cell>
          <cell r="AS1153">
            <v>0.2</v>
          </cell>
          <cell r="AT1153">
            <v>-0.04</v>
          </cell>
          <cell r="AU1153">
            <v>0.92</v>
          </cell>
          <cell r="AV1153">
            <v>20</v>
          </cell>
          <cell r="AZ1153">
            <v>0.2</v>
          </cell>
          <cell r="BA1153">
            <v>0.2</v>
          </cell>
        </row>
        <row r="1154">
          <cell r="A1154" t="str">
            <v>GANUGI &amp; LOTTI FABBRO S.N.C.</v>
          </cell>
          <cell r="D1154" t="str">
            <v>VIA I.NEWTON, 14</v>
          </cell>
          <cell r="E1154">
            <v>50018</v>
          </cell>
          <cell r="F1154" t="str">
            <v>SCANDICCI</v>
          </cell>
          <cell r="G1154" t="str">
            <v>FI</v>
          </cell>
          <cell r="H1154" t="str">
            <v>ITALIA</v>
          </cell>
          <cell r="I1154" t="str">
            <v>00464410489</v>
          </cell>
          <cell r="J1154" t="str">
            <v>00464410489</v>
          </cell>
          <cell r="M1154" t="str">
            <v>UFFICIO ACQUISTI</v>
          </cell>
          <cell r="N1154" t="str">
            <v>055 752679</v>
          </cell>
          <cell r="O1154" t="str">
            <v>Luca 335 1759984  Antonio 335 5413781  Gabriele 338 6978158</v>
          </cell>
          <cell r="P1154" t="str">
            <v>info@gavy.elotti.com</v>
          </cell>
          <cell r="R1154" t="str">
            <v>BONIFICO BANCARIO, ALLA DATA DELLA NOSTRA CONFERMA D'ORDINE</v>
          </cell>
          <cell r="X1154">
            <v>0.25</v>
          </cell>
          <cell r="Y1154">
            <v>-0.04</v>
          </cell>
          <cell r="AB1154">
            <v>0.25</v>
          </cell>
          <cell r="AC1154">
            <v>0.25</v>
          </cell>
          <cell r="AD1154">
            <v>0.25</v>
          </cell>
          <cell r="AE1154">
            <v>0.25</v>
          </cell>
          <cell r="AF1154">
            <v>0.25</v>
          </cell>
          <cell r="AG1154">
            <v>0.25</v>
          </cell>
          <cell r="AH1154">
            <v>0.25</v>
          </cell>
          <cell r="AI1154">
            <v>0.25</v>
          </cell>
          <cell r="AJ1154">
            <v>0.25</v>
          </cell>
          <cell r="AK1154">
            <v>0.25</v>
          </cell>
          <cell r="AL1154">
            <v>0.25</v>
          </cell>
          <cell r="AM1154">
            <v>0.25</v>
          </cell>
          <cell r="AN1154">
            <v>0.25</v>
          </cell>
          <cell r="AO1154">
            <v>0.25</v>
          </cell>
          <cell r="AP1154">
            <v>0.25</v>
          </cell>
          <cell r="AQ1154">
            <v>0.25</v>
          </cell>
          <cell r="AR1154">
            <v>0.25</v>
          </cell>
          <cell r="AS1154">
            <v>0.25</v>
          </cell>
          <cell r="AT1154">
            <v>-0.04</v>
          </cell>
          <cell r="AU1154">
            <v>0.92</v>
          </cell>
          <cell r="AV1154">
            <v>20</v>
          </cell>
          <cell r="AZ1154">
            <v>0.25</v>
          </cell>
          <cell r="BA1154">
            <v>0.25</v>
          </cell>
        </row>
        <row r="1155">
          <cell r="A1155" t="str">
            <v xml:space="preserve">GARDA SERRAMENTI </v>
          </cell>
          <cell r="D1155" t="str">
            <v>VIA MARIA GAETANAAGNESI, 1 3</v>
          </cell>
          <cell r="E1155">
            <v>37014</v>
          </cell>
          <cell r="F1155" t="str">
            <v>CASTELNUOVO D.G.</v>
          </cell>
          <cell r="G1155" t="str">
            <v>VR</v>
          </cell>
          <cell r="H1155" t="str">
            <v>ITALIA</v>
          </cell>
          <cell r="I1155" t="str">
            <v>CTTNNN60D13C2860</v>
          </cell>
          <cell r="J1155" t="str">
            <v>01991740232</v>
          </cell>
          <cell r="M1155" t="str">
            <v>UFFICIO ACQUISTI</v>
          </cell>
          <cell r="N1155" t="str">
            <v>045 7570642</v>
          </cell>
          <cell r="O1155" t="str">
            <v>348 2925884</v>
          </cell>
          <cell r="P1155" t="str">
            <v>gardaserramenti.vr@alice.it</v>
          </cell>
          <cell r="R1155" t="str">
            <v>BONIFICO BANCARIO, ALLA DATA DELLA NOSTRA CONFERMA D'ORDINE</v>
          </cell>
          <cell r="X1155">
            <v>0.25</v>
          </cell>
          <cell r="Y1155">
            <v>-0.04</v>
          </cell>
          <cell r="AB1155">
            <v>0.25</v>
          </cell>
          <cell r="AC1155">
            <v>0.25</v>
          </cell>
          <cell r="AD1155">
            <v>0.25</v>
          </cell>
          <cell r="AE1155">
            <v>0.25</v>
          </cell>
          <cell r="AF1155">
            <v>0.25</v>
          </cell>
          <cell r="AG1155">
            <v>0.25</v>
          </cell>
          <cell r="AH1155">
            <v>0.25</v>
          </cell>
          <cell r="AI1155">
            <v>0.25</v>
          </cell>
          <cell r="AJ1155">
            <v>0.25</v>
          </cell>
          <cell r="AK1155">
            <v>0.25</v>
          </cell>
          <cell r="AL1155">
            <v>0.25</v>
          </cell>
          <cell r="AM1155">
            <v>0.25</v>
          </cell>
          <cell r="AN1155">
            <v>0.25</v>
          </cell>
          <cell r="AO1155">
            <v>0.25</v>
          </cell>
          <cell r="AP1155">
            <v>0.25</v>
          </cell>
          <cell r="AQ1155">
            <v>0.25</v>
          </cell>
          <cell r="AR1155">
            <v>0.25</v>
          </cell>
          <cell r="AS1155">
            <v>0.25</v>
          </cell>
          <cell r="AT1155">
            <v>-0.04</v>
          </cell>
          <cell r="AU1155">
            <v>0.92</v>
          </cell>
          <cell r="AV1155">
            <v>20</v>
          </cell>
          <cell r="AY1155" t="str">
            <v/>
          </cell>
          <cell r="AZ1155">
            <v>0.25</v>
          </cell>
          <cell r="BA1155">
            <v>0.25</v>
          </cell>
        </row>
        <row r="1156">
          <cell r="A1156" t="str">
            <v>GARDI DAVIDE</v>
          </cell>
          <cell r="D1156" t="str">
            <v>VIA MAESTRI DEL LAVORO, 9/1</v>
          </cell>
          <cell r="E1156" t="str">
            <v>40059</v>
          </cell>
          <cell r="F1156" t="str">
            <v>MEDICINA</v>
          </cell>
          <cell r="G1156" t="str">
            <v>BO</v>
          </cell>
          <cell r="H1156" t="str">
            <v>ITALIA</v>
          </cell>
          <cell r="J1156" t="str">
            <v>03021201201</v>
          </cell>
          <cell r="M1156" t="str">
            <v>UFFICIO ACQUISTI</v>
          </cell>
          <cell r="N1156" t="str">
            <v>051 850716</v>
          </cell>
          <cell r="P1156" t="str">
            <v>gardidavide@libero.it</v>
          </cell>
          <cell r="R1156" t="str">
            <v>BONIFICO BANCARIO, ALLA DATA DELLA NOSTRA CONFERMA D'ORDINE</v>
          </cell>
          <cell r="X1156">
            <v>0.25</v>
          </cell>
          <cell r="Y1156">
            <v>-0.04</v>
          </cell>
          <cell r="AB1156">
            <v>0.25</v>
          </cell>
          <cell r="AC1156">
            <v>0.25</v>
          </cell>
          <cell r="AD1156">
            <v>0.25</v>
          </cell>
          <cell r="AE1156">
            <v>0.25</v>
          </cell>
          <cell r="AF1156">
            <v>0.25</v>
          </cell>
          <cell r="AG1156">
            <v>0.25</v>
          </cell>
          <cell r="AH1156">
            <v>0.25</v>
          </cell>
          <cell r="AI1156">
            <v>0.25</v>
          </cell>
          <cell r="AJ1156">
            <v>0.25</v>
          </cell>
          <cell r="AK1156">
            <v>0.25</v>
          </cell>
          <cell r="AL1156">
            <v>0.25</v>
          </cell>
          <cell r="AM1156">
            <v>0.25</v>
          </cell>
          <cell r="AN1156">
            <v>0.25</v>
          </cell>
          <cell r="AO1156">
            <v>0.25</v>
          </cell>
          <cell r="AP1156">
            <v>0.25</v>
          </cell>
          <cell r="AQ1156">
            <v>0.25</v>
          </cell>
          <cell r="AR1156">
            <v>0.25</v>
          </cell>
          <cell r="AS1156">
            <v>0.25</v>
          </cell>
          <cell r="AT1156">
            <v>-0.04</v>
          </cell>
          <cell r="AU1156">
            <v>0.92</v>
          </cell>
          <cell r="AV1156">
            <v>20</v>
          </cell>
          <cell r="AZ1156">
            <v>0.25</v>
          </cell>
          <cell r="BA1156">
            <v>0.25</v>
          </cell>
        </row>
        <row r="1157">
          <cell r="A1157" t="str">
            <v>GAROFALO INFISSI SRLS</v>
          </cell>
          <cell r="B1157" t="str">
            <v>05/1222 NONSTRO RIVENDITORE CON CAMPIONE. VUOLE FARE PUBBLICITA' SU FACEBOOK. MANDATA MAIL CON FILMATI E FOTO</v>
          </cell>
          <cell r="D1157" t="str">
            <v>VIA ZINGARO, 50</v>
          </cell>
          <cell r="E1157" t="str">
            <v>91014</v>
          </cell>
          <cell r="F1157" t="str">
            <v>CASTELLAMMARE DEL GOLFO</v>
          </cell>
          <cell r="G1157" t="str">
            <v>TP</v>
          </cell>
          <cell r="H1157" t="str">
            <v>ITALIA</v>
          </cell>
          <cell r="J1157" t="str">
            <v>02776950814</v>
          </cell>
          <cell r="L1157" t="str">
            <v>C/DA MORTILLI, SNC - 91014 CASTELLAMMARE DEL GOLFO (TP)</v>
          </cell>
          <cell r="M1157" t="str">
            <v>UFFICIO ACQUISTI</v>
          </cell>
          <cell r="O1157" t="str">
            <v>339 2650846 GAROFALO GAETANO</v>
          </cell>
          <cell r="P1157" t="str">
            <v>garofaloinfissisrls@gmail.com</v>
          </cell>
          <cell r="R1157" t="str">
            <v>BONIFICO BANCARIO, ALLA DATA DELLA NOSTRA CONFERMA D'ORDINE</v>
          </cell>
          <cell r="X1157">
            <v>0.25</v>
          </cell>
          <cell r="Y1157">
            <v>-0.04</v>
          </cell>
          <cell r="AB1157">
            <v>0.25</v>
          </cell>
          <cell r="AC1157">
            <v>0.25</v>
          </cell>
          <cell r="AD1157">
            <v>0.25</v>
          </cell>
          <cell r="AE1157">
            <v>0.25</v>
          </cell>
          <cell r="AF1157">
            <v>0.25</v>
          </cell>
          <cell r="AG1157">
            <v>0.25</v>
          </cell>
          <cell r="AH1157">
            <v>0.25</v>
          </cell>
          <cell r="AI1157">
            <v>0.25</v>
          </cell>
          <cell r="AJ1157">
            <v>0.25</v>
          </cell>
          <cell r="AK1157">
            <v>0.25</v>
          </cell>
          <cell r="AL1157">
            <v>0.25</v>
          </cell>
          <cell r="AM1157">
            <v>0.25</v>
          </cell>
          <cell r="AN1157">
            <v>0.25</v>
          </cell>
          <cell r="AO1157">
            <v>0.25</v>
          </cell>
          <cell r="AP1157">
            <v>0.25</v>
          </cell>
          <cell r="AQ1157">
            <v>0.25</v>
          </cell>
          <cell r="AR1157">
            <v>0.25</v>
          </cell>
          <cell r="AS1157">
            <v>0.25</v>
          </cell>
          <cell r="AT1157">
            <v>-0.04</v>
          </cell>
          <cell r="AU1157">
            <v>0.88</v>
          </cell>
          <cell r="AV1157">
            <v>20</v>
          </cell>
          <cell r="AY1157" t="str">
            <v/>
          </cell>
          <cell r="AZ1157">
            <v>0.25</v>
          </cell>
          <cell r="BA1157">
            <v>0.25</v>
          </cell>
          <cell r="BF1157" t="str">
            <v>CLICK RAPID con carpenteria 16/03/2020</v>
          </cell>
        </row>
        <row r="1158">
          <cell r="A1158" t="str">
            <v>GARONE HABITAT</v>
          </cell>
          <cell r="D1158" t="str">
            <v>LOC. SANT'ANTUONO ZONA INDUSTRIALE</v>
          </cell>
          <cell r="E1158" t="str">
            <v>84035</v>
          </cell>
          <cell r="F1158" t="str">
            <v>POLLA</v>
          </cell>
          <cell r="G1158" t="str">
            <v>SA</v>
          </cell>
          <cell r="H1158" t="str">
            <v>ITALIA</v>
          </cell>
          <cell r="J1158" t="str">
            <v>02624830655</v>
          </cell>
          <cell r="M1158" t="str">
            <v>UFFICIO ACQUISTI</v>
          </cell>
          <cell r="N1158" t="str">
            <v>0975 390632</v>
          </cell>
          <cell r="O1158" t="str">
            <v>335 6275442 PASQUALE GARONE</v>
          </cell>
          <cell r="P1158" t="str">
            <v>gp@garonehabitat.com</v>
          </cell>
          <cell r="R1158" t="str">
            <v>BONIFICO BANCARIO, ALLA DATA DELLA NOSTRA CONFERMA D'ORDINE</v>
          </cell>
          <cell r="X1158">
            <v>0.25</v>
          </cell>
          <cell r="Y1158">
            <v>-0.04</v>
          </cell>
          <cell r="AB1158">
            <v>0.25</v>
          </cell>
          <cell r="AC1158">
            <v>0.25</v>
          </cell>
          <cell r="AD1158">
            <v>0.25</v>
          </cell>
          <cell r="AE1158">
            <v>0.25</v>
          </cell>
          <cell r="AF1158">
            <v>0.25</v>
          </cell>
          <cell r="AG1158">
            <v>0.25</v>
          </cell>
          <cell r="AH1158">
            <v>0.25</v>
          </cell>
          <cell r="AI1158">
            <v>0.25</v>
          </cell>
          <cell r="AJ1158">
            <v>0.25</v>
          </cell>
          <cell r="AK1158">
            <v>0.25</v>
          </cell>
          <cell r="AL1158">
            <v>0.25</v>
          </cell>
          <cell r="AM1158">
            <v>0.25</v>
          </cell>
          <cell r="AN1158">
            <v>0.25</v>
          </cell>
          <cell r="AO1158">
            <v>0.25</v>
          </cell>
          <cell r="AP1158">
            <v>0.25</v>
          </cell>
          <cell r="AQ1158">
            <v>0.25</v>
          </cell>
          <cell r="AR1158">
            <v>0.25</v>
          </cell>
          <cell r="AS1158">
            <v>0.25</v>
          </cell>
          <cell r="AT1158">
            <v>-0.04</v>
          </cell>
          <cell r="AU1158">
            <v>0.92</v>
          </cell>
          <cell r="AV1158">
            <v>20</v>
          </cell>
          <cell r="AW1158" t="str">
            <v>PIETRO OLIVADOTI</v>
          </cell>
          <cell r="AX1158">
            <v>0.95</v>
          </cell>
          <cell r="AZ1158">
            <v>0.25</v>
          </cell>
          <cell r="BA1158">
            <v>0.25</v>
          </cell>
        </row>
        <row r="1159">
          <cell r="A1159" t="str">
            <v>GARRONE s.n.c.SERRAMENTI</v>
          </cell>
          <cell r="D1159" t="str">
            <v>VIA RIVAROLO, 207 R</v>
          </cell>
          <cell r="E1159">
            <v>16161</v>
          </cell>
          <cell r="F1159" t="str">
            <v>GENOVA</v>
          </cell>
          <cell r="G1159" t="str">
            <v>GE</v>
          </cell>
          <cell r="H1159" t="str">
            <v>ITALIA</v>
          </cell>
          <cell r="M1159" t="str">
            <v>UFFICIO ACQUISTI</v>
          </cell>
          <cell r="N1159" t="str">
            <v>010 7401444</v>
          </cell>
          <cell r="R1159" t="str">
            <v>BONIFICO BANCARIO, ALLA DATA DELLA NOSTRA CONFERMA D'ORDINE</v>
          </cell>
          <cell r="X1159">
            <v>0.25</v>
          </cell>
          <cell r="Y1159">
            <v>-0.04</v>
          </cell>
          <cell r="AB1159">
            <v>0.25</v>
          </cell>
          <cell r="AC1159">
            <v>0.25</v>
          </cell>
          <cell r="AD1159">
            <v>0.25</v>
          </cell>
          <cell r="AE1159">
            <v>0.25</v>
          </cell>
          <cell r="AF1159">
            <v>0.25</v>
          </cell>
          <cell r="AG1159">
            <v>0.25</v>
          </cell>
          <cell r="AH1159">
            <v>0.25</v>
          </cell>
          <cell r="AI1159">
            <v>0.25</v>
          </cell>
          <cell r="AJ1159">
            <v>0.25</v>
          </cell>
          <cell r="AK1159">
            <v>0.25</v>
          </cell>
          <cell r="AL1159">
            <v>0.25</v>
          </cell>
          <cell r="AM1159">
            <v>0.25</v>
          </cell>
          <cell r="AN1159">
            <v>0.25</v>
          </cell>
          <cell r="AO1159">
            <v>0.25</v>
          </cell>
          <cell r="AP1159">
            <v>0.25</v>
          </cell>
          <cell r="AQ1159">
            <v>0.25</v>
          </cell>
          <cell r="AR1159">
            <v>0.25</v>
          </cell>
          <cell r="AS1159">
            <v>0.25</v>
          </cell>
          <cell r="AT1159">
            <v>-0.04</v>
          </cell>
          <cell r="AU1159">
            <v>0.92</v>
          </cell>
          <cell r="AV1159">
            <v>20</v>
          </cell>
          <cell r="AY1159" t="str">
            <v/>
          </cell>
          <cell r="AZ1159">
            <v>0.25</v>
          </cell>
          <cell r="BA1159">
            <v>0.25</v>
          </cell>
        </row>
        <row r="1160">
          <cell r="A1160" t="str">
            <v>GASPEROTTI SRL</v>
          </cell>
          <cell r="D1160" t="str">
            <v>VIA FORNACI, 62 A B (Z.I,)</v>
          </cell>
          <cell r="E1160">
            <v>38068</v>
          </cell>
          <cell r="F1160" t="str">
            <v>ROVERETO</v>
          </cell>
          <cell r="G1160" t="str">
            <v>TN</v>
          </cell>
          <cell r="H1160" t="str">
            <v>ITALIA</v>
          </cell>
          <cell r="M1160" t="str">
            <v>UFFICIO ACQUISTI</v>
          </cell>
          <cell r="N1160" t="str">
            <v>0464 435353</v>
          </cell>
          <cell r="P1160" t="str">
            <v>info@gasperotti.com</v>
          </cell>
          <cell r="R1160" t="str">
            <v>BONIFICO BANCARIO, ALLA DATA DELLA NOSTRA CONFERMA D'ORDINE</v>
          </cell>
          <cell r="X1160">
            <v>0.25</v>
          </cell>
          <cell r="Y1160">
            <v>-0.04</v>
          </cell>
          <cell r="AB1160">
            <v>0.25</v>
          </cell>
          <cell r="AC1160">
            <v>0.25</v>
          </cell>
          <cell r="AD1160">
            <v>0.25</v>
          </cell>
          <cell r="AE1160">
            <v>0.25</v>
          </cell>
          <cell r="AF1160">
            <v>0.25</v>
          </cell>
          <cell r="AG1160">
            <v>0.25</v>
          </cell>
          <cell r="AH1160">
            <v>0.25</v>
          </cell>
          <cell r="AI1160">
            <v>0.25</v>
          </cell>
          <cell r="AJ1160">
            <v>0.25</v>
          </cell>
          <cell r="AK1160">
            <v>0.25</v>
          </cell>
          <cell r="AL1160">
            <v>0.25</v>
          </cell>
          <cell r="AM1160">
            <v>0.25</v>
          </cell>
          <cell r="AN1160">
            <v>0.25</v>
          </cell>
          <cell r="AO1160">
            <v>0.25</v>
          </cell>
          <cell r="AP1160">
            <v>0.25</v>
          </cell>
          <cell r="AQ1160">
            <v>0.25</v>
          </cell>
          <cell r="AR1160">
            <v>0.25</v>
          </cell>
          <cell r="AS1160">
            <v>0.25</v>
          </cell>
          <cell r="AT1160">
            <v>-0.04</v>
          </cell>
          <cell r="AU1160">
            <v>0.92</v>
          </cell>
          <cell r="AV1160">
            <v>20</v>
          </cell>
          <cell r="AY1160" t="str">
            <v/>
          </cell>
          <cell r="AZ1160">
            <v>0.25</v>
          </cell>
          <cell r="BA1160">
            <v>0.25</v>
          </cell>
        </row>
        <row r="1161">
          <cell r="A1161" t="str">
            <v>GATE SRL</v>
          </cell>
          <cell r="B1161" t="str">
            <v>PRENDERE APPUNTAMENTO</v>
          </cell>
          <cell r="D1161" t="str">
            <v>VIA EMPOLI, 14</v>
          </cell>
          <cell r="E1161" t="str">
            <v>50142</v>
          </cell>
          <cell r="F1161" t="str">
            <v>FIRENZE</v>
          </cell>
          <cell r="G1161" t="str">
            <v>FI</v>
          </cell>
          <cell r="H1161" t="str">
            <v>ITALIA</v>
          </cell>
          <cell r="M1161" t="str">
            <v>UFFICIO ACQUISTI</v>
          </cell>
          <cell r="N1161" t="str">
            <v>055 0197531</v>
          </cell>
          <cell r="P1161" t="str">
            <v>info@gatefirenze.it</v>
          </cell>
          <cell r="R1161" t="str">
            <v>BONIFICO BANCARIO, ALLA DATA DELLA NOSTRA CONFERMA D'ORDINE</v>
          </cell>
          <cell r="X1161">
            <v>0.25</v>
          </cell>
          <cell r="Y1161">
            <v>-0.04</v>
          </cell>
          <cell r="AB1161">
            <v>0.25</v>
          </cell>
          <cell r="AC1161">
            <v>0.25</v>
          </cell>
          <cell r="AD1161">
            <v>0.25</v>
          </cell>
          <cell r="AE1161">
            <v>0.25</v>
          </cell>
          <cell r="AF1161">
            <v>0.25</v>
          </cell>
          <cell r="AG1161">
            <v>0.25</v>
          </cell>
          <cell r="AH1161">
            <v>0.25</v>
          </cell>
          <cell r="AI1161">
            <v>0.25</v>
          </cell>
          <cell r="AJ1161">
            <v>0.25</v>
          </cell>
          <cell r="AK1161">
            <v>0.25</v>
          </cell>
          <cell r="AL1161">
            <v>0.25</v>
          </cell>
          <cell r="AM1161">
            <v>0.25</v>
          </cell>
          <cell r="AN1161">
            <v>0.25</v>
          </cell>
          <cell r="AO1161">
            <v>0.25</v>
          </cell>
          <cell r="AP1161">
            <v>0.25</v>
          </cell>
          <cell r="AQ1161">
            <v>0.25</v>
          </cell>
          <cell r="AR1161">
            <v>0.25</v>
          </cell>
          <cell r="AS1161">
            <v>0.25</v>
          </cell>
          <cell r="AT1161">
            <v>-0.04</v>
          </cell>
          <cell r="AU1161">
            <v>0.92</v>
          </cell>
          <cell r="AV1161">
            <v>20</v>
          </cell>
          <cell r="AZ1161">
            <v>0.25</v>
          </cell>
          <cell r="BA1161">
            <v>0.25</v>
          </cell>
        </row>
        <row r="1162">
          <cell r="A1162" t="str">
            <v>GATTORNA INFISSI</v>
          </cell>
          <cell r="D1162" t="str">
            <v>VIA DEL COMMERCIO, 57</v>
          </cell>
          <cell r="E1162" t="str">
            <v>16047</v>
          </cell>
          <cell r="F1162" t="str">
            <v>GATTORNA DI MICON.</v>
          </cell>
          <cell r="G1162" t="str">
            <v>GE</v>
          </cell>
          <cell r="H1162" t="str">
            <v>ITALIA</v>
          </cell>
          <cell r="M1162" t="str">
            <v>UFFICIO ACQUISTI</v>
          </cell>
          <cell r="N1162" t="str">
            <v>0185 934762</v>
          </cell>
          <cell r="O1162" t="str">
            <v>329 2183975    348 8424174</v>
          </cell>
          <cell r="R1162" t="str">
            <v>BONIFICO BANCARIO, ALLA DATA DELLA NOSTRA CONFERMA D'ORDINE</v>
          </cell>
          <cell r="X1162">
            <v>0.25</v>
          </cell>
          <cell r="Y1162">
            <v>-0.04</v>
          </cell>
          <cell r="AB1162">
            <v>0.25</v>
          </cell>
          <cell r="AC1162">
            <v>0.25</v>
          </cell>
          <cell r="AD1162">
            <v>0.25</v>
          </cell>
          <cell r="AE1162">
            <v>0.25</v>
          </cell>
          <cell r="AF1162">
            <v>0.25</v>
          </cell>
          <cell r="AG1162">
            <v>0.25</v>
          </cell>
          <cell r="AH1162">
            <v>0.25</v>
          </cell>
          <cell r="AI1162">
            <v>0.25</v>
          </cell>
          <cell r="AJ1162">
            <v>0.25</v>
          </cell>
          <cell r="AK1162">
            <v>0.25</v>
          </cell>
          <cell r="AL1162">
            <v>0.25</v>
          </cell>
          <cell r="AM1162">
            <v>0.25</v>
          </cell>
          <cell r="AN1162">
            <v>0.25</v>
          </cell>
          <cell r="AO1162">
            <v>0.25</v>
          </cell>
          <cell r="AP1162">
            <v>0.25</v>
          </cell>
          <cell r="AQ1162">
            <v>0.25</v>
          </cell>
          <cell r="AR1162">
            <v>0.25</v>
          </cell>
          <cell r="AS1162">
            <v>0.25</v>
          </cell>
          <cell r="AT1162">
            <v>-0.04</v>
          </cell>
          <cell r="AU1162">
            <v>0.92</v>
          </cell>
          <cell r="AV1162">
            <v>20</v>
          </cell>
          <cell r="AZ1162">
            <v>0.25</v>
          </cell>
          <cell r="BA1162">
            <v>0.25</v>
          </cell>
        </row>
        <row r="1163">
          <cell r="A1163" t="str">
            <v>GAVENI SERRAMENTI DI GAVENI CARLO</v>
          </cell>
          <cell r="D1163" t="str">
            <v>VIA G.PUCCINI, 11/13</v>
          </cell>
          <cell r="E1163" t="str">
            <v>26027</v>
          </cell>
          <cell r="F1163" t="str">
            <v>RIVOLTA D'ADDA</v>
          </cell>
          <cell r="G1163" t="str">
            <v>CR</v>
          </cell>
          <cell r="H1163" t="str">
            <v>ITALIA</v>
          </cell>
          <cell r="M1163" t="str">
            <v>UFFICIO ACQUISTI</v>
          </cell>
          <cell r="N1163" t="str">
            <v>0363 370368</v>
          </cell>
          <cell r="P1163" t="str">
            <v>gaveniserramenti@gmail.com</v>
          </cell>
          <cell r="R1163" t="str">
            <v>BONIFICO BANCARIO, ALLA DATA DELLA NOSTRA CONFERMA D'ORDINE</v>
          </cell>
          <cell r="X1163">
            <v>0.2</v>
          </cell>
          <cell r="Y1163">
            <v>-0.04</v>
          </cell>
          <cell r="AB1163">
            <v>0.2</v>
          </cell>
          <cell r="AC1163">
            <v>0.2</v>
          </cell>
          <cell r="AD1163">
            <v>0.2</v>
          </cell>
          <cell r="AE1163">
            <v>0.2</v>
          </cell>
          <cell r="AF1163">
            <v>0.2</v>
          </cell>
          <cell r="AG1163">
            <v>0.2</v>
          </cell>
          <cell r="AH1163">
            <v>0.2</v>
          </cell>
          <cell r="AI1163">
            <v>0.2</v>
          </cell>
          <cell r="AJ1163">
            <v>0.2</v>
          </cell>
          <cell r="AK1163">
            <v>0.2</v>
          </cell>
          <cell r="AL1163">
            <v>0.2</v>
          </cell>
          <cell r="AM1163">
            <v>0.2</v>
          </cell>
          <cell r="AN1163">
            <v>0.2</v>
          </cell>
          <cell r="AO1163">
            <v>0.2</v>
          </cell>
          <cell r="AP1163">
            <v>0.2</v>
          </cell>
          <cell r="AQ1163">
            <v>0.2</v>
          </cell>
          <cell r="AR1163">
            <v>0.2</v>
          </cell>
          <cell r="AS1163">
            <v>0.2</v>
          </cell>
          <cell r="AT1163">
            <v>-0.04</v>
          </cell>
          <cell r="AU1163">
            <v>0.92</v>
          </cell>
          <cell r="AV1163">
            <v>20</v>
          </cell>
          <cell r="AZ1163">
            <v>0.2</v>
          </cell>
          <cell r="BA1163">
            <v>0.2</v>
          </cell>
        </row>
        <row r="1164">
          <cell r="A1164" t="str">
            <v>GB di Boschetti &amp; C. s.n.c.</v>
          </cell>
          <cell r="D1164" t="str">
            <v>STR.SAN GIORGIO-CIGLIANO, 5</v>
          </cell>
          <cell r="E1164">
            <v>10090</v>
          </cell>
          <cell r="F1164" t="str">
            <v>SAN GIUSTO CAN. SE</v>
          </cell>
          <cell r="G1164" t="str">
            <v>TO</v>
          </cell>
          <cell r="H1164" t="str">
            <v>ITALIA</v>
          </cell>
          <cell r="M1164" t="str">
            <v>UFFICIO ACQUISTI</v>
          </cell>
          <cell r="N1164" t="str">
            <v>0124 493673</v>
          </cell>
          <cell r="O1164" t="str">
            <v>348 5629149</v>
          </cell>
          <cell r="P1164" t="str">
            <v>gbboschetti@tiscali.it</v>
          </cell>
          <cell r="R1164" t="str">
            <v>BONIFICO BANCARIO, ALLA DATA DELLA NOSTRA CONFERMA D'ORDINE</v>
          </cell>
          <cell r="X1164">
            <v>0.25</v>
          </cell>
          <cell r="Y1164">
            <v>-0.04</v>
          </cell>
          <cell r="AB1164">
            <v>0.25</v>
          </cell>
          <cell r="AC1164">
            <v>0.25</v>
          </cell>
          <cell r="AD1164">
            <v>0.25</v>
          </cell>
          <cell r="AE1164">
            <v>0.25</v>
          </cell>
          <cell r="AF1164">
            <v>0.25</v>
          </cell>
          <cell r="AG1164">
            <v>0.25</v>
          </cell>
          <cell r="AH1164">
            <v>0.25</v>
          </cell>
          <cell r="AI1164">
            <v>0.25</v>
          </cell>
          <cell r="AJ1164">
            <v>0.25</v>
          </cell>
          <cell r="AK1164">
            <v>0.25</v>
          </cell>
          <cell r="AL1164">
            <v>0.25</v>
          </cell>
          <cell r="AM1164">
            <v>0.25</v>
          </cell>
          <cell r="AN1164">
            <v>0.25</v>
          </cell>
          <cell r="AO1164">
            <v>0.25</v>
          </cell>
          <cell r="AP1164">
            <v>0.25</v>
          </cell>
          <cell r="AQ1164">
            <v>0.25</v>
          </cell>
          <cell r="AR1164">
            <v>0.25</v>
          </cell>
          <cell r="AS1164">
            <v>0.25</v>
          </cell>
          <cell r="AT1164">
            <v>-0.04</v>
          </cell>
          <cell r="AU1164">
            <v>0.92</v>
          </cell>
          <cell r="AV1164">
            <v>20</v>
          </cell>
          <cell r="AY1164" t="str">
            <v/>
          </cell>
          <cell r="AZ1164">
            <v>0.25</v>
          </cell>
          <cell r="BA1164">
            <v>0.25</v>
          </cell>
        </row>
        <row r="1165">
          <cell r="A1165" t="str">
            <v>GBC DEI F.LLI DI MARCANTONIO SNC</v>
          </cell>
          <cell r="B1165" t="str">
            <v>FABIO DI MARCANTONIO</v>
          </cell>
          <cell r="D1165" t="str">
            <v>VIA TURATI, 138</v>
          </cell>
          <cell r="E1165" t="str">
            <v>64021</v>
          </cell>
          <cell r="F1165" t="str">
            <v>GIULIANOVA</v>
          </cell>
          <cell r="G1165" t="str">
            <v>TE</v>
          </cell>
          <cell r="H1165" t="str">
            <v>ITALIA</v>
          </cell>
          <cell r="J1165" t="str">
            <v>00815300678</v>
          </cell>
          <cell r="M1165" t="str">
            <v>UFFICIO ACQUISTI</v>
          </cell>
          <cell r="O1165" t="str">
            <v>347 8657063</v>
          </cell>
          <cell r="P1165" t="str">
            <v>falegnameriagbc@gmail.com</v>
          </cell>
          <cell r="R1165" t="str">
            <v>BONIFICO BANCARIO, ALLA DATA DELLA NOSTRA CONFERMA D'ORDINE</v>
          </cell>
          <cell r="X1165">
            <v>0.25</v>
          </cell>
          <cell r="Y1165">
            <v>-0.04</v>
          </cell>
          <cell r="AB1165">
            <v>0.25</v>
          </cell>
          <cell r="AC1165">
            <v>0.25</v>
          </cell>
          <cell r="AD1165">
            <v>0.25</v>
          </cell>
          <cell r="AE1165">
            <v>0.25</v>
          </cell>
          <cell r="AF1165">
            <v>0.25</v>
          </cell>
          <cell r="AG1165">
            <v>0.25</v>
          </cell>
          <cell r="AH1165">
            <v>0.25</v>
          </cell>
          <cell r="AI1165">
            <v>0.25</v>
          </cell>
          <cell r="AJ1165">
            <v>0.25</v>
          </cell>
          <cell r="AK1165">
            <v>0.25</v>
          </cell>
          <cell r="AL1165">
            <v>0.25</v>
          </cell>
          <cell r="AM1165">
            <v>0.25</v>
          </cell>
          <cell r="AN1165">
            <v>0.25</v>
          </cell>
          <cell r="AO1165">
            <v>0.25</v>
          </cell>
          <cell r="AP1165">
            <v>0.25</v>
          </cell>
          <cell r="AQ1165">
            <v>0.25</v>
          </cell>
          <cell r="AR1165">
            <v>0.25</v>
          </cell>
          <cell r="AS1165">
            <v>0.25</v>
          </cell>
          <cell r="AT1165">
            <v>-0.04</v>
          </cell>
          <cell r="AU1165">
            <v>0.92</v>
          </cell>
          <cell r="AV1165">
            <v>20</v>
          </cell>
          <cell r="AZ1165">
            <v>0.25</v>
          </cell>
          <cell r="BA1165">
            <v>0.25</v>
          </cell>
        </row>
        <row r="1166">
          <cell r="A1166" t="str">
            <v>GC INFISSI</v>
          </cell>
          <cell r="D1166" t="str">
            <v>STRADA POLLINO, 4</v>
          </cell>
          <cell r="E1166">
            <v>10011</v>
          </cell>
          <cell r="F1166" t="str">
            <v>AGILE'</v>
          </cell>
          <cell r="G1166" t="str">
            <v>TO</v>
          </cell>
          <cell r="H1166" t="str">
            <v>ITALIA</v>
          </cell>
          <cell r="J1166" t="str">
            <v>09527690011</v>
          </cell>
          <cell r="M1166" t="str">
            <v>UFFICIO ACQUISTI</v>
          </cell>
          <cell r="N1166" t="str">
            <v>0124 442667</v>
          </cell>
          <cell r="P1166" t="str">
            <v>gcinfissi@.com</v>
          </cell>
          <cell r="R1166" t="str">
            <v>BONIFICO BANCARIO, ALLA DATA DELLA NOSTRA CONFERMA D'ORDINE</v>
          </cell>
          <cell r="X1166">
            <v>0.25</v>
          </cell>
          <cell r="Y1166">
            <v>-0.04</v>
          </cell>
          <cell r="AB1166">
            <v>0.25</v>
          </cell>
          <cell r="AC1166">
            <v>0.25</v>
          </cell>
          <cell r="AD1166">
            <v>0.25</v>
          </cell>
          <cell r="AE1166">
            <v>0.25</v>
          </cell>
          <cell r="AF1166">
            <v>0.25</v>
          </cell>
          <cell r="AG1166">
            <v>0.25</v>
          </cell>
          <cell r="AH1166">
            <v>0.25</v>
          </cell>
          <cell r="AI1166">
            <v>0.25</v>
          </cell>
          <cell r="AJ1166">
            <v>0.25</v>
          </cell>
          <cell r="AK1166">
            <v>0.25</v>
          </cell>
          <cell r="AL1166">
            <v>0.25</v>
          </cell>
          <cell r="AM1166">
            <v>0.25</v>
          </cell>
          <cell r="AN1166">
            <v>0.25</v>
          </cell>
          <cell r="AO1166">
            <v>0.25</v>
          </cell>
          <cell r="AP1166">
            <v>0.25</v>
          </cell>
          <cell r="AQ1166">
            <v>0.25</v>
          </cell>
          <cell r="AR1166">
            <v>0.25</v>
          </cell>
          <cell r="AS1166">
            <v>0.25</v>
          </cell>
          <cell r="AT1166">
            <v>-0.04</v>
          </cell>
          <cell r="AU1166">
            <v>0.92</v>
          </cell>
          <cell r="AV1166">
            <v>20</v>
          </cell>
          <cell r="AY1166" t="str">
            <v/>
          </cell>
          <cell r="AZ1166">
            <v>0.25</v>
          </cell>
          <cell r="BA1166">
            <v>0.25</v>
          </cell>
        </row>
        <row r="1167">
          <cell r="A1167" t="str">
            <v>GD HAUS</v>
          </cell>
          <cell r="B1167" t="str">
            <v>SALVO PER WATER</v>
          </cell>
          <cell r="D1167" t="str">
            <v>VIA TRINACRIA, 11</v>
          </cell>
          <cell r="E1167" t="str">
            <v>95030</v>
          </cell>
          <cell r="F1167" t="str">
            <v>CANALICCHIO-TREMESTIERI ETNEO</v>
          </cell>
          <cell r="G1167" t="str">
            <v>CT</v>
          </cell>
          <cell r="H1167" t="str">
            <v>ITALIA</v>
          </cell>
          <cell r="M1167" t="str">
            <v>UFFICIO ACQUISTI</v>
          </cell>
          <cell r="N1167" t="str">
            <v>095 492481</v>
          </cell>
          <cell r="P1167" t="str">
            <v>info@gdhaus.it</v>
          </cell>
          <cell r="R1167" t="str">
            <v>BONIFICO BANCARIO, ALLA DATA DELLA NOSTRA CONFERMA D'ORDINE</v>
          </cell>
          <cell r="X1167">
            <v>0.25</v>
          </cell>
          <cell r="Y1167">
            <v>-0.04</v>
          </cell>
          <cell r="AB1167">
            <v>0.25</v>
          </cell>
          <cell r="AC1167">
            <v>0.25</v>
          </cell>
          <cell r="AD1167">
            <v>0.25</v>
          </cell>
          <cell r="AE1167">
            <v>0.25</v>
          </cell>
          <cell r="AF1167">
            <v>0.25</v>
          </cell>
          <cell r="AG1167">
            <v>0.25</v>
          </cell>
          <cell r="AH1167">
            <v>0.25</v>
          </cell>
          <cell r="AI1167">
            <v>0.25</v>
          </cell>
          <cell r="AJ1167">
            <v>0.25</v>
          </cell>
          <cell r="AK1167">
            <v>0.25</v>
          </cell>
          <cell r="AL1167">
            <v>0.25</v>
          </cell>
          <cell r="AM1167">
            <v>0.25</v>
          </cell>
          <cell r="AN1167">
            <v>0.25</v>
          </cell>
          <cell r="AO1167">
            <v>0.25</v>
          </cell>
          <cell r="AP1167">
            <v>0.25</v>
          </cell>
          <cell r="AQ1167">
            <v>0.25</v>
          </cell>
          <cell r="AR1167">
            <v>0.25</v>
          </cell>
          <cell r="AS1167">
            <v>0.25</v>
          </cell>
          <cell r="AT1167">
            <v>-0.04</v>
          </cell>
          <cell r="AU1167">
            <v>0.92</v>
          </cell>
          <cell r="AV1167">
            <v>20</v>
          </cell>
          <cell r="AY1167" t="str">
            <v/>
          </cell>
          <cell r="AZ1167">
            <v>0.25</v>
          </cell>
          <cell r="BA1167">
            <v>0.25</v>
          </cell>
        </row>
        <row r="1168">
          <cell r="A1168" t="str">
            <v>GDL SERRAMENTI DI YONNI DE LUCA &amp;C. SNC</v>
          </cell>
          <cell r="D1168" t="str">
            <v>VIA VAL DI FORO, 129</v>
          </cell>
          <cell r="E1168" t="str">
            <v>66010</v>
          </cell>
          <cell r="F1168" t="str">
            <v>VILLAMAGNA</v>
          </cell>
          <cell r="G1168" t="str">
            <v>CH</v>
          </cell>
          <cell r="H1168" t="str">
            <v>ITALIA</v>
          </cell>
          <cell r="J1168" t="str">
            <v>02203710690</v>
          </cell>
          <cell r="M1168" t="str">
            <v>UFFICIO ACQUISTI</v>
          </cell>
          <cell r="N1168" t="str">
            <v>0871 301084</v>
          </cell>
          <cell r="O1168" t="str">
            <v>328 7058227</v>
          </cell>
          <cell r="R1168" t="str">
            <v>BONIFICO BANCARIO, ALLA DATA DELLA NOSTRA CONFERMA D'ORDINE</v>
          </cell>
          <cell r="X1168">
            <v>0.25</v>
          </cell>
          <cell r="Y1168">
            <v>-0.04</v>
          </cell>
          <cell r="AB1168">
            <v>0.25</v>
          </cell>
          <cell r="AC1168">
            <v>0.25</v>
          </cell>
          <cell r="AD1168">
            <v>0.25</v>
          </cell>
          <cell r="AE1168">
            <v>0.25</v>
          </cell>
          <cell r="AF1168">
            <v>0.25</v>
          </cell>
          <cell r="AG1168">
            <v>0.25</v>
          </cell>
          <cell r="AH1168">
            <v>0.25</v>
          </cell>
          <cell r="AI1168">
            <v>0.25</v>
          </cell>
          <cell r="AJ1168">
            <v>0.25</v>
          </cell>
          <cell r="AK1168">
            <v>0.25</v>
          </cell>
          <cell r="AL1168">
            <v>0.25</v>
          </cell>
          <cell r="AM1168">
            <v>0.25</v>
          </cell>
          <cell r="AN1168">
            <v>0.25</v>
          </cell>
          <cell r="AO1168">
            <v>0.25</v>
          </cell>
          <cell r="AP1168">
            <v>0.25</v>
          </cell>
          <cell r="AQ1168">
            <v>0.25</v>
          </cell>
          <cell r="AR1168">
            <v>0.25</v>
          </cell>
          <cell r="AS1168">
            <v>0.25</v>
          </cell>
          <cell r="AT1168">
            <v>-0.04</v>
          </cell>
          <cell r="AU1168">
            <v>0.92</v>
          </cell>
          <cell r="AV1168">
            <v>20</v>
          </cell>
          <cell r="AZ1168">
            <v>0.25</v>
          </cell>
          <cell r="BA1168">
            <v>0.25</v>
          </cell>
        </row>
        <row r="1169">
          <cell r="A1169" t="str">
            <v>GE STYLE INFISSI E PORTE</v>
          </cell>
          <cell r="D1169" t="str">
            <v>VIA GIOVANNI XXIII, 2</v>
          </cell>
          <cell r="E1169" t="str">
            <v>28845</v>
          </cell>
          <cell r="F1169" t="str">
            <v>DOMODOSSOLA</v>
          </cell>
          <cell r="G1169" t="str">
            <v>VB</v>
          </cell>
          <cell r="H1169" t="str">
            <v>ITALIA</v>
          </cell>
          <cell r="M1169" t="str">
            <v>UFFICIO ACQUISTI</v>
          </cell>
          <cell r="O1169" t="str">
            <v>347 3808367</v>
          </cell>
          <cell r="P1169" t="str">
            <v>ge.style@hotmail.com</v>
          </cell>
          <cell r="R1169" t="str">
            <v>BONIFICO BANCARIO, ALLA DATA DELLA NOSTRA CONFERMA D'ORDINE</v>
          </cell>
          <cell r="X1169">
            <v>0.25</v>
          </cell>
          <cell r="Y1169">
            <v>-0.04</v>
          </cell>
          <cell r="AB1169">
            <v>0.25</v>
          </cell>
          <cell r="AC1169">
            <v>0.25</v>
          </cell>
          <cell r="AD1169">
            <v>0.25</v>
          </cell>
          <cell r="AE1169">
            <v>0.25</v>
          </cell>
          <cell r="AF1169">
            <v>0.25</v>
          </cell>
          <cell r="AG1169">
            <v>0.25</v>
          </cell>
          <cell r="AH1169">
            <v>0.25</v>
          </cell>
          <cell r="AI1169">
            <v>0.25</v>
          </cell>
          <cell r="AJ1169">
            <v>0.25</v>
          </cell>
          <cell r="AK1169">
            <v>0.25</v>
          </cell>
          <cell r="AL1169">
            <v>0.25</v>
          </cell>
          <cell r="AM1169">
            <v>0.25</v>
          </cell>
          <cell r="AN1169">
            <v>0.25</v>
          </cell>
          <cell r="AO1169">
            <v>0.25</v>
          </cell>
          <cell r="AP1169">
            <v>0.25</v>
          </cell>
          <cell r="AQ1169">
            <v>0.25</v>
          </cell>
          <cell r="AR1169">
            <v>0.25</v>
          </cell>
          <cell r="AS1169">
            <v>0.25</v>
          </cell>
          <cell r="AT1169">
            <v>-0.04</v>
          </cell>
          <cell r="AU1169">
            <v>0.92</v>
          </cell>
          <cell r="AV1169">
            <v>20</v>
          </cell>
          <cell r="AZ1169">
            <v>0.25</v>
          </cell>
          <cell r="BA1169">
            <v>0.25</v>
          </cell>
        </row>
        <row r="1170">
          <cell r="A1170" t="str">
            <v>GE.K.CO. SERRAMENTI</v>
          </cell>
          <cell r="D1170" t="str">
            <v>VIA DEGLI ARTIGIANI, 41</v>
          </cell>
          <cell r="E1170" t="str">
            <v>00045</v>
          </cell>
          <cell r="F1170" t="str">
            <v>GENZANO DI ROMA</v>
          </cell>
          <cell r="G1170" t="str">
            <v>RM</v>
          </cell>
          <cell r="H1170" t="str">
            <v>ITALIA</v>
          </cell>
          <cell r="M1170" t="str">
            <v>UFFICIO ACQUISTI</v>
          </cell>
          <cell r="N1170" t="str">
            <v>06 93953092</v>
          </cell>
          <cell r="P1170" t="str">
            <v>gekosrl@virgilio.it</v>
          </cell>
          <cell r="R1170" t="str">
            <v>BONIFICO BANCARIO, ALLA DATA DELLA NOSTRA CONFERMA D'ORDINE</v>
          </cell>
          <cell r="X1170">
            <v>0.2</v>
          </cell>
          <cell r="Y1170">
            <v>-0.04</v>
          </cell>
          <cell r="AB1170">
            <v>0.2</v>
          </cell>
          <cell r="AC1170">
            <v>0.2</v>
          </cell>
          <cell r="AD1170">
            <v>0.2</v>
          </cell>
          <cell r="AE1170">
            <v>0.2</v>
          </cell>
          <cell r="AF1170">
            <v>0.2</v>
          </cell>
          <cell r="AG1170">
            <v>0.2</v>
          </cell>
          <cell r="AH1170">
            <v>0.2</v>
          </cell>
          <cell r="AI1170">
            <v>0.2</v>
          </cell>
          <cell r="AJ1170">
            <v>0.2</v>
          </cell>
          <cell r="AK1170">
            <v>0.2</v>
          </cell>
          <cell r="AL1170">
            <v>0.2</v>
          </cell>
          <cell r="AM1170">
            <v>0.2</v>
          </cell>
          <cell r="AN1170">
            <v>0.2</v>
          </cell>
          <cell r="AO1170">
            <v>0.2</v>
          </cell>
          <cell r="AP1170">
            <v>0.2</v>
          </cell>
          <cell r="AQ1170">
            <v>0.2</v>
          </cell>
          <cell r="AR1170">
            <v>0.2</v>
          </cell>
          <cell r="AS1170">
            <v>0.2</v>
          </cell>
          <cell r="AT1170">
            <v>-0.04</v>
          </cell>
          <cell r="AU1170">
            <v>0.92</v>
          </cell>
          <cell r="AV1170">
            <v>20</v>
          </cell>
          <cell r="AZ1170">
            <v>0.2</v>
          </cell>
          <cell r="BA1170">
            <v>0.2</v>
          </cell>
        </row>
        <row r="1171">
          <cell r="A1171" t="str">
            <v>GEC. AL SRL</v>
          </cell>
          <cell r="B1171" t="str">
            <v>LANCELLOTTI PINO  DA  RISENTIRE INTERESSATO</v>
          </cell>
          <cell r="D1171" t="str">
            <v>VIA LEONARDO DA VINCI, 47</v>
          </cell>
          <cell r="E1171" t="str">
            <v>41030</v>
          </cell>
          <cell r="F1171" t="str">
            <v>BASTIGLIA</v>
          </cell>
          <cell r="G1171" t="str">
            <v>MO</v>
          </cell>
          <cell r="H1171" t="str">
            <v>ITALIA</v>
          </cell>
          <cell r="M1171" t="str">
            <v>UFFICIO ACQUISTI</v>
          </cell>
          <cell r="N1171" t="str">
            <v>059 904463</v>
          </cell>
          <cell r="R1171" t="str">
            <v>BONIFICO BANCARIO, ALLA DATA DELLA NOSTRA CONFERMA D'ORDINE</v>
          </cell>
          <cell r="X1171">
            <v>0.25</v>
          </cell>
          <cell r="Y1171">
            <v>-0.04</v>
          </cell>
          <cell r="AB1171">
            <v>0.25</v>
          </cell>
          <cell r="AC1171">
            <v>0.25</v>
          </cell>
          <cell r="AD1171">
            <v>0.25</v>
          </cell>
          <cell r="AE1171">
            <v>0.25</v>
          </cell>
          <cell r="AF1171">
            <v>0.25</v>
          </cell>
          <cell r="AG1171">
            <v>0.25</v>
          </cell>
          <cell r="AH1171">
            <v>0.25</v>
          </cell>
          <cell r="AI1171">
            <v>0.25</v>
          </cell>
          <cell r="AJ1171">
            <v>0.25</v>
          </cell>
          <cell r="AK1171">
            <v>0.25</v>
          </cell>
          <cell r="AL1171">
            <v>0.25</v>
          </cell>
          <cell r="AM1171">
            <v>0.25</v>
          </cell>
          <cell r="AN1171">
            <v>0.25</v>
          </cell>
          <cell r="AO1171">
            <v>0.25</v>
          </cell>
          <cell r="AP1171">
            <v>0.25</v>
          </cell>
          <cell r="AQ1171">
            <v>0.25</v>
          </cell>
          <cell r="AR1171">
            <v>0.25</v>
          </cell>
          <cell r="AS1171">
            <v>0.25</v>
          </cell>
          <cell r="AT1171">
            <v>-0.04</v>
          </cell>
          <cell r="AU1171">
            <v>0.92</v>
          </cell>
          <cell r="AV1171">
            <v>20</v>
          </cell>
          <cell r="AZ1171">
            <v>0.25</v>
          </cell>
          <cell r="BA1171">
            <v>0.25</v>
          </cell>
        </row>
        <row r="1172">
          <cell r="A1172" t="str">
            <v>GELSOMINO EDILIZIA SRL</v>
          </cell>
          <cell r="B1172" t="str">
            <v>ANTONIO RICUCCI</v>
          </cell>
          <cell r="D1172" t="str">
            <v>ZONA IND.DI/46 S.S.89 KM.173+335</v>
          </cell>
          <cell r="E1172" t="str">
            <v>71043</v>
          </cell>
          <cell r="F1172" t="str">
            <v>MANFREDONIA</v>
          </cell>
          <cell r="G1172" t="str">
            <v>FG</v>
          </cell>
          <cell r="H1172" t="str">
            <v>ITALIA</v>
          </cell>
          <cell r="J1172" t="str">
            <v>03610720710</v>
          </cell>
          <cell r="M1172" t="str">
            <v>UFFICIO ACQUISTI</v>
          </cell>
          <cell r="N1172" t="str">
            <v>0884 582828</v>
          </cell>
          <cell r="P1172" t="str">
            <v>ricucci@gelsominoedilizia.it</v>
          </cell>
          <cell r="R1172" t="str">
            <v>BONIFICO BANCARIO, ALLA DATA DELLA NOSTRA CONFERMA D'ORDINE</v>
          </cell>
          <cell r="X1172">
            <v>0.2</v>
          </cell>
          <cell r="Y1172">
            <v>-0.04</v>
          </cell>
          <cell r="AB1172">
            <v>0.2</v>
          </cell>
          <cell r="AC1172">
            <v>0.2</v>
          </cell>
          <cell r="AD1172">
            <v>0.2</v>
          </cell>
          <cell r="AE1172">
            <v>0.2</v>
          </cell>
          <cell r="AF1172">
            <v>0.2</v>
          </cell>
          <cell r="AG1172">
            <v>0.2</v>
          </cell>
          <cell r="AH1172">
            <v>0.2</v>
          </cell>
          <cell r="AI1172">
            <v>0.2</v>
          </cell>
          <cell r="AJ1172">
            <v>0.2</v>
          </cell>
          <cell r="AK1172">
            <v>0.2</v>
          </cell>
          <cell r="AL1172">
            <v>0.2</v>
          </cell>
          <cell r="AM1172">
            <v>0.2</v>
          </cell>
          <cell r="AN1172">
            <v>0.2</v>
          </cell>
          <cell r="AO1172">
            <v>0.2</v>
          </cell>
          <cell r="AP1172">
            <v>0.2</v>
          </cell>
          <cell r="AQ1172">
            <v>0.2</v>
          </cell>
          <cell r="AR1172">
            <v>0.2</v>
          </cell>
          <cell r="AS1172">
            <v>0.2</v>
          </cell>
          <cell r="AT1172">
            <v>-0.04</v>
          </cell>
          <cell r="AU1172">
            <v>0.92</v>
          </cell>
          <cell r="AV1172">
            <v>20</v>
          </cell>
          <cell r="AZ1172">
            <v>0.2</v>
          </cell>
          <cell r="BA1172">
            <v>0.2</v>
          </cell>
        </row>
        <row r="1173">
          <cell r="A1173" t="str">
            <v>GEMA SRL</v>
          </cell>
          <cell r="D1173" t="str">
            <v>VIA A. ALDINI 43</v>
          </cell>
          <cell r="E1173" t="str">
            <v>20100</v>
          </cell>
          <cell r="F1173" t="str">
            <v>MILANO</v>
          </cell>
          <cell r="G1173" t="str">
            <v>MI</v>
          </cell>
          <cell r="H1173" t="str">
            <v>ITALIA</v>
          </cell>
          <cell r="J1173" t="str">
            <v>12882170157</v>
          </cell>
          <cell r="M1173" t="str">
            <v>UFFICIO ACQUISTI</v>
          </cell>
          <cell r="N1173" t="str">
            <v>02 39005283</v>
          </cell>
          <cell r="R1173" t="str">
            <v>BONIFICO BANCARIO, ALLA DATA DELLA NOSTRA CONFERMA D'ORDINE</v>
          </cell>
          <cell r="X1173">
            <v>0.25</v>
          </cell>
          <cell r="Y1173">
            <v>-0.04</v>
          </cell>
          <cell r="AB1173">
            <v>0.25</v>
          </cell>
          <cell r="AC1173">
            <v>0.25</v>
          </cell>
          <cell r="AD1173">
            <v>0.25</v>
          </cell>
          <cell r="AE1173">
            <v>0.25</v>
          </cell>
          <cell r="AF1173">
            <v>0.25</v>
          </cell>
          <cell r="AG1173">
            <v>0.25</v>
          </cell>
          <cell r="AH1173">
            <v>0.25</v>
          </cell>
          <cell r="AI1173">
            <v>0.25</v>
          </cell>
          <cell r="AJ1173">
            <v>0.25</v>
          </cell>
          <cell r="AK1173">
            <v>0.25</v>
          </cell>
          <cell r="AL1173">
            <v>0.25</v>
          </cell>
          <cell r="AM1173">
            <v>0.25</v>
          </cell>
          <cell r="AN1173">
            <v>0.25</v>
          </cell>
          <cell r="AO1173">
            <v>0.25</v>
          </cell>
          <cell r="AP1173">
            <v>0.25</v>
          </cell>
          <cell r="AQ1173">
            <v>0.25</v>
          </cell>
          <cell r="AR1173">
            <v>0.25</v>
          </cell>
          <cell r="AS1173">
            <v>0.25</v>
          </cell>
          <cell r="AT1173">
            <v>-0.04</v>
          </cell>
          <cell r="AU1173">
            <v>0.92</v>
          </cell>
          <cell r="AV1173">
            <v>20</v>
          </cell>
          <cell r="AY1173" t="str">
            <v/>
          </cell>
          <cell r="AZ1173">
            <v>0.25</v>
          </cell>
          <cell r="BA1173">
            <v>0.25</v>
          </cell>
        </row>
        <row r="1174">
          <cell r="A1174" t="str">
            <v>GEMAG SAS DI PUCCIARELLI M. E C.</v>
          </cell>
          <cell r="D1174" t="str">
            <v>VIA ALDO PUCCIARELLI 8</v>
          </cell>
          <cell r="E1174" t="str">
            <v>54031</v>
          </cell>
          <cell r="F1174" t="str">
            <v xml:space="preserve">AVENZA-CARRARA </v>
          </cell>
          <cell r="G1174" t="str">
            <v>MS</v>
          </cell>
          <cell r="H1174" t="str">
            <v>ITALIA</v>
          </cell>
          <cell r="J1174" t="str">
            <v>01100370459</v>
          </cell>
          <cell r="M1174" t="str">
            <v>UFFICIO ACQUISTI</v>
          </cell>
          <cell r="N1174" t="str">
            <v>0585 858570</v>
          </cell>
          <cell r="R1174" t="str">
            <v>BONIFICO BANCARIO, ALLA DATA DELLA NOSTRA CONFERMA D'ORDINE</v>
          </cell>
          <cell r="X1174">
            <v>0.25</v>
          </cell>
          <cell r="Y1174">
            <v>-0.04</v>
          </cell>
          <cell r="AB1174">
            <v>0.25</v>
          </cell>
          <cell r="AC1174">
            <v>0.25</v>
          </cell>
          <cell r="AD1174">
            <v>0.25</v>
          </cell>
          <cell r="AE1174">
            <v>0.25</v>
          </cell>
          <cell r="AF1174">
            <v>0.25</v>
          </cell>
          <cell r="AG1174">
            <v>0.25</v>
          </cell>
          <cell r="AH1174">
            <v>0.25</v>
          </cell>
          <cell r="AI1174">
            <v>0.25</v>
          </cell>
          <cell r="AJ1174">
            <v>0.25</v>
          </cell>
          <cell r="AK1174">
            <v>0.25</v>
          </cell>
          <cell r="AL1174">
            <v>0.25</v>
          </cell>
          <cell r="AM1174">
            <v>0.25</v>
          </cell>
          <cell r="AN1174">
            <v>0.25</v>
          </cell>
          <cell r="AO1174">
            <v>0.25</v>
          </cell>
          <cell r="AP1174">
            <v>0.25</v>
          </cell>
          <cell r="AQ1174">
            <v>0.25</v>
          </cell>
          <cell r="AR1174">
            <v>0.25</v>
          </cell>
          <cell r="AS1174">
            <v>0.25</v>
          </cell>
          <cell r="AT1174">
            <v>-0.04</v>
          </cell>
          <cell r="AU1174">
            <v>0.92</v>
          </cell>
          <cell r="AV1174">
            <v>20</v>
          </cell>
          <cell r="AY1174" t="str">
            <v/>
          </cell>
          <cell r="AZ1174">
            <v>0.25</v>
          </cell>
          <cell r="BA1174">
            <v>0.25</v>
          </cell>
        </row>
        <row r="1175">
          <cell r="A1175" t="str">
            <v>GEMAG SERRAMENTI SRL</v>
          </cell>
          <cell r="D1175" t="str">
            <v>VIA A. PUCCIARELLI 8</v>
          </cell>
          <cell r="E1175" t="str">
            <v>54033</v>
          </cell>
          <cell r="F1175" t="str">
            <v>CARRARA</v>
          </cell>
          <cell r="G1175" t="str">
            <v>MS</v>
          </cell>
          <cell r="H1175" t="str">
            <v>ITALIA</v>
          </cell>
          <cell r="J1175" t="str">
            <v>01100370459</v>
          </cell>
          <cell r="M1175" t="str">
            <v>UFFICIO ACQUISTI</v>
          </cell>
          <cell r="P1175" t="str">
            <v>gemagserramenti@gemagserramenti.com</v>
          </cell>
          <cell r="R1175" t="str">
            <v>BONIFICO BANCARIO, ALLA DATA DELLA NOSTRA CONFERMA D'ORDINE</v>
          </cell>
          <cell r="X1175">
            <v>0.25</v>
          </cell>
          <cell r="Y1175">
            <v>-0.04</v>
          </cell>
          <cell r="AB1175">
            <v>0.25</v>
          </cell>
          <cell r="AC1175">
            <v>0.25</v>
          </cell>
          <cell r="AD1175">
            <v>0.25</v>
          </cell>
          <cell r="AE1175">
            <v>0.25</v>
          </cell>
          <cell r="AF1175">
            <v>0.25</v>
          </cell>
          <cell r="AG1175">
            <v>0.25</v>
          </cell>
          <cell r="AH1175">
            <v>0.25</v>
          </cell>
          <cell r="AI1175">
            <v>0.25</v>
          </cell>
          <cell r="AJ1175">
            <v>0.25</v>
          </cell>
          <cell r="AK1175">
            <v>0.25</v>
          </cell>
          <cell r="AL1175">
            <v>0.25</v>
          </cell>
          <cell r="AM1175">
            <v>0.25</v>
          </cell>
          <cell r="AN1175">
            <v>0.25</v>
          </cell>
          <cell r="AO1175">
            <v>0.25</v>
          </cell>
          <cell r="AP1175">
            <v>0.25</v>
          </cell>
          <cell r="AQ1175">
            <v>0.25</v>
          </cell>
          <cell r="AR1175">
            <v>0.25</v>
          </cell>
          <cell r="AS1175">
            <v>0.25</v>
          </cell>
          <cell r="AT1175">
            <v>-0.04</v>
          </cell>
          <cell r="AU1175">
            <v>0.92</v>
          </cell>
          <cell r="AV1175">
            <v>20</v>
          </cell>
          <cell r="AY1175" t="str">
            <v/>
          </cell>
          <cell r="AZ1175">
            <v>0.25</v>
          </cell>
          <cell r="BA1175">
            <v>0.25</v>
          </cell>
        </row>
        <row r="1176">
          <cell r="A1176" t="str">
            <v>GENIUS GROUP  STILTENDE</v>
          </cell>
          <cell r="D1176" t="str">
            <v>VIA G. ROSSA, 39</v>
          </cell>
          <cell r="E1176">
            <v>44012</v>
          </cell>
          <cell r="F1176" t="str">
            <v>BONDENO</v>
          </cell>
          <cell r="G1176" t="str">
            <v>FE</v>
          </cell>
          <cell r="H1176" t="str">
            <v>ITALIA</v>
          </cell>
          <cell r="M1176" t="str">
            <v>UFFICIO ACQUISTI</v>
          </cell>
          <cell r="N1176" t="str">
            <v>0532 896176</v>
          </cell>
          <cell r="P1176" t="str">
            <v>stiltendegenius@geniusgroup.it</v>
          </cell>
          <cell r="R1176" t="str">
            <v>BONIFICO BANCARIO, ALLA DATA DELLA NOSTRA CONFERMA D'ORDINE</v>
          </cell>
          <cell r="X1176">
            <v>0.25</v>
          </cell>
          <cell r="Y1176">
            <v>-0.04</v>
          </cell>
          <cell r="AB1176">
            <v>0.25</v>
          </cell>
          <cell r="AC1176">
            <v>0.25</v>
          </cell>
          <cell r="AD1176">
            <v>0.25</v>
          </cell>
          <cell r="AE1176">
            <v>0.25</v>
          </cell>
          <cell r="AF1176">
            <v>0.25</v>
          </cell>
          <cell r="AG1176">
            <v>0.25</v>
          </cell>
          <cell r="AH1176">
            <v>0.25</v>
          </cell>
          <cell r="AI1176">
            <v>0.25</v>
          </cell>
          <cell r="AJ1176">
            <v>0.25</v>
          </cell>
          <cell r="AK1176">
            <v>0.25</v>
          </cell>
          <cell r="AL1176">
            <v>0.25</v>
          </cell>
          <cell r="AM1176">
            <v>0.25</v>
          </cell>
          <cell r="AN1176">
            <v>0.25</v>
          </cell>
          <cell r="AO1176">
            <v>0.25</v>
          </cell>
          <cell r="AP1176">
            <v>0.25</v>
          </cell>
          <cell r="AQ1176">
            <v>0.25</v>
          </cell>
          <cell r="AR1176">
            <v>0.25</v>
          </cell>
          <cell r="AS1176">
            <v>0.25</v>
          </cell>
          <cell r="AT1176">
            <v>-0.04</v>
          </cell>
          <cell r="AU1176">
            <v>0.92</v>
          </cell>
          <cell r="AV1176">
            <v>20</v>
          </cell>
          <cell r="AY1176" t="str">
            <v/>
          </cell>
          <cell r="AZ1176">
            <v>0.25</v>
          </cell>
          <cell r="BA1176">
            <v>0.25</v>
          </cell>
        </row>
        <row r="1177">
          <cell r="A1177" t="str">
            <v>GENOS SARDA</v>
          </cell>
          <cell r="B1177" t="str">
            <v>DOPO ALLA PRIMA COMPRA CAMPIONE</v>
          </cell>
          <cell r="D1177" t="str">
            <v>VIA ISTRIA, 8</v>
          </cell>
          <cell r="E1177" t="str">
            <v>09127</v>
          </cell>
          <cell r="F1177" t="str">
            <v>CAGLIARI</v>
          </cell>
          <cell r="G1177" t="str">
            <v>CA</v>
          </cell>
          <cell r="H1177" t="str">
            <v>ITALIA</v>
          </cell>
          <cell r="J1177" t="str">
            <v>03636570925</v>
          </cell>
          <cell r="L1177" t="str">
            <v>VIA NEWTON, 10 - SELARGIUS</v>
          </cell>
          <cell r="M1177" t="str">
            <v>UFFICIO ACQUISTI</v>
          </cell>
          <cell r="O1177" t="str">
            <v>328 3596722</v>
          </cell>
          <cell r="P1177" t="str">
            <v>info@infissigenossarda.it</v>
          </cell>
          <cell r="R1177" t="str">
            <v>BONIFICO BANCARIO, ALLA DATA DELLA NOSTRA CONFERMA D'ORDINE</v>
          </cell>
          <cell r="X1177">
            <v>0.2</v>
          </cell>
          <cell r="Y1177">
            <v>-0.04</v>
          </cell>
          <cell r="AB1177">
            <v>0.2</v>
          </cell>
          <cell r="AC1177">
            <v>0.2</v>
          </cell>
          <cell r="AD1177">
            <v>0.2</v>
          </cell>
          <cell r="AE1177">
            <v>0.2</v>
          </cell>
          <cell r="AF1177">
            <v>0.2</v>
          </cell>
          <cell r="AG1177">
            <v>0.2</v>
          </cell>
          <cell r="AH1177">
            <v>0.2</v>
          </cell>
          <cell r="AI1177">
            <v>0.2</v>
          </cell>
          <cell r="AJ1177">
            <v>0.2</v>
          </cell>
          <cell r="AK1177">
            <v>0.2</v>
          </cell>
          <cell r="AL1177">
            <v>0.2</v>
          </cell>
          <cell r="AM1177">
            <v>0.2</v>
          </cell>
          <cell r="AN1177">
            <v>0.2</v>
          </cell>
          <cell r="AO1177">
            <v>0.2</v>
          </cell>
          <cell r="AP1177">
            <v>0.2</v>
          </cell>
          <cell r="AQ1177">
            <v>0.2</v>
          </cell>
          <cell r="AR1177">
            <v>0.2</v>
          </cell>
          <cell r="AS1177">
            <v>0.2</v>
          </cell>
          <cell r="AT1177">
            <v>-0.04</v>
          </cell>
          <cell r="AU1177">
            <v>0.92</v>
          </cell>
          <cell r="AV1177">
            <v>20</v>
          </cell>
          <cell r="AZ1177">
            <v>0.2</v>
          </cell>
          <cell r="BA1177">
            <v>0.2</v>
          </cell>
        </row>
        <row r="1178">
          <cell r="A1178" t="str">
            <v>GENOVA INFISSI</v>
          </cell>
          <cell r="B1178" t="str">
            <v>NON LE HANNO MAI  FATTE</v>
          </cell>
          <cell r="D1178" t="str">
            <v>VIA CIRO MENOTTI, 115,16</v>
          </cell>
          <cell r="E1178" t="str">
            <v>16154</v>
          </cell>
          <cell r="F1178" t="str">
            <v>GENOVA</v>
          </cell>
          <cell r="G1178" t="str">
            <v>GE</v>
          </cell>
          <cell r="H1178" t="str">
            <v>ITALIA</v>
          </cell>
          <cell r="M1178" t="str">
            <v>UFFICIO ACQUISTI</v>
          </cell>
          <cell r="R1178" t="str">
            <v>BONIFICO BANCARIO, ALLA DATA DELLA NOSTRA CONFERMA D'ORDINE</v>
          </cell>
          <cell r="X1178">
            <v>0.2</v>
          </cell>
          <cell r="Y1178">
            <v>-0.04</v>
          </cell>
          <cell r="AB1178">
            <v>0.2</v>
          </cell>
          <cell r="AC1178">
            <v>0.2</v>
          </cell>
          <cell r="AD1178">
            <v>0.2</v>
          </cell>
          <cell r="AE1178">
            <v>0.2</v>
          </cell>
          <cell r="AF1178">
            <v>0.2</v>
          </cell>
          <cell r="AG1178">
            <v>0.2</v>
          </cell>
          <cell r="AH1178">
            <v>0.2</v>
          </cell>
          <cell r="AI1178">
            <v>0.2</v>
          </cell>
          <cell r="AJ1178">
            <v>0.2</v>
          </cell>
          <cell r="AK1178">
            <v>0.2</v>
          </cell>
          <cell r="AL1178">
            <v>0.2</v>
          </cell>
          <cell r="AM1178">
            <v>0.2</v>
          </cell>
          <cell r="AN1178">
            <v>0.2</v>
          </cell>
          <cell r="AO1178">
            <v>0.2</v>
          </cell>
          <cell r="AP1178">
            <v>0.2</v>
          </cell>
          <cell r="AQ1178">
            <v>0.2</v>
          </cell>
          <cell r="AR1178">
            <v>0.2</v>
          </cell>
          <cell r="AS1178">
            <v>0.2</v>
          </cell>
          <cell r="AT1178">
            <v>-0.04</v>
          </cell>
          <cell r="AU1178">
            <v>0.92</v>
          </cell>
          <cell r="AV1178">
            <v>20</v>
          </cell>
          <cell r="AZ1178">
            <v>0.2</v>
          </cell>
          <cell r="BA1178">
            <v>0.2</v>
          </cell>
        </row>
        <row r="1179">
          <cell r="A1179" t="str">
            <v xml:space="preserve">GENOVA SERRANDE DI VIGLIOTTA MARCO &amp; C. SAS </v>
          </cell>
          <cell r="B1179" t="str">
            <v>LUI NON LE FA MA IL VICINO SI  MP 03\12\2020</v>
          </cell>
          <cell r="D1179" t="str">
            <v>VIA CONTUBERNIO G.B. D'ALBERTIS, 87</v>
          </cell>
          <cell r="E1179">
            <v>16143</v>
          </cell>
          <cell r="F1179" t="str">
            <v>GENOVA</v>
          </cell>
          <cell r="G1179" t="str">
            <v>GE</v>
          </cell>
          <cell r="H1179" t="str">
            <v>ITALIA</v>
          </cell>
          <cell r="M1179" t="str">
            <v>UFFICIO ACQUISTI</v>
          </cell>
          <cell r="N1179" t="str">
            <v>010 505446</v>
          </cell>
          <cell r="O1179" t="str">
            <v>335 6479457</v>
          </cell>
          <cell r="P1179" t="str">
            <v>info@genovaserrande.com</v>
          </cell>
          <cell r="R1179" t="str">
            <v>BONIFICO BANCARIO, ALLA DATA DELLA NOSTRA CONFERMA D'ORDINE</v>
          </cell>
          <cell r="X1179">
            <v>0.25</v>
          </cell>
          <cell r="Y1179">
            <v>-0.04</v>
          </cell>
          <cell r="AB1179">
            <v>0.25</v>
          </cell>
          <cell r="AC1179">
            <v>0.25</v>
          </cell>
          <cell r="AD1179">
            <v>0.25</v>
          </cell>
          <cell r="AE1179">
            <v>0.25</v>
          </cell>
          <cell r="AF1179">
            <v>0.25</v>
          </cell>
          <cell r="AG1179">
            <v>0.25</v>
          </cell>
          <cell r="AH1179">
            <v>0.25</v>
          </cell>
          <cell r="AI1179">
            <v>0.25</v>
          </cell>
          <cell r="AJ1179">
            <v>0.25</v>
          </cell>
          <cell r="AK1179">
            <v>0.25</v>
          </cell>
          <cell r="AL1179">
            <v>0.25</v>
          </cell>
          <cell r="AM1179">
            <v>0.25</v>
          </cell>
          <cell r="AN1179">
            <v>0.25</v>
          </cell>
          <cell r="AO1179">
            <v>0.25</v>
          </cell>
          <cell r="AP1179">
            <v>0.25</v>
          </cell>
          <cell r="AQ1179">
            <v>0.25</v>
          </cell>
          <cell r="AR1179">
            <v>0.25</v>
          </cell>
          <cell r="AS1179">
            <v>0.25</v>
          </cell>
          <cell r="AT1179">
            <v>-0.04</v>
          </cell>
          <cell r="AU1179">
            <v>0.92</v>
          </cell>
          <cell r="AV1179">
            <v>20</v>
          </cell>
          <cell r="AY1179" t="str">
            <v/>
          </cell>
          <cell r="AZ1179">
            <v>0.25</v>
          </cell>
          <cell r="BA1179">
            <v>0.25</v>
          </cell>
        </row>
        <row r="1180">
          <cell r="A1180" t="str">
            <v xml:space="preserve">GENTILI YURI </v>
          </cell>
          <cell r="D1180" t="str">
            <v>V.LE DELLA REPUBBLICA, 1</v>
          </cell>
          <cell r="E1180">
            <v>62029</v>
          </cell>
          <cell r="F1180" t="str">
            <v>TOLENTINO</v>
          </cell>
          <cell r="G1180" t="str">
            <v>MC</v>
          </cell>
          <cell r="H1180" t="str">
            <v>ITALIA</v>
          </cell>
          <cell r="I1180" t="str">
            <v>GNTYRU87M09L191X</v>
          </cell>
          <cell r="J1180" t="str">
            <v>01872950439</v>
          </cell>
          <cell r="K1180" t="str">
            <v>M5UXCR1</v>
          </cell>
          <cell r="M1180" t="str">
            <v>UFFICIO ACQUISTI</v>
          </cell>
          <cell r="O1180" t="str">
            <v>3391970522 </v>
          </cell>
          <cell r="P1180" t="str">
            <v>info@gentiliyuri.it</v>
          </cell>
          <cell r="R1180" t="str">
            <v>BONIFICO BANCARIO, ALLA DATA DELLA NOSTRA CONFERMA D'ORDINE</v>
          </cell>
          <cell r="X1180">
            <v>0.25</v>
          </cell>
          <cell r="Y1180">
            <v>-0.04</v>
          </cell>
          <cell r="AB1180">
            <v>0.25</v>
          </cell>
          <cell r="AC1180">
            <v>0.25</v>
          </cell>
          <cell r="AD1180">
            <v>0.25</v>
          </cell>
          <cell r="AE1180">
            <v>0.25</v>
          </cell>
          <cell r="AF1180">
            <v>0.25</v>
          </cell>
          <cell r="AG1180">
            <v>0.25</v>
          </cell>
          <cell r="AH1180">
            <v>0.25</v>
          </cell>
          <cell r="AI1180">
            <v>0.25</v>
          </cell>
          <cell r="AJ1180">
            <v>0.25</v>
          </cell>
          <cell r="AK1180">
            <v>0.25</v>
          </cell>
          <cell r="AL1180">
            <v>0.25</v>
          </cell>
          <cell r="AM1180">
            <v>0.25</v>
          </cell>
          <cell r="AN1180">
            <v>0.25</v>
          </cell>
          <cell r="AO1180">
            <v>0.25</v>
          </cell>
          <cell r="AP1180">
            <v>0.25</v>
          </cell>
          <cell r="AQ1180">
            <v>0.25</v>
          </cell>
          <cell r="AR1180">
            <v>0.25</v>
          </cell>
          <cell r="AS1180">
            <v>0.25</v>
          </cell>
          <cell r="AT1180">
            <v>-0.04</v>
          </cell>
          <cell r="AU1180">
            <v>0.92</v>
          </cell>
          <cell r="AV1180">
            <v>20</v>
          </cell>
          <cell r="AY1180" t="str">
            <v/>
          </cell>
          <cell r="AZ1180">
            <v>0.25</v>
          </cell>
          <cell r="BA1180">
            <v>0.25</v>
          </cell>
        </row>
        <row r="1181">
          <cell r="A1181" t="str">
            <v>GENTILUCCI EDILIA</v>
          </cell>
          <cell r="B1181" t="str">
            <v xml:space="preserve">INTERESSANTE  </v>
          </cell>
          <cell r="D1181" t="str">
            <v>VIA FRANCESCO BETTINI, 12</v>
          </cell>
          <cell r="E1181" t="str">
            <v>03034</v>
          </cell>
          <cell r="F1181" t="str">
            <v>LOC. PACIANA - FOLIGO</v>
          </cell>
          <cell r="G1181" t="str">
            <v>PG</v>
          </cell>
          <cell r="H1181" t="str">
            <v>ITALIA</v>
          </cell>
          <cell r="J1181" t="str">
            <v>00620170548</v>
          </cell>
          <cell r="M1181" t="str">
            <v>UFFICIO ACQUISTI</v>
          </cell>
          <cell r="N1181" t="str">
            <v>0742 22659</v>
          </cell>
          <cell r="P1181" t="str">
            <v>info@gentilucci.com</v>
          </cell>
          <cell r="R1181" t="str">
            <v>BONIFICO BANCARIO, ALLA DATA DELLA NOSTRA CONFERMA D'ORDINE</v>
          </cell>
          <cell r="Y1181">
            <v>-0.04</v>
          </cell>
          <cell r="AT1181">
            <v>-0.04</v>
          </cell>
          <cell r="AV1181">
            <v>20</v>
          </cell>
          <cell r="AZ1181">
            <v>0</v>
          </cell>
          <cell r="BA1181">
            <v>0</v>
          </cell>
        </row>
        <row r="1182">
          <cell r="A1182" t="str">
            <v>Geom.Francesco Chiatti</v>
          </cell>
          <cell r="D1182" t="str">
            <v>LOCALITA' RIO BASCO, 18 A</v>
          </cell>
          <cell r="E1182">
            <v>17044</v>
          </cell>
          <cell r="F1182" t="str">
            <v>STELLA S.GIOVANNI</v>
          </cell>
          <cell r="G1182" t="str">
            <v>SV</v>
          </cell>
          <cell r="H1182" t="str">
            <v>ITALIA</v>
          </cell>
          <cell r="I1182" t="str">
            <v>01419860091</v>
          </cell>
          <cell r="J1182" t="str">
            <v>01419860091</v>
          </cell>
          <cell r="M1182" t="str">
            <v>UFFICIO ACQUISTI</v>
          </cell>
          <cell r="N1182" t="str">
            <v>019 703101</v>
          </cell>
          <cell r="P1182" t="str">
            <v>info@fracchiasrl.it</v>
          </cell>
          <cell r="R1182" t="str">
            <v>BONIFICO BANCARIO, ALLA DATA DELLA NOSTRA CONFERMA D'ORDINE</v>
          </cell>
          <cell r="X1182">
            <v>0.25</v>
          </cell>
          <cell r="Y1182">
            <v>-0.04</v>
          </cell>
          <cell r="AB1182">
            <v>0.25</v>
          </cell>
          <cell r="AC1182">
            <v>0.25</v>
          </cell>
          <cell r="AD1182">
            <v>0.25</v>
          </cell>
          <cell r="AE1182">
            <v>0.25</v>
          </cell>
          <cell r="AF1182">
            <v>0.25</v>
          </cell>
          <cell r="AG1182">
            <v>0.25</v>
          </cell>
          <cell r="AH1182">
            <v>0.25</v>
          </cell>
          <cell r="AI1182">
            <v>0.25</v>
          </cell>
          <cell r="AJ1182">
            <v>0.25</v>
          </cell>
          <cell r="AK1182">
            <v>0.25</v>
          </cell>
          <cell r="AL1182">
            <v>0.25</v>
          </cell>
          <cell r="AM1182">
            <v>0.25</v>
          </cell>
          <cell r="AN1182">
            <v>0.25</v>
          </cell>
          <cell r="AO1182">
            <v>0.25</v>
          </cell>
          <cell r="AP1182">
            <v>0.25</v>
          </cell>
          <cell r="AQ1182">
            <v>0.25</v>
          </cell>
          <cell r="AR1182">
            <v>0.25</v>
          </cell>
          <cell r="AS1182">
            <v>0.25</v>
          </cell>
          <cell r="AT1182">
            <v>-0.04</v>
          </cell>
          <cell r="AU1182">
            <v>0.92</v>
          </cell>
          <cell r="AV1182">
            <v>20</v>
          </cell>
          <cell r="AY1182" t="str">
            <v/>
          </cell>
          <cell r="AZ1182">
            <v>0.25</v>
          </cell>
          <cell r="BA1182">
            <v>0.25</v>
          </cell>
        </row>
        <row r="1183">
          <cell r="A1183" t="str">
            <v>GEOMETRIE DI MARCELLO PEDRIALI</v>
          </cell>
          <cell r="B1183" t="str">
            <v>SE LE FA' ANCHE CERTIFICATO</v>
          </cell>
          <cell r="D1183" t="str">
            <v>VIA G.B. D'ALBERTIS, 87 R.</v>
          </cell>
          <cell r="E1183">
            <v>16143</v>
          </cell>
          <cell r="F1183" t="str">
            <v>GENOVA</v>
          </cell>
          <cell r="G1183" t="str">
            <v>GE</v>
          </cell>
          <cell r="H1183" t="str">
            <v>ITALIA</v>
          </cell>
          <cell r="M1183" t="str">
            <v>UFFICIO ACQUISTI</v>
          </cell>
          <cell r="N1183" t="str">
            <v>010 8603551</v>
          </cell>
          <cell r="O1183" t="str">
            <v>347 2510811</v>
          </cell>
          <cell r="P1183" t="str">
            <v>geometrie@fastwebnet.it</v>
          </cell>
          <cell r="R1183" t="str">
            <v>BONIFICO BANCARIO, ALLA DATA DELLA NOSTRA CONFERMA D'ORDINE</v>
          </cell>
          <cell r="X1183">
            <v>0.25</v>
          </cell>
          <cell r="Y1183">
            <v>-0.04</v>
          </cell>
          <cell r="AB1183">
            <v>0.25</v>
          </cell>
          <cell r="AC1183">
            <v>0.25</v>
          </cell>
          <cell r="AD1183">
            <v>0.25</v>
          </cell>
          <cell r="AE1183">
            <v>0.25</v>
          </cell>
          <cell r="AF1183">
            <v>0.25</v>
          </cell>
          <cell r="AG1183">
            <v>0.25</v>
          </cell>
          <cell r="AH1183">
            <v>0.25</v>
          </cell>
          <cell r="AI1183">
            <v>0.25</v>
          </cell>
          <cell r="AJ1183">
            <v>0.25</v>
          </cell>
          <cell r="AK1183">
            <v>0.25</v>
          </cell>
          <cell r="AL1183">
            <v>0.25</v>
          </cell>
          <cell r="AM1183">
            <v>0.25</v>
          </cell>
          <cell r="AN1183">
            <v>0.25</v>
          </cell>
          <cell r="AO1183">
            <v>0.25</v>
          </cell>
          <cell r="AP1183">
            <v>0.25</v>
          </cell>
          <cell r="AQ1183">
            <v>0.25</v>
          </cell>
          <cell r="AR1183">
            <v>0.25</v>
          </cell>
          <cell r="AS1183">
            <v>0.25</v>
          </cell>
          <cell r="AT1183">
            <v>-0.04</v>
          </cell>
          <cell r="AU1183">
            <v>0.92</v>
          </cell>
          <cell r="AV1183">
            <v>20</v>
          </cell>
          <cell r="AZ1183">
            <v>0.25</v>
          </cell>
          <cell r="BA1183">
            <v>0.25</v>
          </cell>
        </row>
        <row r="1184">
          <cell r="A1184" t="str">
            <v>GERARDO MANCINI</v>
          </cell>
          <cell r="B1184" t="str">
            <v>DA RICHIAMARE A FEBBRAIO  PASSAGGIO GENERAZIONALE</v>
          </cell>
          <cell r="D1184" t="str">
            <v>VIA G. B. VICO, 37</v>
          </cell>
          <cell r="E1184">
            <v>50053</v>
          </cell>
          <cell r="F1184" t="str">
            <v>EMPOLI</v>
          </cell>
          <cell r="G1184" t="str">
            <v>FI</v>
          </cell>
          <cell r="H1184" t="str">
            <v>ITALIA</v>
          </cell>
          <cell r="I1184" t="str">
            <v>MNCGRD60E17D403K</v>
          </cell>
          <cell r="J1184" t="str">
            <v>03034150486</v>
          </cell>
          <cell r="M1184" t="str">
            <v>UFFICIO ACQUISTI</v>
          </cell>
          <cell r="N1184" t="str">
            <v>0571 920328</v>
          </cell>
          <cell r="O1184" t="str">
            <v>335 5908658</v>
          </cell>
          <cell r="P1184" t="str">
            <v>info@gerardomancini.it</v>
          </cell>
          <cell r="R1184" t="str">
            <v>BONIFICO BANCARIO, ALLA DATA DELLA NOSTRA CONFERMA D'ORDINE</v>
          </cell>
          <cell r="X1184">
            <v>0.25</v>
          </cell>
          <cell r="Y1184">
            <v>-0.04</v>
          </cell>
          <cell r="AB1184">
            <v>0.25</v>
          </cell>
          <cell r="AC1184">
            <v>0.25</v>
          </cell>
          <cell r="AD1184">
            <v>0.25</v>
          </cell>
          <cell r="AE1184">
            <v>0.25</v>
          </cell>
          <cell r="AF1184">
            <v>0.25</v>
          </cell>
          <cell r="AG1184">
            <v>0.25</v>
          </cell>
          <cell r="AH1184">
            <v>0.25</v>
          </cell>
          <cell r="AI1184">
            <v>0.25</v>
          </cell>
          <cell r="AJ1184">
            <v>0.25</v>
          </cell>
          <cell r="AK1184">
            <v>0.25</v>
          </cell>
          <cell r="AL1184">
            <v>0.25</v>
          </cell>
          <cell r="AM1184">
            <v>0.25</v>
          </cell>
          <cell r="AN1184">
            <v>0.25</v>
          </cell>
          <cell r="AO1184">
            <v>0.25</v>
          </cell>
          <cell r="AP1184">
            <v>0.25</v>
          </cell>
          <cell r="AQ1184">
            <v>0.25</v>
          </cell>
          <cell r="AR1184">
            <v>0.25</v>
          </cell>
          <cell r="AS1184">
            <v>0.25</v>
          </cell>
          <cell r="AT1184">
            <v>-0.04</v>
          </cell>
          <cell r="AU1184">
            <v>0.92</v>
          </cell>
          <cell r="AV1184">
            <v>20</v>
          </cell>
          <cell r="AY1184" t="str">
            <v/>
          </cell>
          <cell r="AZ1184">
            <v>0.25</v>
          </cell>
          <cell r="BA1184">
            <v>0.25</v>
          </cell>
        </row>
        <row r="1185">
          <cell r="A1185" t="str">
            <v>GF INFISSI DI GIUSEPPE FOIS</v>
          </cell>
          <cell r="B1185" t="str">
            <v>SOLO BIGLIETTO DA VISITA  SE LE FA GIA' MA POTREBBE COMPRARE</v>
          </cell>
          <cell r="D1185" t="str">
            <v>VIA ITALIA, 188</v>
          </cell>
          <cell r="E1185" t="str">
            <v>09134</v>
          </cell>
          <cell r="F1185" t="str">
            <v>PIRRI</v>
          </cell>
          <cell r="G1185" t="str">
            <v>CA</v>
          </cell>
          <cell r="H1185" t="str">
            <v>ITALIA</v>
          </cell>
          <cell r="M1185" t="str">
            <v>UFFICIO ACQUISTI</v>
          </cell>
          <cell r="N1185" t="str">
            <v>070 501680</v>
          </cell>
          <cell r="P1185" t="str">
            <v>giuseppefois@tiscali.it</v>
          </cell>
          <cell r="R1185" t="str">
            <v>BONIFICO BANCARIO, ALLA DATA DELLA NOSTRA CONFERMA D'ORDINE</v>
          </cell>
          <cell r="X1185">
            <v>0.25</v>
          </cell>
          <cell r="Y1185">
            <v>-0.04</v>
          </cell>
          <cell r="AB1185">
            <v>0.25</v>
          </cell>
          <cell r="AC1185">
            <v>0.25</v>
          </cell>
          <cell r="AD1185">
            <v>0.25</v>
          </cell>
          <cell r="AE1185">
            <v>0.25</v>
          </cell>
          <cell r="AF1185">
            <v>0.25</v>
          </cell>
          <cell r="AG1185">
            <v>0.25</v>
          </cell>
          <cell r="AH1185">
            <v>0.25</v>
          </cell>
          <cell r="AI1185">
            <v>0.25</v>
          </cell>
          <cell r="AJ1185">
            <v>0.25</v>
          </cell>
          <cell r="AK1185">
            <v>0.25</v>
          </cell>
          <cell r="AL1185">
            <v>0.25</v>
          </cell>
          <cell r="AM1185">
            <v>0.25</v>
          </cell>
          <cell r="AN1185">
            <v>0.25</v>
          </cell>
          <cell r="AO1185">
            <v>0.25</v>
          </cell>
          <cell r="AP1185">
            <v>0.25</v>
          </cell>
          <cell r="AQ1185">
            <v>0.25</v>
          </cell>
          <cell r="AR1185">
            <v>0.25</v>
          </cell>
          <cell r="AS1185">
            <v>0.25</v>
          </cell>
          <cell r="AT1185">
            <v>-0.04</v>
          </cell>
          <cell r="AU1185">
            <v>0.92</v>
          </cell>
          <cell r="AV1185">
            <v>20</v>
          </cell>
          <cell r="AZ1185">
            <v>0.25</v>
          </cell>
          <cell r="BA1185">
            <v>0.25</v>
          </cell>
        </row>
        <row r="1186">
          <cell r="A1186" t="str">
            <v>GF PORTE SRL</v>
          </cell>
          <cell r="B1186" t="str">
            <v xml:space="preserve"> MAI USATE E  AVUTE RICHIESTE  20%</v>
          </cell>
          <cell r="D1186" t="str">
            <v>VIA G.OPISSO, 92 N</v>
          </cell>
          <cell r="E1186">
            <v>16154</v>
          </cell>
          <cell r="F1186" t="str">
            <v>GENOVA SESTRI PONENTE</v>
          </cell>
          <cell r="G1186" t="str">
            <v>GE</v>
          </cell>
          <cell r="H1186" t="str">
            <v>ITALIA</v>
          </cell>
          <cell r="I1186">
            <v>1990510990</v>
          </cell>
          <cell r="J1186">
            <v>1990510990</v>
          </cell>
          <cell r="M1186" t="str">
            <v>UFFICIO ACQUISTI</v>
          </cell>
          <cell r="N1186" t="str">
            <v>010 6981434</v>
          </cell>
          <cell r="P1186" t="str">
            <v>gfporte@gfporte.com</v>
          </cell>
          <cell r="R1186" t="str">
            <v>BONIFICO BANCARIO, ALLA DATA DELLA NOSTRA CONFERMA D'ORDINE</v>
          </cell>
          <cell r="X1186">
            <v>0.25</v>
          </cell>
          <cell r="Y1186">
            <v>-0.04</v>
          </cell>
          <cell r="AB1186">
            <v>0.25</v>
          </cell>
          <cell r="AC1186">
            <v>0.25</v>
          </cell>
          <cell r="AD1186">
            <v>0.25</v>
          </cell>
          <cell r="AE1186">
            <v>0.25</v>
          </cell>
          <cell r="AF1186">
            <v>0.25</v>
          </cell>
          <cell r="AG1186">
            <v>0.25</v>
          </cell>
          <cell r="AH1186">
            <v>0.25</v>
          </cell>
          <cell r="AI1186">
            <v>0.25</v>
          </cell>
          <cell r="AJ1186">
            <v>0.25</v>
          </cell>
          <cell r="AK1186">
            <v>0.25</v>
          </cell>
          <cell r="AL1186">
            <v>0.25</v>
          </cell>
          <cell r="AM1186">
            <v>0.25</v>
          </cell>
          <cell r="AN1186">
            <v>0.25</v>
          </cell>
          <cell r="AO1186">
            <v>0.25</v>
          </cell>
          <cell r="AP1186">
            <v>0.25</v>
          </cell>
          <cell r="AQ1186">
            <v>0.25</v>
          </cell>
          <cell r="AR1186">
            <v>0.25</v>
          </cell>
          <cell r="AS1186">
            <v>0.25</v>
          </cell>
          <cell r="AT1186">
            <v>-0.04</v>
          </cell>
          <cell r="AU1186">
            <v>0.92</v>
          </cell>
          <cell r="AV1186">
            <v>20</v>
          </cell>
          <cell r="AY1186" t="str">
            <v/>
          </cell>
          <cell r="AZ1186">
            <v>0.25</v>
          </cell>
          <cell r="BA1186">
            <v>0.25</v>
          </cell>
        </row>
        <row r="1187">
          <cell r="A1187" t="str">
            <v>Gg di Grasso Giancarlo</v>
          </cell>
          <cell r="D1187" t="str">
            <v>VIA PONTI, 16</v>
          </cell>
          <cell r="E1187">
            <v>17052</v>
          </cell>
          <cell r="F1187" t="str">
            <v>BORGHETTO S.SPIRITO</v>
          </cell>
          <cell r="G1187" t="str">
            <v>SV</v>
          </cell>
          <cell r="H1187" t="str">
            <v>ITALIA</v>
          </cell>
          <cell r="I1187" t="str">
            <v>GRSGCR43H22G741F</v>
          </cell>
          <cell r="J1187" t="str">
            <v>00119440097</v>
          </cell>
          <cell r="M1187" t="str">
            <v>UFFICIO ACQUISTI</v>
          </cell>
          <cell r="N1187" t="str">
            <v>0182 970033</v>
          </cell>
          <cell r="P1187" t="str">
            <v>grasso@confartigianatoliguria.it - falegnameriagrasso@libero.it</v>
          </cell>
          <cell r="R1187" t="str">
            <v>BONIFICO BANCARIO, ALLA DATA DELLA NOSTRA CONFERMA D'ORDINE</v>
          </cell>
          <cell r="X1187">
            <v>0.25</v>
          </cell>
          <cell r="Y1187">
            <v>-0.04</v>
          </cell>
          <cell r="AB1187">
            <v>0.25</v>
          </cell>
          <cell r="AC1187">
            <v>0.25</v>
          </cell>
          <cell r="AD1187">
            <v>0.25</v>
          </cell>
          <cell r="AE1187">
            <v>0.25</v>
          </cell>
          <cell r="AF1187">
            <v>0.25</v>
          </cell>
          <cell r="AG1187">
            <v>0.25</v>
          </cell>
          <cell r="AH1187">
            <v>0.25</v>
          </cell>
          <cell r="AI1187">
            <v>0.25</v>
          </cell>
          <cell r="AJ1187">
            <v>0.25</v>
          </cell>
          <cell r="AK1187">
            <v>0.25</v>
          </cell>
          <cell r="AL1187">
            <v>0.25</v>
          </cell>
          <cell r="AM1187">
            <v>0.25</v>
          </cell>
          <cell r="AN1187">
            <v>0.25</v>
          </cell>
          <cell r="AO1187">
            <v>0.25</v>
          </cell>
          <cell r="AP1187">
            <v>0.25</v>
          </cell>
          <cell r="AQ1187">
            <v>0.25</v>
          </cell>
          <cell r="AR1187">
            <v>0.25</v>
          </cell>
          <cell r="AS1187">
            <v>0.25</v>
          </cell>
          <cell r="AT1187">
            <v>-0.04</v>
          </cell>
          <cell r="AU1187">
            <v>0.92</v>
          </cell>
          <cell r="AV1187">
            <v>20</v>
          </cell>
          <cell r="AY1187" t="str">
            <v/>
          </cell>
          <cell r="AZ1187">
            <v>0.25</v>
          </cell>
          <cell r="BA1187">
            <v>0.25</v>
          </cell>
        </row>
        <row r="1188">
          <cell r="A1188" t="str">
            <v>GHIDINI DI GHIDINI GIUSEPPE</v>
          </cell>
          <cell r="D1188" t="str">
            <v>VIA S. GIOVANNI, 14</v>
          </cell>
          <cell r="E1188" t="str">
            <v>46049</v>
          </cell>
          <cell r="F1188" t="str">
            <v>VOLTA MANTOVANA</v>
          </cell>
          <cell r="G1188" t="str">
            <v>MN</v>
          </cell>
          <cell r="H1188" t="str">
            <v>ITALIA</v>
          </cell>
          <cell r="I1188" t="str">
            <v>GHDGPP57S21M125K</v>
          </cell>
          <cell r="J1188" t="str">
            <v>02386720201</v>
          </cell>
          <cell r="M1188" t="str">
            <v>UFFICIO ACQUISTI</v>
          </cell>
          <cell r="O1188" t="str">
            <v>348 3960110</v>
          </cell>
          <cell r="P1188" t="str">
            <v>ghidini.serramenti@libero.it</v>
          </cell>
          <cell r="R1188" t="str">
            <v>BONIFICO BANCARIO, ALLA DATA DELLA NOSTRA CONFERMA D'ORDINE</v>
          </cell>
          <cell r="X1188">
            <v>0.25</v>
          </cell>
          <cell r="Y1188">
            <v>-0.04</v>
          </cell>
          <cell r="AB1188">
            <v>0.25</v>
          </cell>
          <cell r="AC1188">
            <v>0.25</v>
          </cell>
          <cell r="AD1188">
            <v>0.25</v>
          </cell>
          <cell r="AE1188">
            <v>0.25</v>
          </cell>
          <cell r="AF1188">
            <v>0.25</v>
          </cell>
          <cell r="AG1188">
            <v>0.25</v>
          </cell>
          <cell r="AH1188">
            <v>0.25</v>
          </cell>
          <cell r="AI1188">
            <v>0.25</v>
          </cell>
          <cell r="AJ1188">
            <v>0.25</v>
          </cell>
          <cell r="AK1188">
            <v>0.25</v>
          </cell>
          <cell r="AL1188">
            <v>0.25</v>
          </cell>
          <cell r="AM1188">
            <v>0.25</v>
          </cell>
          <cell r="AN1188">
            <v>0.25</v>
          </cell>
          <cell r="AO1188">
            <v>0.25</v>
          </cell>
          <cell r="AP1188">
            <v>0.25</v>
          </cell>
          <cell r="AQ1188">
            <v>0.25</v>
          </cell>
          <cell r="AR1188">
            <v>0.25</v>
          </cell>
          <cell r="AS1188">
            <v>0.25</v>
          </cell>
          <cell r="AT1188">
            <v>-0.04</v>
          </cell>
          <cell r="AU1188">
            <v>0.92</v>
          </cell>
          <cell r="AV1188">
            <v>20</v>
          </cell>
          <cell r="AY1188" t="str">
            <v/>
          </cell>
          <cell r="AZ1188">
            <v>0.25</v>
          </cell>
          <cell r="BA1188">
            <v>0.25</v>
          </cell>
        </row>
        <row r="1189">
          <cell r="A1189" t="str">
            <v>GHIRARDELLO INFISSI</v>
          </cell>
          <cell r="D1189" t="str">
            <v>VIA MARTIRI DI BELFIORE, 69</v>
          </cell>
          <cell r="E1189" t="str">
            <v>45100</v>
          </cell>
          <cell r="F1189" t="str">
            <v>ROVIGO</v>
          </cell>
          <cell r="G1189" t="str">
            <v>RO</v>
          </cell>
          <cell r="H1189" t="str">
            <v>ITALIA</v>
          </cell>
          <cell r="J1189" t="str">
            <v>01257990299</v>
          </cell>
          <cell r="M1189" t="str">
            <v>UFFICIO ACQUISTI</v>
          </cell>
          <cell r="N1189" t="str">
            <v>0425 423466</v>
          </cell>
          <cell r="P1189" t="str">
            <v>info@ghirardelloinfissi.it</v>
          </cell>
          <cell r="R1189" t="str">
            <v>BONIFICO BANCARIO, ALLA DATA DELLA NOSTRA CONFERMA D'ORDINE</v>
          </cell>
          <cell r="X1189">
            <v>0.25</v>
          </cell>
          <cell r="Y1189">
            <v>-0.04</v>
          </cell>
          <cell r="AB1189">
            <v>0.25</v>
          </cell>
          <cell r="AC1189">
            <v>0.25</v>
          </cell>
          <cell r="AD1189">
            <v>0.25</v>
          </cell>
          <cell r="AE1189">
            <v>0.25</v>
          </cell>
          <cell r="AF1189">
            <v>0.25</v>
          </cell>
          <cell r="AG1189">
            <v>0.25</v>
          </cell>
          <cell r="AH1189">
            <v>0.25</v>
          </cell>
          <cell r="AI1189">
            <v>0.25</v>
          </cell>
          <cell r="AJ1189">
            <v>0.25</v>
          </cell>
          <cell r="AK1189">
            <v>0.25</v>
          </cell>
          <cell r="AL1189">
            <v>0.25</v>
          </cell>
          <cell r="AM1189">
            <v>0.25</v>
          </cell>
          <cell r="AN1189">
            <v>0.25</v>
          </cell>
          <cell r="AO1189">
            <v>0.25</v>
          </cell>
          <cell r="AP1189">
            <v>0.25</v>
          </cell>
          <cell r="AQ1189">
            <v>0.25</v>
          </cell>
          <cell r="AR1189">
            <v>0.25</v>
          </cell>
          <cell r="AS1189">
            <v>0.25</v>
          </cell>
          <cell r="AT1189">
            <v>-0.04</v>
          </cell>
          <cell r="AU1189">
            <v>0.92</v>
          </cell>
          <cell r="AV1189">
            <v>20</v>
          </cell>
          <cell r="AY1189" t="str">
            <v/>
          </cell>
          <cell r="AZ1189">
            <v>0.25</v>
          </cell>
          <cell r="BA1189">
            <v>0.25</v>
          </cell>
        </row>
        <row r="1190">
          <cell r="A1190" t="str">
            <v>GHISI M. DI GHISI FACH. ING. MASSIMO E C. SNC.</v>
          </cell>
          <cell r="D1190" t="str">
            <v>VIA VERRARA, 68</v>
          </cell>
          <cell r="E1190">
            <v>46035</v>
          </cell>
          <cell r="F1190" t="str">
            <v>OSTIGLIA</v>
          </cell>
          <cell r="G1190" t="str">
            <v>MN</v>
          </cell>
          <cell r="H1190" t="str">
            <v>ITALIA</v>
          </cell>
          <cell r="M1190" t="str">
            <v>UFFICIO ACQUISTI</v>
          </cell>
          <cell r="N1190" t="str">
            <v>038632266</v>
          </cell>
          <cell r="P1190" t="str">
            <v>ghisi.infissi@libero.it</v>
          </cell>
          <cell r="R1190" t="str">
            <v>BONIFICO BANCARIO, ALLA DATA DELLA NOSTRA CONFERMA D'ORDINE</v>
          </cell>
          <cell r="X1190">
            <v>0.25</v>
          </cell>
          <cell r="Y1190">
            <v>-0.04</v>
          </cell>
          <cell r="AB1190">
            <v>0.25</v>
          </cell>
          <cell r="AC1190">
            <v>0.25</v>
          </cell>
          <cell r="AD1190">
            <v>0.25</v>
          </cell>
          <cell r="AE1190">
            <v>0.25</v>
          </cell>
          <cell r="AF1190">
            <v>0.25</v>
          </cell>
          <cell r="AG1190">
            <v>0.25</v>
          </cell>
          <cell r="AH1190">
            <v>0.25</v>
          </cell>
          <cell r="AI1190">
            <v>0.25</v>
          </cell>
          <cell r="AJ1190">
            <v>0.25</v>
          </cell>
          <cell r="AK1190">
            <v>0.25</v>
          </cell>
          <cell r="AL1190">
            <v>0.25</v>
          </cell>
          <cell r="AM1190">
            <v>0.25</v>
          </cell>
          <cell r="AN1190">
            <v>0.25</v>
          </cell>
          <cell r="AO1190">
            <v>0.25</v>
          </cell>
          <cell r="AP1190">
            <v>0.25</v>
          </cell>
          <cell r="AQ1190">
            <v>0.25</v>
          </cell>
          <cell r="AR1190">
            <v>0.25</v>
          </cell>
          <cell r="AS1190">
            <v>0.25</v>
          </cell>
          <cell r="AT1190">
            <v>-0.04</v>
          </cell>
          <cell r="AU1190">
            <v>0.92</v>
          </cell>
          <cell r="AV1190">
            <v>20</v>
          </cell>
          <cell r="AZ1190">
            <v>0.25</v>
          </cell>
          <cell r="BA1190">
            <v>0.25</v>
          </cell>
        </row>
        <row r="1191">
          <cell r="A1191" t="str">
            <v>GIACALONE GIOVANNI</v>
          </cell>
          <cell r="B1191" t="str">
            <v>07/11 DICE CHE LE FA ARTIGIANALMENTE</v>
          </cell>
          <cell r="D1191" t="str">
            <v>VIA VESPRI, 174</v>
          </cell>
          <cell r="E1191">
            <v>91100</v>
          </cell>
          <cell r="F1191" t="str">
            <v>TRAPANI</v>
          </cell>
          <cell r="G1191" t="str">
            <v>TP</v>
          </cell>
          <cell r="H1191" t="str">
            <v>ITALIA</v>
          </cell>
          <cell r="J1191" t="str">
            <v>02517040818</v>
          </cell>
          <cell r="K1191" t="str">
            <v>X2PH38J</v>
          </cell>
          <cell r="M1191" t="str">
            <v>UFFICIO ACQUISTI</v>
          </cell>
          <cell r="N1191" t="str">
            <v>0923 537788</v>
          </cell>
          <cell r="O1191" t="str">
            <v>389 1034115</v>
          </cell>
          <cell r="P1191" t="str">
            <v>giacalonegiovanni.tp@gmail.com</v>
          </cell>
          <cell r="R1191" t="str">
            <v>BONIFICO BANCARIO, ALLA DATA DELLA NOSTRA CONFERMA D'ORDINE</v>
          </cell>
          <cell r="X1191">
            <v>0.25</v>
          </cell>
          <cell r="Y1191">
            <v>-0.04</v>
          </cell>
          <cell r="AB1191">
            <v>0.25</v>
          </cell>
          <cell r="AC1191">
            <v>0.25</v>
          </cell>
          <cell r="AD1191">
            <v>0.25</v>
          </cell>
          <cell r="AE1191">
            <v>0.25</v>
          </cell>
          <cell r="AF1191">
            <v>0.25</v>
          </cell>
          <cell r="AG1191">
            <v>0.25</v>
          </cell>
          <cell r="AH1191">
            <v>0.25</v>
          </cell>
          <cell r="AI1191">
            <v>0.25</v>
          </cell>
          <cell r="AJ1191">
            <v>0.25</v>
          </cell>
          <cell r="AK1191">
            <v>0.25</v>
          </cell>
          <cell r="AL1191">
            <v>0.25</v>
          </cell>
          <cell r="AM1191">
            <v>0.25</v>
          </cell>
          <cell r="AN1191">
            <v>0.25</v>
          </cell>
          <cell r="AO1191">
            <v>0.25</v>
          </cell>
          <cell r="AP1191">
            <v>0.25</v>
          </cell>
          <cell r="AQ1191">
            <v>0.25</v>
          </cell>
          <cell r="AR1191">
            <v>0.25</v>
          </cell>
          <cell r="AS1191">
            <v>0.25</v>
          </cell>
          <cell r="AT1191">
            <v>-0.04</v>
          </cell>
          <cell r="AU1191">
            <v>0.92</v>
          </cell>
          <cell r="AV1191">
            <v>20</v>
          </cell>
          <cell r="AY1191" t="str">
            <v/>
          </cell>
          <cell r="AZ1191">
            <v>0.25</v>
          </cell>
          <cell r="BA1191">
            <v>0.25</v>
          </cell>
        </row>
        <row r="1192">
          <cell r="A1192" t="str">
            <v>GIACINTO INFISSI SRL</v>
          </cell>
          <cell r="B1192" t="str">
            <v>BUONO 30/03/23 MANDATA MAIL. VUOLE VISITA</v>
          </cell>
          <cell r="D1192" t="str">
            <v>VIA DEL FOSSO ANTICO 11</v>
          </cell>
          <cell r="E1192" t="str">
            <v>63076</v>
          </cell>
          <cell r="F1192" t="str">
            <v>MONTEPTANDONE</v>
          </cell>
          <cell r="G1192" t="str">
            <v>AP</v>
          </cell>
          <cell r="H1192" t="str">
            <v>ITALIA</v>
          </cell>
          <cell r="J1192" t="str">
            <v>02126890447</v>
          </cell>
          <cell r="M1192" t="str">
            <v>UFFICIO ACQUISTI</v>
          </cell>
          <cell r="N1192" t="str">
            <v>338 6161321</v>
          </cell>
          <cell r="O1192" t="str">
            <v>333 6596183</v>
          </cell>
          <cell r="P1192" t="str">
            <v>info@giacintoinfissisrl.it</v>
          </cell>
          <cell r="R1192" t="str">
            <v>BONIFICO BANCARIO, ALLA DATA DELLA NOSTRA CONFERMA D'ORDINE</v>
          </cell>
          <cell r="X1192">
            <v>0.25</v>
          </cell>
          <cell r="Y1192">
            <v>-0.04</v>
          </cell>
          <cell r="AB1192">
            <v>0.25</v>
          </cell>
          <cell r="AC1192">
            <v>0.25</v>
          </cell>
          <cell r="AD1192">
            <v>0.25</v>
          </cell>
          <cell r="AE1192">
            <v>0.25</v>
          </cell>
          <cell r="AF1192">
            <v>0.25</v>
          </cell>
          <cell r="AG1192">
            <v>0.25</v>
          </cell>
          <cell r="AH1192">
            <v>0.25</v>
          </cell>
          <cell r="AI1192">
            <v>0.25</v>
          </cell>
          <cell r="AJ1192">
            <v>0.25</v>
          </cell>
          <cell r="AK1192">
            <v>0.25</v>
          </cell>
          <cell r="AL1192">
            <v>0.25</v>
          </cell>
          <cell r="AM1192">
            <v>0.25</v>
          </cell>
          <cell r="AN1192">
            <v>0.25</v>
          </cell>
          <cell r="AO1192">
            <v>0.25</v>
          </cell>
          <cell r="AP1192">
            <v>0.25</v>
          </cell>
          <cell r="AQ1192">
            <v>0.25</v>
          </cell>
          <cell r="AR1192">
            <v>0.25</v>
          </cell>
          <cell r="AS1192">
            <v>0.25</v>
          </cell>
          <cell r="AT1192">
            <v>-0.04</v>
          </cell>
          <cell r="AU1192">
            <v>0.92</v>
          </cell>
          <cell r="AV1192">
            <v>20</v>
          </cell>
          <cell r="AZ1192">
            <v>0.25</v>
          </cell>
          <cell r="BA1192">
            <v>0.25</v>
          </cell>
        </row>
        <row r="1193">
          <cell r="A1193" t="str">
            <v xml:space="preserve">GIACOMO FOSSATI </v>
          </cell>
          <cell r="D1193" t="str">
            <v>VIA PONTAROLA, 70</v>
          </cell>
          <cell r="E1193">
            <v>35011</v>
          </cell>
          <cell r="F1193" t="str">
            <v>CAMPODARSEGO</v>
          </cell>
          <cell r="G1193" t="str">
            <v>PD</v>
          </cell>
          <cell r="H1193" t="str">
            <v>ITALIA</v>
          </cell>
          <cell r="J1193" t="str">
            <v>00605640283</v>
          </cell>
          <cell r="M1193" t="str">
            <v>UFFICIO ACQUISTI</v>
          </cell>
          <cell r="N1193" t="str">
            <v>049 9203333</v>
          </cell>
          <cell r="O1193" t="str">
            <v>334 6724232</v>
          </cell>
          <cell r="P1193" t="str">
            <v>giacomo.fossati@elmospa.com</v>
          </cell>
          <cell r="R1193" t="str">
            <v>BONIFICO BANCARIO, ALLA DATA DELLA NOSTRA CONFERMA D'ORDINE</v>
          </cell>
          <cell r="X1193">
            <v>0.25</v>
          </cell>
          <cell r="Y1193">
            <v>-0.04</v>
          </cell>
          <cell r="AB1193">
            <v>0.25</v>
          </cell>
          <cell r="AC1193">
            <v>0.25</v>
          </cell>
          <cell r="AD1193">
            <v>0.25</v>
          </cell>
          <cell r="AE1193">
            <v>0.25</v>
          </cell>
          <cell r="AF1193">
            <v>0.25</v>
          </cell>
          <cell r="AG1193">
            <v>0.25</v>
          </cell>
          <cell r="AH1193">
            <v>0.25</v>
          </cell>
          <cell r="AI1193">
            <v>0.25</v>
          </cell>
          <cell r="AJ1193">
            <v>0.25</v>
          </cell>
          <cell r="AK1193">
            <v>0.25</v>
          </cell>
          <cell r="AL1193">
            <v>0.25</v>
          </cell>
          <cell r="AM1193">
            <v>0.25</v>
          </cell>
          <cell r="AN1193">
            <v>0.25</v>
          </cell>
          <cell r="AO1193">
            <v>0.25</v>
          </cell>
          <cell r="AP1193">
            <v>0.25</v>
          </cell>
          <cell r="AQ1193">
            <v>0.25</v>
          </cell>
          <cell r="AR1193">
            <v>0.25</v>
          </cell>
          <cell r="AS1193">
            <v>0.25</v>
          </cell>
          <cell r="AT1193">
            <v>-0.04</v>
          </cell>
          <cell r="AU1193">
            <v>0.92</v>
          </cell>
          <cell r="AV1193">
            <v>20</v>
          </cell>
          <cell r="AY1193" t="str">
            <v/>
          </cell>
          <cell r="AZ1193">
            <v>0.25</v>
          </cell>
          <cell r="BA1193">
            <v>0.25</v>
          </cell>
        </row>
        <row r="1194">
          <cell r="A1194" t="str">
            <v>GIACOMO SPADA</v>
          </cell>
          <cell r="B1194" t="str">
            <v>14/12 CHIAMATO. DICE CHE VOLEVA UNA MODI DA METTERE NEL SUO NEGOZIO SIA COME PREVENZIONE CHE COME PUBBLICITA' MA PENSAVA DI AVERE UN PREZZO DI FAVORE. MARCO GLI AVEVA ANCHE PROPOSTO DI METTERE UNA SCRITTA SOPRA. COME PROCEDERE? 15/12 DICE DI RISENTIRCI A GENNAIO PER CAPIRE COME PROCEDERE. PROPOSTO PREVENTIVO CON SCONTISTICA 30% COME PER CAMPIONE MA VENDENDO UNA MODI. GIA' MESSO IN CALENDAR</v>
          </cell>
          <cell r="D1194" t="str">
            <v>VIA DEL LEGNO, 86 88</v>
          </cell>
          <cell r="F1194" t="str">
            <v>TRAPANI</v>
          </cell>
          <cell r="G1194" t="str">
            <v>TP</v>
          </cell>
          <cell r="H1194" t="str">
            <v>ITALIA</v>
          </cell>
          <cell r="J1194" t="str">
            <v>01241730819</v>
          </cell>
          <cell r="M1194" t="str">
            <v>UFFICIO ACQUISTI</v>
          </cell>
          <cell r="N1194" t="str">
            <v>0923 565177</v>
          </cell>
          <cell r="O1194" t="str">
            <v>338 4164656</v>
          </cell>
          <cell r="R1194" t="str">
            <v>BONIFICO BANCARIO, ALLA DATA DELLA NOSTRA CONFERMA D'ORDINE</v>
          </cell>
          <cell r="X1194">
            <v>0.25</v>
          </cell>
          <cell r="Y1194">
            <v>-0.04</v>
          </cell>
          <cell r="AB1194">
            <v>0.25</v>
          </cell>
          <cell r="AC1194">
            <v>0.25</v>
          </cell>
          <cell r="AD1194">
            <v>0.25</v>
          </cell>
          <cell r="AE1194">
            <v>0.25</v>
          </cell>
          <cell r="AF1194">
            <v>0.25</v>
          </cell>
          <cell r="AG1194">
            <v>0.25</v>
          </cell>
          <cell r="AH1194">
            <v>0.25</v>
          </cell>
          <cell r="AI1194">
            <v>0.25</v>
          </cell>
          <cell r="AJ1194">
            <v>0.25</v>
          </cell>
          <cell r="AK1194">
            <v>0.25</v>
          </cell>
          <cell r="AL1194">
            <v>0.25</v>
          </cell>
          <cell r="AM1194">
            <v>0.25</v>
          </cell>
          <cell r="AN1194">
            <v>0.25</v>
          </cell>
          <cell r="AO1194">
            <v>0.25</v>
          </cell>
          <cell r="AP1194">
            <v>0.25</v>
          </cell>
          <cell r="AQ1194">
            <v>0.25</v>
          </cell>
          <cell r="AR1194">
            <v>0.25</v>
          </cell>
          <cell r="AS1194">
            <v>0.25</v>
          </cell>
          <cell r="AT1194">
            <v>-0.04</v>
          </cell>
          <cell r="AU1194">
            <v>0.92</v>
          </cell>
          <cell r="AV1194">
            <v>20</v>
          </cell>
          <cell r="AY1194" t="str">
            <v/>
          </cell>
          <cell r="AZ1194">
            <v>0.25</v>
          </cell>
          <cell r="BA1194">
            <v>0.25</v>
          </cell>
        </row>
        <row r="1195">
          <cell r="A1195" t="str">
            <v>GIAN PAOLO MARINELLI GEOMETRA</v>
          </cell>
          <cell r="H1195" t="str">
            <v>ITALIA</v>
          </cell>
          <cell r="M1195" t="str">
            <v>UFFICIO ACQUISTI</v>
          </cell>
          <cell r="O1195" t="str">
            <v>3290186222</v>
          </cell>
          <cell r="P1195" t="str">
            <v>gianpaolo-marinelli@hotmail.it</v>
          </cell>
          <cell r="R1195" t="str">
            <v>BONIFICO BANCARIO, ALLA DATA DELLA NOSTRA CONFERMA D'ORDINE</v>
          </cell>
          <cell r="X1195">
            <v>0.25</v>
          </cell>
          <cell r="Y1195">
            <v>-0.04</v>
          </cell>
          <cell r="AB1195">
            <v>0.25</v>
          </cell>
          <cell r="AC1195">
            <v>0.25</v>
          </cell>
          <cell r="AD1195">
            <v>0.25</v>
          </cell>
          <cell r="AE1195">
            <v>0.25</v>
          </cell>
          <cell r="AF1195">
            <v>0.25</v>
          </cell>
          <cell r="AG1195">
            <v>0.25</v>
          </cell>
          <cell r="AH1195">
            <v>0.25</v>
          </cell>
          <cell r="AI1195">
            <v>0.25</v>
          </cell>
          <cell r="AJ1195">
            <v>0.25</v>
          </cell>
          <cell r="AK1195">
            <v>0.25</v>
          </cell>
          <cell r="AL1195">
            <v>0.25</v>
          </cell>
          <cell r="AM1195">
            <v>0.25</v>
          </cell>
          <cell r="AN1195">
            <v>0.25</v>
          </cell>
          <cell r="AO1195">
            <v>0.25</v>
          </cell>
          <cell r="AP1195">
            <v>0.25</v>
          </cell>
          <cell r="AQ1195">
            <v>0.25</v>
          </cell>
          <cell r="AR1195">
            <v>0.25</v>
          </cell>
          <cell r="AS1195">
            <v>0.25</v>
          </cell>
          <cell r="AT1195">
            <v>-0.04</v>
          </cell>
          <cell r="AU1195">
            <v>0.92</v>
          </cell>
          <cell r="AV1195">
            <v>20</v>
          </cell>
          <cell r="AZ1195">
            <v>0.25</v>
          </cell>
          <cell r="BA1195">
            <v>0.25</v>
          </cell>
        </row>
        <row r="1196">
          <cell r="A1196" t="str">
            <v>GIANLUCA PICCOLO</v>
          </cell>
          <cell r="B1196" t="str">
            <v>SERRAL NOVABLIND</v>
          </cell>
          <cell r="D1196" t="str">
            <v>VIA GIOTTO, 83/85</v>
          </cell>
          <cell r="E1196">
            <v>81031</v>
          </cell>
          <cell r="F1196" t="str">
            <v>AVERSA</v>
          </cell>
          <cell r="G1196" t="str">
            <v>CE</v>
          </cell>
          <cell r="H1196" t="str">
            <v>ITALIA</v>
          </cell>
          <cell r="J1196" t="str">
            <v>02453780617</v>
          </cell>
          <cell r="K1196" t="str">
            <v>PXQYICS</v>
          </cell>
          <cell r="M1196" t="str">
            <v>UFFICIO ACQUISTI</v>
          </cell>
          <cell r="N1196" t="str">
            <v>081 5020093</v>
          </cell>
          <cell r="O1196" t="str">
            <v>081 8112414</v>
          </cell>
          <cell r="P1196" t="str">
            <v>lucapiccolo@studiopi.it</v>
          </cell>
          <cell r="R1196" t="str">
            <v>BONIFICO BANCARIO, ALLA DATA DELLA NOSTRA CONFERMA D'ORDINE</v>
          </cell>
          <cell r="X1196">
            <v>0.25</v>
          </cell>
          <cell r="Y1196">
            <v>-0.04</v>
          </cell>
          <cell r="AB1196">
            <v>0.25</v>
          </cell>
          <cell r="AC1196">
            <v>0.25</v>
          </cell>
          <cell r="AD1196">
            <v>0.25</v>
          </cell>
          <cell r="AE1196">
            <v>0.25</v>
          </cell>
          <cell r="AF1196">
            <v>0.25</v>
          </cell>
          <cell r="AG1196">
            <v>0.25</v>
          </cell>
          <cell r="AH1196">
            <v>0.25</v>
          </cell>
          <cell r="AI1196">
            <v>0.25</v>
          </cell>
          <cell r="AJ1196">
            <v>0.25</v>
          </cell>
          <cell r="AK1196">
            <v>0.25</v>
          </cell>
          <cell r="AL1196">
            <v>0.25</v>
          </cell>
          <cell r="AM1196">
            <v>0.25</v>
          </cell>
          <cell r="AN1196">
            <v>0.25</v>
          </cell>
          <cell r="AO1196">
            <v>0.25</v>
          </cell>
          <cell r="AP1196">
            <v>0.25</v>
          </cell>
          <cell r="AQ1196">
            <v>0.25</v>
          </cell>
          <cell r="AR1196">
            <v>0.25</v>
          </cell>
          <cell r="AS1196">
            <v>0.25</v>
          </cell>
          <cell r="AT1196">
            <v>-0.04</v>
          </cell>
          <cell r="AU1196">
            <v>0.92</v>
          </cell>
          <cell r="AV1196">
            <v>20</v>
          </cell>
          <cell r="AY1196" t="str">
            <v/>
          </cell>
          <cell r="AZ1196">
            <v>0.25</v>
          </cell>
          <cell r="BA1196">
            <v>0.25</v>
          </cell>
          <cell r="BF1196" t="str">
            <v>CLICK RAPID con carpenteria 07/01/2021</v>
          </cell>
        </row>
        <row r="1197">
          <cell r="A1197" t="str">
            <v>GIANNOTTI CLAUDIO</v>
          </cell>
          <cell r="D1197" t="str">
            <v>VIA CASINELLA 22</v>
          </cell>
          <cell r="E1197" t="str">
            <v>61020</v>
          </cell>
          <cell r="F1197" t="str">
            <v>TAVOLETO</v>
          </cell>
          <cell r="G1197" t="str">
            <v>PU</v>
          </cell>
          <cell r="H1197" t="str">
            <v>ITALIA</v>
          </cell>
          <cell r="J1197" t="str">
            <v>00898110416</v>
          </cell>
          <cell r="M1197" t="str">
            <v>UFFICIO ACQUISTI</v>
          </cell>
          <cell r="N1197" t="str">
            <v>0721 403466</v>
          </cell>
          <cell r="P1197" t="str">
            <v>info@giannotticlaudio.it</v>
          </cell>
          <cell r="R1197" t="str">
            <v>BONIFICO BANCARIO, ALLA DATA DELLA NOSTRA CONFERMA D'ORDINE</v>
          </cell>
          <cell r="X1197">
            <v>0.25</v>
          </cell>
          <cell r="Y1197">
            <v>-0.04</v>
          </cell>
          <cell r="AB1197">
            <v>0.25</v>
          </cell>
          <cell r="AC1197">
            <v>0.25</v>
          </cell>
          <cell r="AD1197">
            <v>0.25</v>
          </cell>
          <cell r="AE1197">
            <v>0.25</v>
          </cell>
          <cell r="AF1197">
            <v>0.25</v>
          </cell>
          <cell r="AG1197">
            <v>0.25</v>
          </cell>
          <cell r="AH1197">
            <v>0.25</v>
          </cell>
          <cell r="AI1197">
            <v>0.25</v>
          </cell>
          <cell r="AJ1197">
            <v>0.25</v>
          </cell>
          <cell r="AK1197">
            <v>0.25</v>
          </cell>
          <cell r="AL1197">
            <v>0.25</v>
          </cell>
          <cell r="AM1197">
            <v>0.25</v>
          </cell>
          <cell r="AN1197">
            <v>0.25</v>
          </cell>
          <cell r="AO1197">
            <v>0.25</v>
          </cell>
          <cell r="AP1197">
            <v>0.25</v>
          </cell>
          <cell r="AQ1197">
            <v>0.25</v>
          </cell>
          <cell r="AR1197">
            <v>0.25</v>
          </cell>
          <cell r="AS1197">
            <v>0.25</v>
          </cell>
          <cell r="AT1197">
            <v>-0.04</v>
          </cell>
          <cell r="AU1197">
            <v>0.92</v>
          </cell>
          <cell r="AV1197">
            <v>20</v>
          </cell>
          <cell r="AY1197" t="str">
            <v/>
          </cell>
          <cell r="AZ1197">
            <v>0.25</v>
          </cell>
          <cell r="BA1197">
            <v>0.25</v>
          </cell>
        </row>
        <row r="1198">
          <cell r="A1198" t="str">
            <v>GIBIESSE</v>
          </cell>
          <cell r="D1198" t="str">
            <v>CORSO ITALIA 598</v>
          </cell>
          <cell r="E1198" t="str">
            <v>44047</v>
          </cell>
          <cell r="F1198" t="str">
            <v>TERRE DEL RENO</v>
          </cell>
          <cell r="G1198" t="str">
            <v>FE</v>
          </cell>
          <cell r="H1198" t="str">
            <v>ITALIA</v>
          </cell>
          <cell r="J1198" t="str">
            <v>00381020387</v>
          </cell>
          <cell r="M1198" t="str">
            <v>UFFICIO ACQUISTI</v>
          </cell>
          <cell r="N1198" t="str">
            <v>0532 845180</v>
          </cell>
          <cell r="P1198" t="str">
            <v>irene@gibiesse.com</v>
          </cell>
          <cell r="R1198" t="str">
            <v>BONIFICO BANCARIO, ALLA DATA DELLA NOSTRA CONFERMA D'ORDINE</v>
          </cell>
          <cell r="X1198">
            <v>0.25</v>
          </cell>
          <cell r="Y1198">
            <v>-0.04</v>
          </cell>
          <cell r="AB1198">
            <v>0.25</v>
          </cell>
          <cell r="AC1198">
            <v>0.25</v>
          </cell>
          <cell r="AD1198">
            <v>0.25</v>
          </cell>
          <cell r="AE1198">
            <v>0.25</v>
          </cell>
          <cell r="AF1198">
            <v>0.25</v>
          </cell>
          <cell r="AG1198">
            <v>0.25</v>
          </cell>
          <cell r="AH1198">
            <v>0.25</v>
          </cell>
          <cell r="AI1198">
            <v>0.25</v>
          </cell>
          <cell r="AJ1198">
            <v>0.25</v>
          </cell>
          <cell r="AK1198">
            <v>0.25</v>
          </cell>
          <cell r="AL1198">
            <v>0.25</v>
          </cell>
          <cell r="AM1198">
            <v>0.25</v>
          </cell>
          <cell r="AN1198">
            <v>0.25</v>
          </cell>
          <cell r="AO1198">
            <v>0.25</v>
          </cell>
          <cell r="AP1198">
            <v>0.25</v>
          </cell>
          <cell r="AQ1198">
            <v>0.25</v>
          </cell>
          <cell r="AR1198">
            <v>0.25</v>
          </cell>
          <cell r="AS1198">
            <v>0.25</v>
          </cell>
          <cell r="AT1198">
            <v>-0.04</v>
          </cell>
          <cell r="AU1198">
            <v>0.92</v>
          </cell>
          <cell r="AV1198">
            <v>20</v>
          </cell>
          <cell r="AY1198" t="str">
            <v/>
          </cell>
          <cell r="AZ1198">
            <v>0.25</v>
          </cell>
          <cell r="BA1198">
            <v>0.25</v>
          </cell>
        </row>
        <row r="1199">
          <cell r="A1199" t="str">
            <v>GIEFFE DI POLI SERGIO</v>
          </cell>
          <cell r="B1199" t="str">
            <v>RIVENDITORE ACQUASTOP</v>
          </cell>
          <cell r="D1199" t="str">
            <v>VIA SERADELLO 189</v>
          </cell>
          <cell r="E1199">
            <v>25068</v>
          </cell>
          <cell r="F1199" t="str">
            <v>SAREZZO</v>
          </cell>
          <cell r="G1199" t="str">
            <v>BS</v>
          </cell>
          <cell r="H1199" t="str">
            <v>ITALIA</v>
          </cell>
          <cell r="J1199" t="str">
            <v>00569780984</v>
          </cell>
          <cell r="M1199" t="str">
            <v>UFFICIO ACQUISTI</v>
          </cell>
          <cell r="N1199" t="str">
            <v>030832194</v>
          </cell>
          <cell r="P1199" t="str">
            <v>sergio@gieffedipoli.com</v>
          </cell>
          <cell r="R1199" t="str">
            <v>BONIFICO BANCARIO, ALLA DATA DELLA NOSTRA CONFERMA D'ORDINE</v>
          </cell>
          <cell r="X1199">
            <v>0.2</v>
          </cell>
          <cell r="Y1199">
            <v>-0.04</v>
          </cell>
          <cell r="AB1199">
            <v>0.2</v>
          </cell>
          <cell r="AC1199">
            <v>0.2</v>
          </cell>
          <cell r="AD1199">
            <v>0.2</v>
          </cell>
          <cell r="AE1199">
            <v>0.2</v>
          </cell>
          <cell r="AF1199">
            <v>0.2</v>
          </cell>
          <cell r="AG1199">
            <v>0.2</v>
          </cell>
          <cell r="AH1199">
            <v>0.2</v>
          </cell>
          <cell r="AI1199">
            <v>0.2</v>
          </cell>
          <cell r="AJ1199">
            <v>0.2</v>
          </cell>
          <cell r="AK1199">
            <v>0.2</v>
          </cell>
          <cell r="AL1199">
            <v>0.2</v>
          </cell>
          <cell r="AM1199">
            <v>0.2</v>
          </cell>
          <cell r="AN1199">
            <v>0.2</v>
          </cell>
          <cell r="AO1199">
            <v>0.2</v>
          </cell>
          <cell r="AP1199">
            <v>0.2</v>
          </cell>
          <cell r="AQ1199">
            <v>0.2</v>
          </cell>
          <cell r="AR1199">
            <v>0.2</v>
          </cell>
          <cell r="AS1199">
            <v>0.2</v>
          </cell>
          <cell r="AT1199">
            <v>-0.04</v>
          </cell>
          <cell r="AU1199">
            <v>0.92</v>
          </cell>
          <cell r="AV1199">
            <v>20</v>
          </cell>
          <cell r="AZ1199">
            <v>0.2</v>
          </cell>
          <cell r="BA1199">
            <v>0.2</v>
          </cell>
        </row>
        <row r="1200">
          <cell r="A1200" t="str">
            <v>GIELLE SERRAMENTI</v>
          </cell>
          <cell r="B1200" t="str">
            <v>INTERESSATO MI RISPONDERA'</v>
          </cell>
          <cell r="D1200" t="str">
            <v>VIA DELLA MECCANICA, 9</v>
          </cell>
          <cell r="E1200" t="str">
            <v>41122</v>
          </cell>
          <cell r="F1200" t="str">
            <v>MODENA</v>
          </cell>
          <cell r="G1200" t="str">
            <v>MO</v>
          </cell>
          <cell r="H1200" t="str">
            <v>ITALIA</v>
          </cell>
          <cell r="J1200" t="str">
            <v>02323660361</v>
          </cell>
          <cell r="M1200" t="str">
            <v>UFFICIO ACQUISTI</v>
          </cell>
          <cell r="O1200" t="str">
            <v>331 9373363   388 1646353</v>
          </cell>
          <cell r="P1200" t="str">
            <v>gielleserramenti@outlook.it</v>
          </cell>
          <cell r="R1200" t="str">
            <v>BONIFICO BANCARIO, ALLA DATA DELLA NOSTRA CONFERMA D'ORDINE</v>
          </cell>
          <cell r="X1200">
            <v>0.2</v>
          </cell>
          <cell r="Y1200">
            <v>-0.04</v>
          </cell>
          <cell r="AB1200">
            <v>0.2</v>
          </cell>
          <cell r="AC1200">
            <v>0.2</v>
          </cell>
          <cell r="AD1200">
            <v>0.2</v>
          </cell>
          <cell r="AE1200">
            <v>0.2</v>
          </cell>
          <cell r="AF1200">
            <v>0.2</v>
          </cell>
          <cell r="AG1200">
            <v>0.2</v>
          </cell>
          <cell r="AH1200">
            <v>0.2</v>
          </cell>
          <cell r="AI1200">
            <v>0.2</v>
          </cell>
          <cell r="AJ1200">
            <v>0.2</v>
          </cell>
          <cell r="AK1200">
            <v>0.2</v>
          </cell>
          <cell r="AL1200">
            <v>0.2</v>
          </cell>
          <cell r="AM1200">
            <v>0.2</v>
          </cell>
          <cell r="AN1200">
            <v>0.2</v>
          </cell>
          <cell r="AO1200">
            <v>0.2</v>
          </cell>
          <cell r="AP1200">
            <v>0.2</v>
          </cell>
          <cell r="AQ1200">
            <v>0.2</v>
          </cell>
          <cell r="AR1200">
            <v>0.2</v>
          </cell>
          <cell r="AS1200">
            <v>0.2</v>
          </cell>
          <cell r="AT1200">
            <v>-0.04</v>
          </cell>
          <cell r="AU1200">
            <v>0.9</v>
          </cell>
          <cell r="AV1200">
            <v>20</v>
          </cell>
          <cell r="AZ1200">
            <v>0.2</v>
          </cell>
          <cell r="BA1200">
            <v>0.2</v>
          </cell>
        </row>
        <row r="1201">
          <cell r="A1201" t="str">
            <v>GIEMME</v>
          </cell>
          <cell r="D1201" t="str">
            <v>VIALE BOLOGNA, 96</v>
          </cell>
          <cell r="E1201" t="str">
            <v>47122</v>
          </cell>
          <cell r="F1201" t="str">
            <v>FORLI</v>
          </cell>
          <cell r="G1201" t="str">
            <v>FC</v>
          </cell>
          <cell r="H1201" t="str">
            <v>ITALIA</v>
          </cell>
          <cell r="M1201" t="str">
            <v>UFFICIO ACQUISTI</v>
          </cell>
          <cell r="N1201" t="str">
            <v>0543 704444</v>
          </cell>
          <cell r="O1201" t="str">
            <v>327 4243430 Moreno</v>
          </cell>
          <cell r="P1201" t="str">
            <v>faccanimoreno@giemme.net</v>
          </cell>
          <cell r="R1201" t="str">
            <v>BONIFICO BANCARIO, ALLA DATA DELLA NOSTRA CONFERMA D'ORDINE</v>
          </cell>
          <cell r="X1201">
            <v>0</v>
          </cell>
          <cell r="Y1201">
            <v>-0.04</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-0.04</v>
          </cell>
          <cell r="AU1201">
            <v>0.92</v>
          </cell>
          <cell r="AV1201">
            <v>20</v>
          </cell>
          <cell r="AZ1201">
            <v>0</v>
          </cell>
          <cell r="BA1201">
            <v>0</v>
          </cell>
        </row>
        <row r="1202">
          <cell r="A1202" t="str">
            <v>GIEMME FORLì SRL</v>
          </cell>
          <cell r="D1202" t="str">
            <v>VIALE BOLOGNA 96</v>
          </cell>
          <cell r="E1202" t="str">
            <v>47122</v>
          </cell>
          <cell r="F1202" t="str">
            <v>FORLì</v>
          </cell>
          <cell r="G1202" t="str">
            <v>FC</v>
          </cell>
          <cell r="H1202" t="str">
            <v>ITALIA</v>
          </cell>
          <cell r="M1202" t="str">
            <v>UFFICIO ACQUISTI</v>
          </cell>
          <cell r="N1202" t="str">
            <v>0543 704444</v>
          </cell>
          <cell r="P1202" t="str">
            <v>info@giemme.net</v>
          </cell>
          <cell r="R1202" t="str">
            <v>BONIFICO BANCARIO, ALLA DATA DELLA NOSTRA CONFERMA D'ORDINE</v>
          </cell>
          <cell r="X1202">
            <v>0.25</v>
          </cell>
          <cell r="Y1202">
            <v>-0.04</v>
          </cell>
          <cell r="AB1202">
            <v>0.25</v>
          </cell>
          <cell r="AC1202">
            <v>0.25</v>
          </cell>
          <cell r="AD1202">
            <v>0.25</v>
          </cell>
          <cell r="AE1202">
            <v>0.25</v>
          </cell>
          <cell r="AF1202">
            <v>0.25</v>
          </cell>
          <cell r="AG1202">
            <v>0.25</v>
          </cell>
          <cell r="AH1202">
            <v>0.25</v>
          </cell>
          <cell r="AI1202">
            <v>0.25</v>
          </cell>
          <cell r="AJ1202">
            <v>0.25</v>
          </cell>
          <cell r="AK1202">
            <v>0.25</v>
          </cell>
          <cell r="AL1202">
            <v>0.25</v>
          </cell>
          <cell r="AM1202">
            <v>0.25</v>
          </cell>
          <cell r="AN1202">
            <v>0.25</v>
          </cell>
          <cell r="AO1202">
            <v>0.25</v>
          </cell>
          <cell r="AP1202">
            <v>0.25</v>
          </cell>
          <cell r="AQ1202">
            <v>0.25</v>
          </cell>
          <cell r="AR1202">
            <v>0.25</v>
          </cell>
          <cell r="AS1202">
            <v>0.25</v>
          </cell>
          <cell r="AT1202">
            <v>-0.04</v>
          </cell>
          <cell r="AU1202">
            <v>0.92</v>
          </cell>
          <cell r="AV1202">
            <v>20</v>
          </cell>
          <cell r="AY1202" t="str">
            <v/>
          </cell>
          <cell r="AZ1202">
            <v>0.25</v>
          </cell>
          <cell r="BA1202">
            <v>0.25</v>
          </cell>
        </row>
        <row r="1203">
          <cell r="A1203" t="str">
            <v>GIEMMEBI INFISSI S.R.L.</v>
          </cell>
          <cell r="D1203" t="str">
            <v>VIA AURELIA, 83</v>
          </cell>
          <cell r="E1203">
            <v>19033</v>
          </cell>
          <cell r="F1203" t="str">
            <v>CASTELNUOVO MAGRA</v>
          </cell>
          <cell r="G1203" t="str">
            <v>SP</v>
          </cell>
          <cell r="H1203" t="str">
            <v>ITALIA</v>
          </cell>
          <cell r="J1203" t="str">
            <v>00897910113</v>
          </cell>
          <cell r="K1203" t="str">
            <v>5RUO82D</v>
          </cell>
          <cell r="M1203" t="str">
            <v>UFFICIO ACQUISTI</v>
          </cell>
          <cell r="N1203" t="str">
            <v>0187 670235</v>
          </cell>
          <cell r="P1203" t="str">
            <v>giemmebi.snc@libero.it</v>
          </cell>
          <cell r="R1203" t="str">
            <v>BONIFICO BANCARIO, ALLA DATA DELLA NOSTRA CONFERMA D'ORDINE</v>
          </cell>
          <cell r="X1203">
            <v>0.25</v>
          </cell>
          <cell r="Y1203">
            <v>-0.04</v>
          </cell>
          <cell r="AB1203">
            <v>0.25</v>
          </cell>
          <cell r="AC1203">
            <v>0.25</v>
          </cell>
          <cell r="AD1203">
            <v>0.25</v>
          </cell>
          <cell r="AE1203">
            <v>0.25</v>
          </cell>
          <cell r="AF1203">
            <v>0.25</v>
          </cell>
          <cell r="AG1203">
            <v>0.25</v>
          </cell>
          <cell r="AH1203">
            <v>0.25</v>
          </cell>
          <cell r="AI1203">
            <v>0.25</v>
          </cell>
          <cell r="AJ1203">
            <v>0.25</v>
          </cell>
          <cell r="AK1203">
            <v>0.25</v>
          </cell>
          <cell r="AL1203">
            <v>0.25</v>
          </cell>
          <cell r="AM1203">
            <v>0.25</v>
          </cell>
          <cell r="AN1203">
            <v>0.25</v>
          </cell>
          <cell r="AO1203">
            <v>0.25</v>
          </cell>
          <cell r="AP1203">
            <v>0.25</v>
          </cell>
          <cell r="AQ1203">
            <v>0.25</v>
          </cell>
          <cell r="AR1203">
            <v>0.25</v>
          </cell>
          <cell r="AS1203">
            <v>0.25</v>
          </cell>
          <cell r="AT1203">
            <v>-0.04</v>
          </cell>
          <cell r="AU1203">
            <v>0.87</v>
          </cell>
          <cell r="AV1203">
            <v>20</v>
          </cell>
          <cell r="AY1203" t="str">
            <v/>
          </cell>
          <cell r="AZ1203">
            <v>0.25</v>
          </cell>
          <cell r="BA1203">
            <v>0.25</v>
          </cell>
        </row>
        <row r="1204">
          <cell r="A1204" t="str">
            <v>GILBERTO MICUCCI S.R.L.</v>
          </cell>
          <cell r="B1204" t="str">
            <v>riccardomicucci@progettoinfissi.com (NON VUOLE RICEVERE MAIL)</v>
          </cell>
          <cell r="D1204" t="str">
            <v>VIA GOBETTI SNC</v>
          </cell>
          <cell r="E1204">
            <v>62012</v>
          </cell>
          <cell r="F1204" t="str">
            <v>CIVITANOVA MARCHE</v>
          </cell>
          <cell r="G1204" t="str">
            <v>MC</v>
          </cell>
          <cell r="H1204" t="str">
            <v>ITALIA</v>
          </cell>
          <cell r="J1204" t="str">
            <v>01508620430</v>
          </cell>
          <cell r="K1204" t="str">
            <v>M5UXCR1</v>
          </cell>
          <cell r="M1204" t="str">
            <v>UFFICIO ACQUISTI</v>
          </cell>
          <cell r="N1204" t="str">
            <v>0733 801068</v>
          </cell>
          <cell r="R1204" t="str">
            <v>BONIFICO BANCARIO, ALLA DATA DELLA NOSTRA CONFERMA D'ORDINE</v>
          </cell>
          <cell r="X1204">
            <v>0.25</v>
          </cell>
          <cell r="Y1204">
            <v>-0.04</v>
          </cell>
          <cell r="AB1204">
            <v>0.25</v>
          </cell>
          <cell r="AC1204">
            <v>0.25</v>
          </cell>
          <cell r="AD1204">
            <v>0.25</v>
          </cell>
          <cell r="AE1204">
            <v>0.25</v>
          </cell>
          <cell r="AF1204">
            <v>0.25</v>
          </cell>
          <cell r="AG1204">
            <v>0.25</v>
          </cell>
          <cell r="AH1204">
            <v>0.25</v>
          </cell>
          <cell r="AI1204">
            <v>0.25</v>
          </cell>
          <cell r="AJ1204">
            <v>0.25</v>
          </cell>
          <cell r="AK1204">
            <v>0.25</v>
          </cell>
          <cell r="AL1204">
            <v>0.25</v>
          </cell>
          <cell r="AM1204">
            <v>0.25</v>
          </cell>
          <cell r="AN1204">
            <v>0.25</v>
          </cell>
          <cell r="AO1204">
            <v>0.25</v>
          </cell>
          <cell r="AP1204">
            <v>0.25</v>
          </cell>
          <cell r="AQ1204">
            <v>0.25</v>
          </cell>
          <cell r="AR1204">
            <v>0.25</v>
          </cell>
          <cell r="AS1204">
            <v>0.25</v>
          </cell>
          <cell r="AT1204">
            <v>-0.04</v>
          </cell>
          <cell r="AU1204">
            <v>0.92</v>
          </cell>
          <cell r="AV1204">
            <v>20</v>
          </cell>
          <cell r="AY1204" t="str">
            <v/>
          </cell>
          <cell r="AZ1204">
            <v>0.25</v>
          </cell>
          <cell r="BA1204">
            <v>0.25</v>
          </cell>
        </row>
        <row r="1205">
          <cell r="A1205" t="str">
            <v>GIOIA INFISSI</v>
          </cell>
          <cell r="D1205" t="str">
            <v>VIA LATIANO, 37</v>
          </cell>
          <cell r="E1205" t="str">
            <v>72019</v>
          </cell>
          <cell r="F1205" t="str">
            <v>SAN VITO DEI NORMANNI</v>
          </cell>
          <cell r="G1205" t="str">
            <v>BR</v>
          </cell>
          <cell r="H1205" t="str">
            <v>ITALIA</v>
          </cell>
          <cell r="I1205" t="str">
            <v>GIOGPP87P13F152G</v>
          </cell>
          <cell r="J1205" t="str">
            <v>333 6722833</v>
          </cell>
          <cell r="K1205" t="str">
            <v>SUBM70N</v>
          </cell>
          <cell r="M1205" t="str">
            <v>UFFICIO ACQUISTI</v>
          </cell>
          <cell r="N1205" t="str">
            <v>0831 985727</v>
          </cell>
          <cell r="O1205" t="str">
            <v>333 6722833</v>
          </cell>
          <cell r="P1205" t="str">
            <v>gioia.infissi@libero.it</v>
          </cell>
          <cell r="R1205" t="str">
            <v>BONIFICO BANCARIO, ALLA DATA DELLA NOSTRA CONFERMA D'ORDINE</v>
          </cell>
          <cell r="X1205">
            <v>0.25</v>
          </cell>
          <cell r="Y1205">
            <v>-0.04</v>
          </cell>
          <cell r="AB1205">
            <v>0.25</v>
          </cell>
          <cell r="AC1205">
            <v>0.25</v>
          </cell>
          <cell r="AD1205">
            <v>0.25</v>
          </cell>
          <cell r="AE1205">
            <v>0.25</v>
          </cell>
          <cell r="AF1205">
            <v>0.25</v>
          </cell>
          <cell r="AG1205">
            <v>0.25</v>
          </cell>
          <cell r="AH1205">
            <v>0.25</v>
          </cell>
          <cell r="AI1205">
            <v>0.25</v>
          </cell>
          <cell r="AJ1205">
            <v>0.25</v>
          </cell>
          <cell r="AK1205">
            <v>0.25</v>
          </cell>
          <cell r="AL1205">
            <v>0.25</v>
          </cell>
          <cell r="AM1205">
            <v>0.25</v>
          </cell>
          <cell r="AN1205">
            <v>0.25</v>
          </cell>
          <cell r="AO1205">
            <v>0.25</v>
          </cell>
          <cell r="AP1205">
            <v>0.25</v>
          </cell>
          <cell r="AQ1205">
            <v>0.25</v>
          </cell>
          <cell r="AR1205">
            <v>0.25</v>
          </cell>
          <cell r="AS1205">
            <v>0.25</v>
          </cell>
          <cell r="AT1205">
            <v>-0.04</v>
          </cell>
          <cell r="AU1205">
            <v>0.92</v>
          </cell>
          <cell r="AV1205">
            <v>20</v>
          </cell>
          <cell r="AZ1205">
            <v>0.25</v>
          </cell>
          <cell r="BA1205">
            <v>0.25</v>
          </cell>
        </row>
        <row r="1206">
          <cell r="A1206" t="str">
            <v xml:space="preserve">GIORGETTI SERRANDE DI CORRADO GIORGETTI </v>
          </cell>
          <cell r="D1206" t="str">
            <v>VIA DONIZETTI, 82</v>
          </cell>
          <cell r="E1206" t="str">
            <v>09128</v>
          </cell>
          <cell r="F1206" t="str">
            <v>CAGLIARI</v>
          </cell>
          <cell r="G1206" t="str">
            <v>CA</v>
          </cell>
          <cell r="H1206" t="str">
            <v>ITALIA</v>
          </cell>
          <cell r="I1206" t="str">
            <v>GRGCRD72M11B354Q</v>
          </cell>
          <cell r="J1206" t="str">
            <v>03678830922</v>
          </cell>
          <cell r="M1206" t="str">
            <v>UFFICIO ACQUISTI</v>
          </cell>
          <cell r="N1206" t="str">
            <v>070 491243</v>
          </cell>
          <cell r="O1206" t="str">
            <v>340 9478641</v>
          </cell>
          <cell r="P1206" t="str">
            <v>serrandegiorgetti@gmail.com</v>
          </cell>
          <cell r="R1206" t="str">
            <v>BONIFICO BANCARIO, ALLA DATA DELLA NOSTRA CONFERMA D'ORDINE</v>
          </cell>
          <cell r="X1206">
            <v>0.17</v>
          </cell>
          <cell r="Y1206">
            <v>-0.04</v>
          </cell>
          <cell r="AB1206">
            <v>0.17</v>
          </cell>
          <cell r="AC1206">
            <v>0.17</v>
          </cell>
          <cell r="AD1206">
            <v>0.17</v>
          </cell>
          <cell r="AE1206">
            <v>0.17</v>
          </cell>
          <cell r="AF1206">
            <v>0.17</v>
          </cell>
          <cell r="AG1206">
            <v>0.17</v>
          </cell>
          <cell r="AH1206">
            <v>0.17</v>
          </cell>
          <cell r="AI1206">
            <v>0.17</v>
          </cell>
          <cell r="AJ1206">
            <v>0.17</v>
          </cell>
          <cell r="AK1206">
            <v>0.17</v>
          </cell>
          <cell r="AL1206">
            <v>0.17</v>
          </cell>
          <cell r="AM1206">
            <v>0.17</v>
          </cell>
          <cell r="AN1206">
            <v>0.17</v>
          </cell>
          <cell r="AO1206">
            <v>0.17</v>
          </cell>
          <cell r="AP1206">
            <v>0.17</v>
          </cell>
          <cell r="AQ1206">
            <v>0.17</v>
          </cell>
          <cell r="AR1206">
            <v>0.17</v>
          </cell>
          <cell r="AS1206">
            <v>0.17</v>
          </cell>
          <cell r="AT1206">
            <v>-0.04</v>
          </cell>
          <cell r="AU1206">
            <v>0.92</v>
          </cell>
          <cell r="AV1206">
            <v>20</v>
          </cell>
          <cell r="AZ1206">
            <v>0.17</v>
          </cell>
          <cell r="BA1206">
            <v>0.17</v>
          </cell>
        </row>
        <row r="1207">
          <cell r="A1207" t="str">
            <v>GIORGIO GIRELLI SRL</v>
          </cell>
          <cell r="D1207" t="str">
            <v>VIALE XXIV MAGGIO, 18</v>
          </cell>
          <cell r="E1207">
            <v>30132</v>
          </cell>
          <cell r="F1207" t="str">
            <v>VENEZIA</v>
          </cell>
          <cell r="G1207" t="str">
            <v>VE</v>
          </cell>
          <cell r="H1207" t="str">
            <v>ITALIA</v>
          </cell>
          <cell r="J1207" t="str">
            <v>04616500270</v>
          </cell>
          <cell r="M1207" t="str">
            <v>UFFICIO ACQUISTI</v>
          </cell>
          <cell r="N1207" t="str">
            <v>041 5228185</v>
          </cell>
          <cell r="P1207" t="str">
            <v>info@giorgiogirelli.com</v>
          </cell>
          <cell r="R1207" t="str">
            <v>BONIFICO BANCARIO, ALLA DATA DELLA NOSTRA CONFERMA D'ORDINE</v>
          </cell>
          <cell r="W1207" t="str">
            <v>ACQUA SALATA</v>
          </cell>
          <cell r="X1207">
            <v>0.25</v>
          </cell>
          <cell r="Y1207">
            <v>-0.04</v>
          </cell>
          <cell r="AB1207">
            <v>0.25</v>
          </cell>
          <cell r="AC1207">
            <v>0.25</v>
          </cell>
          <cell r="AD1207">
            <v>0.25</v>
          </cell>
          <cell r="AE1207">
            <v>0.25</v>
          </cell>
          <cell r="AF1207">
            <v>0.25</v>
          </cell>
          <cell r="AG1207">
            <v>0.25</v>
          </cell>
          <cell r="AH1207">
            <v>0.25</v>
          </cell>
          <cell r="AI1207">
            <v>0.25</v>
          </cell>
          <cell r="AJ1207">
            <v>0.25</v>
          </cell>
          <cell r="AK1207">
            <v>0.25</v>
          </cell>
          <cell r="AL1207">
            <v>0.25</v>
          </cell>
          <cell r="AM1207">
            <v>0.25</v>
          </cell>
          <cell r="AN1207">
            <v>0.25</v>
          </cell>
          <cell r="AO1207">
            <v>0.25</v>
          </cell>
          <cell r="AP1207">
            <v>0.25</v>
          </cell>
          <cell r="AQ1207">
            <v>0.25</v>
          </cell>
          <cell r="AR1207">
            <v>0.25</v>
          </cell>
          <cell r="AS1207">
            <v>0.25</v>
          </cell>
          <cell r="AT1207">
            <v>-0.04</v>
          </cell>
          <cell r="AU1207">
            <v>0.92</v>
          </cell>
          <cell r="AV1207">
            <v>20</v>
          </cell>
          <cell r="AY1207" t="str">
            <v/>
          </cell>
          <cell r="AZ1207">
            <v>0.25</v>
          </cell>
          <cell r="BA1207">
            <v>0.25</v>
          </cell>
        </row>
        <row r="1208">
          <cell r="A1208" t="str">
            <v>GIORGIO RILLO</v>
          </cell>
          <cell r="B1208" t="str">
            <v>23/11/20 FA UN PAIO DI CHIAMATE A CROTONE 07/12 DICE CHE LE PRODUCE ARTIGIANALMENTE E CHE HA DEI CASI SOTTO MANO. MANDATA MAIL E RICHIESTA RISPOSTA CON MISURE PER PREVENTIVO - 07/02/2023 OTTIMO FEEDBACK NOSTRA AZIENDA</v>
          </cell>
          <cell r="D1208" t="str">
            <v>LOC. VENTAROLA Z.I.</v>
          </cell>
          <cell r="E1208">
            <v>88841</v>
          </cell>
          <cell r="F1208" t="str">
            <v>I.DI CAPO RIZZUTO</v>
          </cell>
          <cell r="G1208" t="str">
            <v>KR</v>
          </cell>
          <cell r="H1208" t="str">
            <v>ITALIA</v>
          </cell>
          <cell r="I1208" t="str">
            <v>RLLGRG73P19D122U</v>
          </cell>
          <cell r="J1208" t="str">
            <v>02102860794</v>
          </cell>
          <cell r="M1208" t="str">
            <v>UFFICIO ACQUISTI</v>
          </cell>
          <cell r="O1208" t="str">
            <v>393 9623951 - 347 6267667</v>
          </cell>
          <cell r="P1208" t="str">
            <v>riillogiorgio@tiscali.it</v>
          </cell>
          <cell r="R1208" t="str">
            <v>BONIFICO BANCARIO, ALLA DATA DELLA NOSTRA CONFERMA D'ORDINE</v>
          </cell>
          <cell r="X1208">
            <v>0.25</v>
          </cell>
          <cell r="Y1208">
            <v>-0.04</v>
          </cell>
          <cell r="AB1208">
            <v>0.25</v>
          </cell>
          <cell r="AC1208">
            <v>0.25</v>
          </cell>
          <cell r="AD1208">
            <v>0.25</v>
          </cell>
          <cell r="AE1208">
            <v>0.25</v>
          </cell>
          <cell r="AF1208">
            <v>0.25</v>
          </cell>
          <cell r="AG1208">
            <v>0.25</v>
          </cell>
          <cell r="AH1208">
            <v>0.25</v>
          </cell>
          <cell r="AI1208">
            <v>0.25</v>
          </cell>
          <cell r="AJ1208">
            <v>0.25</v>
          </cell>
          <cell r="AK1208">
            <v>0.25</v>
          </cell>
          <cell r="AL1208">
            <v>0.25</v>
          </cell>
          <cell r="AM1208">
            <v>0.25</v>
          </cell>
          <cell r="AN1208">
            <v>0.25</v>
          </cell>
          <cell r="AO1208">
            <v>0.25</v>
          </cell>
          <cell r="AP1208">
            <v>0.25</v>
          </cell>
          <cell r="AQ1208">
            <v>0.25</v>
          </cell>
          <cell r="AR1208">
            <v>0.25</v>
          </cell>
          <cell r="AS1208">
            <v>0.25</v>
          </cell>
          <cell r="AT1208">
            <v>-0.04</v>
          </cell>
          <cell r="AU1208">
            <v>0.92</v>
          </cell>
          <cell r="AV1208">
            <v>20</v>
          </cell>
          <cell r="AW1208" t="str">
            <v>PIETRO OLIVADOTI</v>
          </cell>
          <cell r="AX1208">
            <v>0.95</v>
          </cell>
          <cell r="AY1208" t="str">
            <v/>
          </cell>
          <cell r="AZ1208">
            <v>0.25</v>
          </cell>
          <cell r="BA1208">
            <v>0.25</v>
          </cell>
        </row>
        <row r="1209">
          <cell r="A1209" t="str">
            <v>GIORGIO TOSO SNC</v>
          </cell>
          <cell r="D1209" t="str">
            <v>STRADA GUASTARINA 1</v>
          </cell>
          <cell r="E1209" t="str">
            <v>15076</v>
          </cell>
          <cell r="F1209" t="str">
            <v>OVADA</v>
          </cell>
          <cell r="G1209" t="str">
            <v>AL</v>
          </cell>
          <cell r="H1209" t="str">
            <v>ITALIA</v>
          </cell>
          <cell r="J1209" t="str">
            <v>01317530069</v>
          </cell>
          <cell r="M1209" t="str">
            <v>UFFICIO ACQUISTI</v>
          </cell>
          <cell r="N1209" t="str">
            <v>0143 81355</v>
          </cell>
          <cell r="R1209" t="str">
            <v>BONIFICO BANCARIO, ALLA DATA DELLA NOSTRA CONFERMA D'ORDINE</v>
          </cell>
          <cell r="X1209">
            <v>0.25</v>
          </cell>
          <cell r="Y1209">
            <v>-0.04</v>
          </cell>
          <cell r="AB1209">
            <v>0.25</v>
          </cell>
          <cell r="AC1209">
            <v>0.25</v>
          </cell>
          <cell r="AD1209">
            <v>0.25</v>
          </cell>
          <cell r="AE1209">
            <v>0.25</v>
          </cell>
          <cell r="AF1209">
            <v>0.25</v>
          </cell>
          <cell r="AG1209">
            <v>0.25</v>
          </cell>
          <cell r="AH1209">
            <v>0.25</v>
          </cell>
          <cell r="AI1209">
            <v>0.25</v>
          </cell>
          <cell r="AJ1209">
            <v>0.25</v>
          </cell>
          <cell r="AK1209">
            <v>0.25</v>
          </cell>
          <cell r="AL1209">
            <v>0.25</v>
          </cell>
          <cell r="AM1209">
            <v>0.25</v>
          </cell>
          <cell r="AN1209">
            <v>0.25</v>
          </cell>
          <cell r="AO1209">
            <v>0.25</v>
          </cell>
          <cell r="AP1209">
            <v>0.25</v>
          </cell>
          <cell r="AQ1209">
            <v>0.25</v>
          </cell>
          <cell r="AR1209">
            <v>0.25</v>
          </cell>
          <cell r="AS1209">
            <v>0.25</v>
          </cell>
          <cell r="AT1209">
            <v>-0.04</v>
          </cell>
          <cell r="AU1209">
            <v>0.92</v>
          </cell>
          <cell r="AV1209">
            <v>20</v>
          </cell>
          <cell r="AY1209" t="str">
            <v/>
          </cell>
          <cell r="AZ1209">
            <v>0.25</v>
          </cell>
          <cell r="BA1209">
            <v>0.25</v>
          </cell>
        </row>
        <row r="1210">
          <cell r="A1210" t="str">
            <v>GIOVANARDI FABBRO</v>
          </cell>
          <cell r="D1210" t="str">
            <v>VIA BARCAROLA, 2</v>
          </cell>
          <cell r="E1210" t="str">
            <v>47922</v>
          </cell>
          <cell r="F1210" t="str">
            <v>TORRE PEDRERA</v>
          </cell>
          <cell r="G1210" t="str">
            <v>RN</v>
          </cell>
          <cell r="H1210" t="str">
            <v>ITALIA</v>
          </cell>
          <cell r="M1210" t="str">
            <v>UFFICIO ACQUISTI</v>
          </cell>
          <cell r="N1210" t="str">
            <v>0541 720455</v>
          </cell>
          <cell r="R1210" t="str">
            <v>BONIFICO BANCARIO, ALLA DATA DELLA NOSTRA CONFERMA D'ORDINE</v>
          </cell>
          <cell r="X1210">
            <v>0</v>
          </cell>
          <cell r="Y1210">
            <v>-0.04</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cell r="AO1210">
            <v>0</v>
          </cell>
          <cell r="AP1210">
            <v>0</v>
          </cell>
          <cell r="AQ1210">
            <v>0</v>
          </cell>
          <cell r="AR1210">
            <v>0</v>
          </cell>
          <cell r="AS1210">
            <v>0</v>
          </cell>
          <cell r="AT1210">
            <v>-0.04</v>
          </cell>
          <cell r="AU1210">
            <v>0.92</v>
          </cell>
          <cell r="AV1210">
            <v>20</v>
          </cell>
          <cell r="AZ1210">
            <v>0</v>
          </cell>
          <cell r="BA1210">
            <v>0</v>
          </cell>
        </row>
        <row r="1211">
          <cell r="A1211" t="str">
            <v>GIOVANETTI GIACOMO</v>
          </cell>
          <cell r="D1211" t="str">
            <v>VIA ARCEVIESE 131/B</v>
          </cell>
          <cell r="E1211" t="str">
            <v>60019</v>
          </cell>
          <cell r="F1211" t="str">
            <v>SENIGALLIA</v>
          </cell>
          <cell r="G1211" t="str">
            <v>AN</v>
          </cell>
          <cell r="H1211" t="str">
            <v>ITALIA</v>
          </cell>
          <cell r="J1211" t="str">
            <v>01560660423</v>
          </cell>
          <cell r="M1211" t="str">
            <v>UFFICIO ACQUISTI</v>
          </cell>
          <cell r="N1211" t="str">
            <v>071 7926008</v>
          </cell>
          <cell r="O1211" t="str">
            <v>347 2450849</v>
          </cell>
          <cell r="P1211" t="str">
            <v>giovanettinfissi@gmail.com</v>
          </cell>
          <cell r="R1211" t="str">
            <v>BONIFICO BANCARIO, ALLA DATA DELLA NOSTRA CONFERMA D'ORDINE</v>
          </cell>
          <cell r="X1211">
            <v>0.25</v>
          </cell>
          <cell r="Y1211">
            <v>-0.04</v>
          </cell>
          <cell r="AB1211">
            <v>0.25</v>
          </cell>
          <cell r="AC1211">
            <v>0.25</v>
          </cell>
          <cell r="AD1211">
            <v>0.25</v>
          </cell>
          <cell r="AE1211">
            <v>0.25</v>
          </cell>
          <cell r="AF1211">
            <v>0.25</v>
          </cell>
          <cell r="AG1211">
            <v>0.25</v>
          </cell>
          <cell r="AH1211">
            <v>0.25</v>
          </cell>
          <cell r="AI1211">
            <v>0.25</v>
          </cell>
          <cell r="AJ1211">
            <v>0.25</v>
          </cell>
          <cell r="AK1211">
            <v>0.25</v>
          </cell>
          <cell r="AL1211">
            <v>0.25</v>
          </cell>
          <cell r="AM1211">
            <v>0.25</v>
          </cell>
          <cell r="AN1211">
            <v>0.25</v>
          </cell>
          <cell r="AO1211">
            <v>0.25</v>
          </cell>
          <cell r="AP1211">
            <v>0.25</v>
          </cell>
          <cell r="AQ1211">
            <v>0.25</v>
          </cell>
          <cell r="AR1211">
            <v>0.25</v>
          </cell>
          <cell r="AS1211">
            <v>0.25</v>
          </cell>
          <cell r="AT1211">
            <v>-0.04</v>
          </cell>
          <cell r="AU1211">
            <v>0.88</v>
          </cell>
          <cell r="AV1211">
            <v>20</v>
          </cell>
          <cell r="AY1211" t="str">
            <v/>
          </cell>
          <cell r="AZ1211">
            <v>0.25</v>
          </cell>
          <cell r="BA1211">
            <v>0.25</v>
          </cell>
          <cell r="BF1211" t="str">
            <v xml:space="preserve"> CLICK RAPID con espositore 25/10/2022 - MODERNA con espositore 25/10/2022</v>
          </cell>
        </row>
        <row r="1212">
          <cell r="A1212" t="str">
            <v>GIOVANNI CILIBERTI</v>
          </cell>
          <cell r="D1212" t="str">
            <v>VIA MANFREDONIA, 24</v>
          </cell>
          <cell r="E1212" t="str">
            <v>71121</v>
          </cell>
          <cell r="F1212" t="str">
            <v>FOGGIA</v>
          </cell>
          <cell r="G1212" t="str">
            <v>FG</v>
          </cell>
          <cell r="H1212" t="str">
            <v>ITALIA</v>
          </cell>
          <cell r="I1212" t="str">
            <v>CLBGNN65T10D643Q</v>
          </cell>
          <cell r="J1212" t="str">
            <v>04039500717</v>
          </cell>
          <cell r="M1212" t="str">
            <v>UFFICIO ACQUISTI</v>
          </cell>
          <cell r="O1212" t="str">
            <v>335 7777247</v>
          </cell>
          <cell r="R1212" t="str">
            <v>BONIFICO BANCARIO, ALLA DATA DELLA NOSTRA CONFERMA D'ORDINE</v>
          </cell>
          <cell r="X1212">
            <v>0.2</v>
          </cell>
          <cell r="Y1212">
            <v>-0.04</v>
          </cell>
          <cell r="AB1212">
            <v>0.2</v>
          </cell>
          <cell r="AC1212">
            <v>0.2</v>
          </cell>
          <cell r="AD1212">
            <v>0.2</v>
          </cell>
          <cell r="AE1212">
            <v>0.2</v>
          </cell>
          <cell r="AF1212">
            <v>0.2</v>
          </cell>
          <cell r="AG1212">
            <v>0.2</v>
          </cell>
          <cell r="AH1212">
            <v>0.2</v>
          </cell>
          <cell r="AI1212">
            <v>0.2</v>
          </cell>
          <cell r="AJ1212">
            <v>0.2</v>
          </cell>
          <cell r="AK1212">
            <v>0.2</v>
          </cell>
          <cell r="AL1212">
            <v>0.2</v>
          </cell>
          <cell r="AM1212">
            <v>0.2</v>
          </cell>
          <cell r="AN1212">
            <v>0.2</v>
          </cell>
          <cell r="AO1212">
            <v>0.2</v>
          </cell>
          <cell r="AP1212">
            <v>0.2</v>
          </cell>
          <cell r="AQ1212">
            <v>0.2</v>
          </cell>
          <cell r="AR1212">
            <v>0.2</v>
          </cell>
          <cell r="AS1212">
            <v>0.2</v>
          </cell>
          <cell r="AT1212">
            <v>-0.04</v>
          </cell>
          <cell r="AU1212">
            <v>0.92</v>
          </cell>
          <cell r="AV1212">
            <v>20</v>
          </cell>
          <cell r="AZ1212">
            <v>0.2</v>
          </cell>
          <cell r="BA1212">
            <v>0.2</v>
          </cell>
        </row>
        <row r="1213">
          <cell r="A1213" t="str">
            <v>GIOVANNINI ING. CARLO</v>
          </cell>
          <cell r="B1213" t="str">
            <v>LASCIATO LISTINO</v>
          </cell>
          <cell r="D1213" t="str">
            <v>VIALE MIRAGLIA 12</v>
          </cell>
          <cell r="E1213" t="str">
            <v>48022</v>
          </cell>
          <cell r="F1213" t="str">
            <v>LUGO</v>
          </cell>
          <cell r="G1213" t="str">
            <v>RA</v>
          </cell>
          <cell r="H1213" t="str">
            <v>ITALIA</v>
          </cell>
          <cell r="M1213" t="str">
            <v>UFFICIO ACQUISTI</v>
          </cell>
          <cell r="N1213" t="str">
            <v>0545 292503</v>
          </cell>
          <cell r="P1213" t="str">
            <v>carlo@studiogiovannicarlo.com</v>
          </cell>
          <cell r="R1213" t="str">
            <v>BONIFICO BANCARIO, ALLA DATA DELLA NOSTRA CONFERMA D'ORDINE</v>
          </cell>
          <cell r="X1213">
            <v>0.25</v>
          </cell>
          <cell r="Y1213">
            <v>-0.04</v>
          </cell>
          <cell r="AB1213">
            <v>0.25</v>
          </cell>
          <cell r="AC1213">
            <v>0.25</v>
          </cell>
          <cell r="AD1213">
            <v>0.25</v>
          </cell>
          <cell r="AE1213">
            <v>0.25</v>
          </cell>
          <cell r="AF1213">
            <v>0.25</v>
          </cell>
          <cell r="AG1213">
            <v>0.25</v>
          </cell>
          <cell r="AH1213">
            <v>0.25</v>
          </cell>
          <cell r="AI1213">
            <v>0.25</v>
          </cell>
          <cell r="AJ1213">
            <v>0.25</v>
          </cell>
          <cell r="AK1213">
            <v>0.25</v>
          </cell>
          <cell r="AL1213">
            <v>0.25</v>
          </cell>
          <cell r="AM1213">
            <v>0.25</v>
          </cell>
          <cell r="AN1213">
            <v>0.25</v>
          </cell>
          <cell r="AO1213">
            <v>0.25</v>
          </cell>
          <cell r="AP1213">
            <v>0.25</v>
          </cell>
          <cell r="AQ1213">
            <v>0.25</v>
          </cell>
          <cell r="AR1213">
            <v>0.25</v>
          </cell>
          <cell r="AS1213">
            <v>0.25</v>
          </cell>
          <cell r="AT1213">
            <v>-0.04</v>
          </cell>
          <cell r="AU1213">
            <v>0.92</v>
          </cell>
          <cell r="AV1213">
            <v>20</v>
          </cell>
          <cell r="AY1213" t="str">
            <v/>
          </cell>
          <cell r="AZ1213">
            <v>0.25</v>
          </cell>
          <cell r="BA1213">
            <v>0.25</v>
          </cell>
        </row>
        <row r="1214">
          <cell r="A1214" t="str">
            <v>GIRARD SERRAMENTI</v>
          </cell>
          <cell r="D1214" t="str">
            <v>VIA SUISSE, 14</v>
          </cell>
          <cell r="E1214" t="str">
            <v>10050</v>
          </cell>
          <cell r="F1214" t="str">
            <v>VILLARFOCCHIARDO</v>
          </cell>
          <cell r="G1214" t="str">
            <v>TO</v>
          </cell>
          <cell r="H1214" t="str">
            <v>ITALIA</v>
          </cell>
          <cell r="J1214" t="str">
            <v>04005940012</v>
          </cell>
          <cell r="M1214" t="str">
            <v>UFFICIO ACQUISTI</v>
          </cell>
          <cell r="N1214" t="str">
            <v>011 9646028</v>
          </cell>
          <cell r="O1214" t="str">
            <v>339 4168110</v>
          </cell>
          <cell r="P1214" t="str">
            <v>girard-serramenti@libero.it</v>
          </cell>
          <cell r="R1214" t="str">
            <v>BONIFICO BANCARIO, ALLA DATA DELLA NOSTRA CONFERMA D'ORDINE</v>
          </cell>
          <cell r="X1214">
            <v>0.25</v>
          </cell>
          <cell r="Y1214">
            <v>-0.04</v>
          </cell>
          <cell r="AB1214">
            <v>0.25</v>
          </cell>
          <cell r="AC1214">
            <v>0.25</v>
          </cell>
          <cell r="AD1214">
            <v>0.25</v>
          </cell>
          <cell r="AE1214">
            <v>0.25</v>
          </cell>
          <cell r="AF1214">
            <v>0.25</v>
          </cell>
          <cell r="AG1214">
            <v>0.25</v>
          </cell>
          <cell r="AH1214">
            <v>0.25</v>
          </cell>
          <cell r="AI1214">
            <v>0.25</v>
          </cell>
          <cell r="AJ1214">
            <v>0.25</v>
          </cell>
          <cell r="AK1214">
            <v>0.25</v>
          </cell>
          <cell r="AL1214">
            <v>0.25</v>
          </cell>
          <cell r="AM1214">
            <v>0.25</v>
          </cell>
          <cell r="AN1214">
            <v>0.25</v>
          </cell>
          <cell r="AO1214">
            <v>0.25</v>
          </cell>
          <cell r="AP1214">
            <v>0.25</v>
          </cell>
          <cell r="AQ1214">
            <v>0.25</v>
          </cell>
          <cell r="AR1214">
            <v>0.25</v>
          </cell>
          <cell r="AS1214">
            <v>0.25</v>
          </cell>
          <cell r="AT1214">
            <v>-0.04</v>
          </cell>
          <cell r="AU1214">
            <v>0.92</v>
          </cell>
          <cell r="AV1214">
            <v>20</v>
          </cell>
          <cell r="AZ1214">
            <v>0.25</v>
          </cell>
          <cell r="BA1214">
            <v>0.25</v>
          </cell>
        </row>
        <row r="1215">
          <cell r="A1215" t="str">
            <v xml:space="preserve">GIROMETTA SERRAMENTI </v>
          </cell>
          <cell r="B1215" t="str">
            <v>21/03/23 NON SONO INTERESSATI</v>
          </cell>
          <cell r="D1215" t="str">
            <v>VIA V.VENETO 87</v>
          </cell>
          <cell r="E1215" t="str">
            <v>29121</v>
          </cell>
          <cell r="F1215" t="str">
            <v>PIACENZA</v>
          </cell>
          <cell r="G1215" t="str">
            <v>PC</v>
          </cell>
          <cell r="H1215" t="str">
            <v>ITALIA</v>
          </cell>
          <cell r="J1215" t="str">
            <v>01679550333</v>
          </cell>
          <cell r="M1215" t="str">
            <v>UFFICIO ACQUISTI</v>
          </cell>
          <cell r="N1215" t="str">
            <v>335 352198</v>
          </cell>
          <cell r="R1215" t="str">
            <v>BONIFICO BANCARIO, ALLA DATA DELLA NOSTRA CONFERMA D'ORDINE</v>
          </cell>
          <cell r="X1215">
            <v>0.25</v>
          </cell>
          <cell r="Y1215">
            <v>-0.04</v>
          </cell>
          <cell r="AB1215">
            <v>0.25</v>
          </cell>
          <cell r="AC1215">
            <v>0.25</v>
          </cell>
          <cell r="AD1215">
            <v>0.25</v>
          </cell>
          <cell r="AE1215">
            <v>0.25</v>
          </cell>
          <cell r="AF1215">
            <v>0.25</v>
          </cell>
          <cell r="AG1215">
            <v>0.25</v>
          </cell>
          <cell r="AH1215">
            <v>0.25</v>
          </cell>
          <cell r="AI1215">
            <v>0.25</v>
          </cell>
          <cell r="AJ1215">
            <v>0.25</v>
          </cell>
          <cell r="AK1215">
            <v>0.25</v>
          </cell>
          <cell r="AL1215">
            <v>0.25</v>
          </cell>
          <cell r="AM1215">
            <v>0.25</v>
          </cell>
          <cell r="AN1215">
            <v>0.25</v>
          </cell>
          <cell r="AO1215">
            <v>0.25</v>
          </cell>
          <cell r="AP1215">
            <v>0.25</v>
          </cell>
          <cell r="AQ1215">
            <v>0.25</v>
          </cell>
          <cell r="AR1215">
            <v>0.25</v>
          </cell>
          <cell r="AS1215">
            <v>0.25</v>
          </cell>
          <cell r="AT1215">
            <v>-0.04</v>
          </cell>
          <cell r="AU1215">
            <v>0.92</v>
          </cell>
          <cell r="AV1215">
            <v>20</v>
          </cell>
          <cell r="AY1215" t="str">
            <v/>
          </cell>
          <cell r="AZ1215">
            <v>0.25</v>
          </cell>
          <cell r="BA1215">
            <v>0.25</v>
          </cell>
        </row>
        <row r="1216">
          <cell r="A1216" t="str">
            <v>GITE ALLUMINIO DI GIORGI ANTONIO SAS</v>
          </cell>
          <cell r="D1216" t="str">
            <v>VIA M. PONZIO 2</v>
          </cell>
          <cell r="E1216" t="str">
            <v>27100</v>
          </cell>
          <cell r="F1216" t="str">
            <v>PAVIA</v>
          </cell>
          <cell r="G1216" t="str">
            <v>PV</v>
          </cell>
          <cell r="H1216" t="str">
            <v>ITALIA</v>
          </cell>
          <cell r="J1216" t="str">
            <v>01029510185</v>
          </cell>
          <cell r="M1216" t="str">
            <v>UFFICIO ACQUISTI</v>
          </cell>
          <cell r="N1216" t="str">
            <v>0382 463397</v>
          </cell>
          <cell r="R1216" t="str">
            <v>BONIFICO BANCARIO, ALLA DATA DELLA NOSTRA CONFERMA D'ORDINE</v>
          </cell>
          <cell r="X1216">
            <v>0.25</v>
          </cell>
          <cell r="Y1216">
            <v>-0.04</v>
          </cell>
          <cell r="AB1216">
            <v>0.25</v>
          </cell>
          <cell r="AC1216">
            <v>0.25</v>
          </cell>
          <cell r="AD1216">
            <v>0.25</v>
          </cell>
          <cell r="AE1216">
            <v>0.25</v>
          </cell>
          <cell r="AF1216">
            <v>0.25</v>
          </cell>
          <cell r="AG1216">
            <v>0.25</v>
          </cell>
          <cell r="AH1216">
            <v>0.25</v>
          </cell>
          <cell r="AI1216">
            <v>0.25</v>
          </cell>
          <cell r="AJ1216">
            <v>0.25</v>
          </cell>
          <cell r="AK1216">
            <v>0.25</v>
          </cell>
          <cell r="AL1216">
            <v>0.25</v>
          </cell>
          <cell r="AM1216">
            <v>0.25</v>
          </cell>
          <cell r="AN1216">
            <v>0.25</v>
          </cell>
          <cell r="AO1216">
            <v>0.25</v>
          </cell>
          <cell r="AP1216">
            <v>0.25</v>
          </cell>
          <cell r="AQ1216">
            <v>0.25</v>
          </cell>
          <cell r="AR1216">
            <v>0.25</v>
          </cell>
          <cell r="AS1216">
            <v>0.25</v>
          </cell>
          <cell r="AT1216">
            <v>-0.04</v>
          </cell>
          <cell r="AU1216">
            <v>0.92</v>
          </cell>
          <cell r="AV1216">
            <v>20</v>
          </cell>
          <cell r="AY1216" t="str">
            <v/>
          </cell>
          <cell r="AZ1216">
            <v>0.25</v>
          </cell>
          <cell r="BA1216">
            <v>0.25</v>
          </cell>
        </row>
        <row r="1217">
          <cell r="A1217" t="str">
            <v>GITICI SERRAMENTI</v>
          </cell>
          <cell r="D1217" t="str">
            <v>LARGO CALEOTTO 21</v>
          </cell>
          <cell r="E1217" t="str">
            <v>23900</v>
          </cell>
          <cell r="F1217" t="str">
            <v>LECCO</v>
          </cell>
          <cell r="G1217" t="str">
            <v>LC</v>
          </cell>
          <cell r="H1217" t="str">
            <v>ITALIA</v>
          </cell>
          <cell r="J1217" t="str">
            <v>01712850138</v>
          </cell>
          <cell r="M1217" t="str">
            <v>UFFICIO ACQUISTI</v>
          </cell>
          <cell r="N1217" t="str">
            <v>0341 421356</v>
          </cell>
          <cell r="R1217" t="str">
            <v>BONIFICO BANCARIO, ALLA DATA DELLA NOSTRA CONFERMA D'ORDINE</v>
          </cell>
          <cell r="X1217">
            <v>0.25</v>
          </cell>
          <cell r="Y1217">
            <v>-0.04</v>
          </cell>
          <cell r="AB1217">
            <v>0.25</v>
          </cell>
          <cell r="AC1217">
            <v>0.25</v>
          </cell>
          <cell r="AD1217">
            <v>0.25</v>
          </cell>
          <cell r="AE1217">
            <v>0.25</v>
          </cell>
          <cell r="AF1217">
            <v>0.25</v>
          </cell>
          <cell r="AG1217">
            <v>0.25</v>
          </cell>
          <cell r="AH1217">
            <v>0.25</v>
          </cell>
          <cell r="AI1217">
            <v>0.25</v>
          </cell>
          <cell r="AJ1217">
            <v>0.25</v>
          </cell>
          <cell r="AK1217">
            <v>0.25</v>
          </cell>
          <cell r="AL1217">
            <v>0.25</v>
          </cell>
          <cell r="AM1217">
            <v>0.25</v>
          </cell>
          <cell r="AN1217">
            <v>0.25</v>
          </cell>
          <cell r="AO1217">
            <v>0.25</v>
          </cell>
          <cell r="AP1217">
            <v>0.25</v>
          </cell>
          <cell r="AQ1217">
            <v>0.25</v>
          </cell>
          <cell r="AR1217">
            <v>0.25</v>
          </cell>
          <cell r="AS1217">
            <v>0.25</v>
          </cell>
          <cell r="AT1217">
            <v>-0.04</v>
          </cell>
          <cell r="AU1217">
            <v>0.92</v>
          </cell>
          <cell r="AV1217">
            <v>20</v>
          </cell>
          <cell r="AY1217" t="str">
            <v/>
          </cell>
          <cell r="AZ1217">
            <v>0.25</v>
          </cell>
          <cell r="BA1217">
            <v>0.25</v>
          </cell>
        </row>
        <row r="1218">
          <cell r="A1218" t="str">
            <v>GIULIA SCHIAVI</v>
          </cell>
          <cell r="D1218" t="str">
            <v>VIALE VENEZIA</v>
          </cell>
          <cell r="E1218">
            <v>24023</v>
          </cell>
          <cell r="F1218" t="str">
            <v>CLUSONE</v>
          </cell>
          <cell r="G1218" t="str">
            <v>BG</v>
          </cell>
          <cell r="H1218" t="str">
            <v>ITALIA</v>
          </cell>
          <cell r="M1218" t="str">
            <v>UFFICIO ACQUISTI</v>
          </cell>
          <cell r="N1218" t="str">
            <v>0346 25883</v>
          </cell>
          <cell r="P1218" t="str">
            <v>giuliaschiavi@iseofinestre.com</v>
          </cell>
          <cell r="R1218" t="str">
            <v>BONIFICO BANCARIO, ALLA DATA DELLA NOSTRA CONFERMA D'ORDINE</v>
          </cell>
          <cell r="X1218">
            <v>0.25</v>
          </cell>
          <cell r="Y1218">
            <v>-0.04</v>
          </cell>
          <cell r="AB1218">
            <v>0.25</v>
          </cell>
          <cell r="AC1218">
            <v>0.25</v>
          </cell>
          <cell r="AD1218">
            <v>0.25</v>
          </cell>
          <cell r="AE1218">
            <v>0.25</v>
          </cell>
          <cell r="AF1218">
            <v>0.25</v>
          </cell>
          <cell r="AG1218">
            <v>0.25</v>
          </cell>
          <cell r="AH1218">
            <v>0.25</v>
          </cell>
          <cell r="AI1218">
            <v>0.25</v>
          </cell>
          <cell r="AJ1218">
            <v>0.25</v>
          </cell>
          <cell r="AK1218">
            <v>0.25</v>
          </cell>
          <cell r="AL1218">
            <v>0.25</v>
          </cell>
          <cell r="AM1218">
            <v>0.25</v>
          </cell>
          <cell r="AN1218">
            <v>0.25</v>
          </cell>
          <cell r="AO1218">
            <v>0.25</v>
          </cell>
          <cell r="AP1218">
            <v>0.25</v>
          </cell>
          <cell r="AQ1218">
            <v>0.25</v>
          </cell>
          <cell r="AR1218">
            <v>0.25</v>
          </cell>
          <cell r="AS1218">
            <v>0.25</v>
          </cell>
          <cell r="AT1218">
            <v>-0.04</v>
          </cell>
          <cell r="AU1218">
            <v>0.92</v>
          </cell>
          <cell r="AV1218">
            <v>20</v>
          </cell>
          <cell r="AZ1218">
            <v>0.25</v>
          </cell>
          <cell r="BA1218">
            <v>0.25</v>
          </cell>
        </row>
        <row r="1219">
          <cell r="A1219" t="str">
            <v>GIULIANI SERRAMENTI SRL</v>
          </cell>
          <cell r="D1219" t="str">
            <v>VIA DEL LAVORO, 8</v>
          </cell>
          <cell r="E1219">
            <v>38063</v>
          </cell>
          <cell r="F1219" t="str">
            <v>AVIO</v>
          </cell>
          <cell r="G1219" t="str">
            <v>TN</v>
          </cell>
          <cell r="H1219" t="str">
            <v>ITALIA</v>
          </cell>
          <cell r="M1219" t="str">
            <v>UFFICIO ACQUISTI</v>
          </cell>
          <cell r="N1219" t="str">
            <v>0464 684230</v>
          </cell>
          <cell r="P1219" t="str">
            <v>info@giulianiserramenti.it</v>
          </cell>
          <cell r="R1219" t="str">
            <v>BONIFICO BANCARIO, ALLA DATA DELLA NOSTRA CONFERMA D'ORDINE</v>
          </cell>
          <cell r="X1219">
            <v>0.25</v>
          </cell>
          <cell r="Y1219">
            <v>-0.04</v>
          </cell>
          <cell r="AB1219">
            <v>0.25</v>
          </cell>
          <cell r="AC1219">
            <v>0.25</v>
          </cell>
          <cell r="AD1219">
            <v>0.25</v>
          </cell>
          <cell r="AE1219">
            <v>0.25</v>
          </cell>
          <cell r="AF1219">
            <v>0.25</v>
          </cell>
          <cell r="AG1219">
            <v>0.25</v>
          </cell>
          <cell r="AH1219">
            <v>0.25</v>
          </cell>
          <cell r="AI1219">
            <v>0.25</v>
          </cell>
          <cell r="AJ1219">
            <v>0.25</v>
          </cell>
          <cell r="AK1219">
            <v>0.25</v>
          </cell>
          <cell r="AL1219">
            <v>0.25</v>
          </cell>
          <cell r="AM1219">
            <v>0.25</v>
          </cell>
          <cell r="AN1219">
            <v>0.25</v>
          </cell>
          <cell r="AO1219">
            <v>0.25</v>
          </cell>
          <cell r="AP1219">
            <v>0.25</v>
          </cell>
          <cell r="AQ1219">
            <v>0.25</v>
          </cell>
          <cell r="AR1219">
            <v>0.25</v>
          </cell>
          <cell r="AS1219">
            <v>0.25</v>
          </cell>
          <cell r="AT1219">
            <v>-0.04</v>
          </cell>
          <cell r="AU1219">
            <v>0.92</v>
          </cell>
          <cell r="AV1219">
            <v>20</v>
          </cell>
          <cell r="AY1219" t="str">
            <v/>
          </cell>
          <cell r="AZ1219">
            <v>0.25</v>
          </cell>
          <cell r="BA1219">
            <v>0.25</v>
          </cell>
        </row>
        <row r="1220">
          <cell r="A1220" t="str">
            <v>GIULIO SERPICO</v>
          </cell>
          <cell r="D1220" t="str">
            <v>VIA PONTE DELLA MADDALENA, 119  121</v>
          </cell>
          <cell r="E1220" t="str">
            <v>80142</v>
          </cell>
          <cell r="F1220" t="str">
            <v>NAPOLI</v>
          </cell>
          <cell r="G1220" t="str">
            <v>NA</v>
          </cell>
          <cell r="H1220" t="str">
            <v>ITALIA</v>
          </cell>
          <cell r="M1220" t="str">
            <v>UFFICIO ACQUISTI</v>
          </cell>
          <cell r="N1220" t="str">
            <v>081 288584</v>
          </cell>
          <cell r="O1220" t="str">
            <v>333 1072222 Giulio Serpico</v>
          </cell>
          <cell r="P1220" t="str">
            <v>info@portonisezionali.net</v>
          </cell>
          <cell r="R1220" t="str">
            <v>BONIFICO BANCARIO, ALLA DATA DELLA NOSTRA CONFERMA D'ORDINE</v>
          </cell>
          <cell r="X1220">
            <v>0.25</v>
          </cell>
          <cell r="Y1220">
            <v>-0.04</v>
          </cell>
          <cell r="AB1220">
            <v>0.25</v>
          </cell>
          <cell r="AC1220">
            <v>0.25</v>
          </cell>
          <cell r="AD1220">
            <v>0.25</v>
          </cell>
          <cell r="AE1220">
            <v>0.25</v>
          </cell>
          <cell r="AF1220">
            <v>0.25</v>
          </cell>
          <cell r="AG1220">
            <v>0.25</v>
          </cell>
          <cell r="AH1220">
            <v>0.25</v>
          </cell>
          <cell r="AI1220">
            <v>0.25</v>
          </cell>
          <cell r="AJ1220">
            <v>0.25</v>
          </cell>
          <cell r="AK1220">
            <v>0.25</v>
          </cell>
          <cell r="AL1220">
            <v>0.25</v>
          </cell>
          <cell r="AM1220">
            <v>0.25</v>
          </cell>
          <cell r="AN1220">
            <v>0.25</v>
          </cell>
          <cell r="AO1220">
            <v>0.25</v>
          </cell>
          <cell r="AP1220">
            <v>0.25</v>
          </cell>
          <cell r="AQ1220">
            <v>0.25</v>
          </cell>
          <cell r="AR1220">
            <v>0.25</v>
          </cell>
          <cell r="AS1220">
            <v>0.25</v>
          </cell>
          <cell r="AT1220">
            <v>-0.04</v>
          </cell>
          <cell r="AU1220">
            <v>0.92</v>
          </cell>
          <cell r="AV1220">
            <v>20</v>
          </cell>
          <cell r="AZ1220">
            <v>0.25</v>
          </cell>
          <cell r="BA1220">
            <v>0.25</v>
          </cell>
        </row>
        <row r="1221">
          <cell r="A1221" t="str">
            <v>GIUSEPPE BALLANTI SRL</v>
          </cell>
          <cell r="D1221" t="str">
            <v>VIA PISACANE, 17 A/R</v>
          </cell>
          <cell r="E1221" t="str">
            <v>16129</v>
          </cell>
          <cell r="F1221" t="str">
            <v>GENOVA</v>
          </cell>
          <cell r="G1221" t="str">
            <v>GE</v>
          </cell>
          <cell r="H1221" t="str">
            <v>ITALIA</v>
          </cell>
          <cell r="J1221" t="str">
            <v>00313390106</v>
          </cell>
          <cell r="K1221" t="str">
            <v>KRRH6B9</v>
          </cell>
          <cell r="M1221" t="str">
            <v>UFFICIO ACQUISTI</v>
          </cell>
          <cell r="N1221" t="str">
            <v>010 564670</v>
          </cell>
          <cell r="P1221" t="str">
            <v>ballantisrl@libero.it</v>
          </cell>
          <cell r="R1221" t="str">
            <v>BONIFICO BANCARIO, ALLA DATA DELLA NOSTRA CONFERMA D'ORDINE</v>
          </cell>
          <cell r="X1221">
            <v>0.25</v>
          </cell>
          <cell r="Y1221">
            <v>-0.04</v>
          </cell>
          <cell r="AB1221">
            <v>0.25</v>
          </cell>
          <cell r="AC1221">
            <v>0.25</v>
          </cell>
          <cell r="AD1221">
            <v>0.25</v>
          </cell>
          <cell r="AE1221">
            <v>0.25</v>
          </cell>
          <cell r="AF1221">
            <v>0.25</v>
          </cell>
          <cell r="AG1221">
            <v>0.25</v>
          </cell>
          <cell r="AH1221">
            <v>0.25</v>
          </cell>
          <cell r="AI1221">
            <v>0.25</v>
          </cell>
          <cell r="AJ1221">
            <v>0.25</v>
          </cell>
          <cell r="AK1221">
            <v>0.25</v>
          </cell>
          <cell r="AL1221">
            <v>0.25</v>
          </cell>
          <cell r="AM1221">
            <v>0.25</v>
          </cell>
          <cell r="AN1221">
            <v>0.25</v>
          </cell>
          <cell r="AO1221">
            <v>0.25</v>
          </cell>
          <cell r="AP1221">
            <v>0.25</v>
          </cell>
          <cell r="AQ1221">
            <v>0.25</v>
          </cell>
          <cell r="AR1221">
            <v>0.25</v>
          </cell>
          <cell r="AS1221">
            <v>0.25</v>
          </cell>
          <cell r="AT1221">
            <v>-0.04</v>
          </cell>
          <cell r="AU1221">
            <v>0.92</v>
          </cell>
          <cell r="AV1221">
            <v>20</v>
          </cell>
          <cell r="AZ1221">
            <v>0.25</v>
          </cell>
          <cell r="BA1221">
            <v>0.25</v>
          </cell>
        </row>
        <row r="1222">
          <cell r="A1222" t="str">
            <v xml:space="preserve">GIUSEPPE BALLANTI SRL </v>
          </cell>
          <cell r="B1222" t="str">
            <v>SCONTO PER RIVENDITORE CON ESPOSITORE</v>
          </cell>
          <cell r="D1222" t="str">
            <v xml:space="preserve">VIA CARLO PISACANE, 17 A CANCELLO A </v>
          </cell>
          <cell r="E1222">
            <v>16129</v>
          </cell>
          <cell r="F1222" t="str">
            <v>GENOVA</v>
          </cell>
          <cell r="G1222" t="str">
            <v>GE</v>
          </cell>
          <cell r="H1222" t="str">
            <v>ITALIA</v>
          </cell>
          <cell r="J1222" t="str">
            <v>00313390106</v>
          </cell>
          <cell r="M1222" t="str">
            <v>UFFICIO ACQUISTI</v>
          </cell>
          <cell r="N1222" t="str">
            <v>010 564670</v>
          </cell>
          <cell r="P1222" t="str">
            <v>ballantisrl@libero.it</v>
          </cell>
          <cell r="R1222" t="str">
            <v>BONIFICO BANCARIO, ALLA DATA DELLA NOSTRA CONFERMA D'ORDINE</v>
          </cell>
          <cell r="X1222">
            <v>0.25</v>
          </cell>
          <cell r="Y1222">
            <v>-0.04</v>
          </cell>
          <cell r="AB1222">
            <v>0.25</v>
          </cell>
          <cell r="AC1222">
            <v>0.25</v>
          </cell>
          <cell r="AD1222">
            <v>0.25</v>
          </cell>
          <cell r="AE1222">
            <v>0.25</v>
          </cell>
          <cell r="AF1222">
            <v>0.25</v>
          </cell>
          <cell r="AG1222">
            <v>0.25</v>
          </cell>
          <cell r="AH1222">
            <v>0.25</v>
          </cell>
          <cell r="AI1222">
            <v>0.25</v>
          </cell>
          <cell r="AJ1222">
            <v>0.25</v>
          </cell>
          <cell r="AK1222">
            <v>0.25</v>
          </cell>
          <cell r="AL1222">
            <v>0.25</v>
          </cell>
          <cell r="AM1222">
            <v>0.25</v>
          </cell>
          <cell r="AN1222">
            <v>0.25</v>
          </cell>
          <cell r="AO1222">
            <v>0.25</v>
          </cell>
          <cell r="AP1222">
            <v>0.25</v>
          </cell>
          <cell r="AQ1222">
            <v>0.25</v>
          </cell>
          <cell r="AR1222">
            <v>0.25</v>
          </cell>
          <cell r="AS1222">
            <v>0.25</v>
          </cell>
          <cell r="AT1222">
            <v>-0.04</v>
          </cell>
          <cell r="AU1222">
            <v>0.92</v>
          </cell>
          <cell r="AV1222">
            <v>20</v>
          </cell>
          <cell r="AY1222" t="str">
            <v/>
          </cell>
          <cell r="AZ1222">
            <v>0.25</v>
          </cell>
          <cell r="BA1222">
            <v>0.25</v>
          </cell>
        </row>
        <row r="1223">
          <cell r="A1223" t="str">
            <v>GIUSEPPE DI MAGGIO</v>
          </cell>
          <cell r="D1223" t="str">
            <v>CONTRADA MANDRIANUOVA</v>
          </cell>
          <cell r="M1223" t="str">
            <v>UFFICIO ACQUISTI</v>
          </cell>
          <cell r="N1223" t="str">
            <v>0924 36555</v>
          </cell>
          <cell r="P1223" t="str">
            <v>dimaggioporte@alice.it</v>
          </cell>
          <cell r="R1223" t="str">
            <v>BONIFICO BANCARIO, ALLA DATA DELLA NOSTRA CONFERMA D'ORDINE</v>
          </cell>
          <cell r="X1223">
            <v>0.25</v>
          </cell>
          <cell r="Y1223">
            <v>-0.04</v>
          </cell>
          <cell r="AB1223">
            <v>0.25</v>
          </cell>
          <cell r="AC1223">
            <v>0.25</v>
          </cell>
          <cell r="AD1223">
            <v>0.25</v>
          </cell>
          <cell r="AE1223">
            <v>0.25</v>
          </cell>
          <cell r="AF1223">
            <v>0.25</v>
          </cell>
          <cell r="AG1223">
            <v>0.25</v>
          </cell>
          <cell r="AH1223">
            <v>0.25</v>
          </cell>
          <cell r="AI1223">
            <v>0.25</v>
          </cell>
          <cell r="AJ1223">
            <v>0.25</v>
          </cell>
          <cell r="AK1223">
            <v>0.25</v>
          </cell>
          <cell r="AL1223">
            <v>0.25</v>
          </cell>
          <cell r="AM1223">
            <v>0.25</v>
          </cell>
          <cell r="AN1223">
            <v>0.25</v>
          </cell>
          <cell r="AO1223">
            <v>0.25</v>
          </cell>
          <cell r="AP1223">
            <v>0.25</v>
          </cell>
          <cell r="AQ1223">
            <v>0.25</v>
          </cell>
          <cell r="AR1223">
            <v>0.25</v>
          </cell>
          <cell r="AS1223">
            <v>0.25</v>
          </cell>
          <cell r="AT1223">
            <v>-0.04</v>
          </cell>
          <cell r="AU1223">
            <v>0.92</v>
          </cell>
          <cell r="AV1223">
            <v>20</v>
          </cell>
          <cell r="AZ1223">
            <v>0.25</v>
          </cell>
          <cell r="BA1223">
            <v>0.25</v>
          </cell>
        </row>
        <row r="1224">
          <cell r="A1224" t="str">
            <v xml:space="preserve">GIUSTINIANI </v>
          </cell>
          <cell r="D1224" t="str">
            <v>VIA DELLE SCIENZE SNC</v>
          </cell>
          <cell r="E1224" t="str">
            <v>01016</v>
          </cell>
          <cell r="F1224" t="str">
            <v>TARQUINIA</v>
          </cell>
          <cell r="G1224" t="str">
            <v>VT</v>
          </cell>
          <cell r="H1224" t="str">
            <v>ITALIA</v>
          </cell>
          <cell r="M1224" t="str">
            <v>UFFICIO ACQUISTI</v>
          </cell>
          <cell r="O1224" t="str">
            <v>320 6462158</v>
          </cell>
          <cell r="P1224" t="str">
            <v>info@infissigiustiniani.it</v>
          </cell>
          <cell r="R1224" t="str">
            <v>BONIFICO BANCARIO, ALLA DATA DELLA NOSTRA CONFERMA D'ORDINE</v>
          </cell>
          <cell r="X1224">
            <v>0.25</v>
          </cell>
          <cell r="Y1224">
            <v>-0.04</v>
          </cell>
          <cell r="AB1224">
            <v>0.25</v>
          </cell>
          <cell r="AC1224">
            <v>0.25</v>
          </cell>
          <cell r="AD1224">
            <v>0.25</v>
          </cell>
          <cell r="AE1224">
            <v>0.25</v>
          </cell>
          <cell r="AF1224">
            <v>0.25</v>
          </cell>
          <cell r="AG1224">
            <v>0.25</v>
          </cell>
          <cell r="AH1224">
            <v>0.25</v>
          </cell>
          <cell r="AI1224">
            <v>0.25</v>
          </cell>
          <cell r="AJ1224">
            <v>0.25</v>
          </cell>
          <cell r="AK1224">
            <v>0.25</v>
          </cell>
          <cell r="AL1224">
            <v>0.25</v>
          </cell>
          <cell r="AM1224">
            <v>0.25</v>
          </cell>
          <cell r="AN1224">
            <v>0.25</v>
          </cell>
          <cell r="AO1224">
            <v>0.25</v>
          </cell>
          <cell r="AP1224">
            <v>0.25</v>
          </cell>
          <cell r="AQ1224">
            <v>0.25</v>
          </cell>
          <cell r="AR1224">
            <v>0.25</v>
          </cell>
          <cell r="AS1224">
            <v>0.25</v>
          </cell>
          <cell r="AT1224">
            <v>-0.04</v>
          </cell>
          <cell r="AU1224">
            <v>0.92</v>
          </cell>
          <cell r="AV1224">
            <v>20</v>
          </cell>
          <cell r="AY1224" t="str">
            <v/>
          </cell>
          <cell r="AZ1224">
            <v>0.25</v>
          </cell>
          <cell r="BA1224">
            <v>0.25</v>
          </cell>
        </row>
        <row r="1225">
          <cell r="A1225" t="str">
            <v>GIZETA INFISSI</v>
          </cell>
          <cell r="D1225" t="str">
            <v>ZI S.ERACLIO LOC. PORTONI</v>
          </cell>
          <cell r="E1225" t="str">
            <v>06034</v>
          </cell>
          <cell r="F1225" t="str">
            <v>FOLIGNO</v>
          </cell>
          <cell r="G1225" t="str">
            <v>PG</v>
          </cell>
          <cell r="H1225" t="str">
            <v>ITALIA</v>
          </cell>
          <cell r="M1225" t="str">
            <v>UFFICIO ACQUISTI</v>
          </cell>
          <cell r="N1225" t="str">
            <v>0742 677079</v>
          </cell>
          <cell r="O1225" t="str">
            <v>335 7070887 - 338 6773232</v>
          </cell>
          <cell r="P1225" t="str">
            <v>info@gizetainfissi.com</v>
          </cell>
          <cell r="R1225" t="str">
            <v>BONIFICO BANCARIO, ALLA DATA DELLA NOSTRA CONFERMA D'ORDINE</v>
          </cell>
          <cell r="Y1225">
            <v>-0.04</v>
          </cell>
          <cell r="AT1225">
            <v>-0.04</v>
          </cell>
          <cell r="AV1225">
            <v>20</v>
          </cell>
          <cell r="AZ1225">
            <v>0</v>
          </cell>
          <cell r="BA1225">
            <v>0</v>
          </cell>
        </row>
        <row r="1226">
          <cell r="A1226" t="str">
            <v>GLD SERRAMENTI</v>
          </cell>
          <cell r="B1226" t="str">
            <v>GEOM. DANIEL NERVI  SHOW R.VIA BORGO PALAZZO, 219/c (BG)035 4236602</v>
          </cell>
          <cell r="D1226" t="str">
            <v>VIA GIARDINI, 30</v>
          </cell>
          <cell r="E1226" t="str">
            <v>24066</v>
          </cell>
          <cell r="F1226" t="str">
            <v>PEDRENGO</v>
          </cell>
          <cell r="G1226" t="str">
            <v>BG</v>
          </cell>
          <cell r="H1226" t="str">
            <v>ITALIA</v>
          </cell>
          <cell r="J1226" t="str">
            <v>02855660169</v>
          </cell>
          <cell r="M1226" t="str">
            <v>UFFICIO ACQUISTI</v>
          </cell>
          <cell r="N1226" t="str">
            <v>035 662068</v>
          </cell>
          <cell r="O1226" t="str">
            <v>335 1857588</v>
          </cell>
          <cell r="P1226" t="str">
            <v>commerciale@gld-serramenti.com</v>
          </cell>
          <cell r="R1226" t="str">
            <v>BONIFICO BANCARIO, ALLA DATA DELLA NOSTRA CONFERMA D'ORDINE</v>
          </cell>
          <cell r="X1226">
            <v>0.2</v>
          </cell>
          <cell r="Y1226">
            <v>-0.04</v>
          </cell>
          <cell r="AB1226">
            <v>0.2</v>
          </cell>
          <cell r="AC1226">
            <v>0.2</v>
          </cell>
          <cell r="AD1226">
            <v>0.2</v>
          </cell>
          <cell r="AE1226">
            <v>0.2</v>
          </cell>
          <cell r="AF1226">
            <v>0.2</v>
          </cell>
          <cell r="AG1226">
            <v>0.2</v>
          </cell>
          <cell r="AH1226">
            <v>0.2</v>
          </cell>
          <cell r="AI1226">
            <v>0.2</v>
          </cell>
          <cell r="AJ1226">
            <v>0.2</v>
          </cell>
          <cell r="AK1226">
            <v>0.2</v>
          </cell>
          <cell r="AL1226">
            <v>0.2</v>
          </cell>
          <cell r="AM1226">
            <v>0.2</v>
          </cell>
          <cell r="AN1226">
            <v>0.2</v>
          </cell>
          <cell r="AO1226">
            <v>0.2</v>
          </cell>
          <cell r="AP1226">
            <v>0.2</v>
          </cell>
          <cell r="AQ1226">
            <v>0.2</v>
          </cell>
          <cell r="AR1226">
            <v>0.2</v>
          </cell>
          <cell r="AS1226">
            <v>0.2</v>
          </cell>
          <cell r="AT1226">
            <v>-0.04</v>
          </cell>
          <cell r="AU1226">
            <v>0.92</v>
          </cell>
          <cell r="AV1226">
            <v>20</v>
          </cell>
          <cell r="AZ1226">
            <v>0.2</v>
          </cell>
          <cell r="BA1226">
            <v>0.2</v>
          </cell>
        </row>
        <row r="1227">
          <cell r="A1227" t="str">
            <v>GLEM SERRAMENTI SRL</v>
          </cell>
          <cell r="D1227" t="str">
            <v>VIA DELL'AERONAUTICA, 10</v>
          </cell>
          <cell r="E1227" t="str">
            <v>24035</v>
          </cell>
          <cell r="F1227" t="str">
            <v>CURNO</v>
          </cell>
          <cell r="G1227" t="str">
            <v>BG</v>
          </cell>
          <cell r="H1227" t="str">
            <v>ITALIA</v>
          </cell>
          <cell r="J1227" t="str">
            <v>03991900162</v>
          </cell>
          <cell r="L1227" t="str">
            <v>VIA FRIULI, 14-14A - DALMINE (BG)</v>
          </cell>
          <cell r="M1227" t="str">
            <v>UFFICIO ACQUISTI</v>
          </cell>
          <cell r="N1227" t="str">
            <v>035 0062211</v>
          </cell>
          <cell r="P1227" t="str">
            <v>glem@glemserramenti.com</v>
          </cell>
          <cell r="R1227" t="str">
            <v>BONIFICO BANCARIO, ALLA DATA DELLA NOSTRA CONFERMA D'ORDINE</v>
          </cell>
          <cell r="X1227">
            <v>0.2</v>
          </cell>
          <cell r="Y1227">
            <v>-0.04</v>
          </cell>
          <cell r="AB1227">
            <v>0.2</v>
          </cell>
          <cell r="AC1227">
            <v>0.2</v>
          </cell>
          <cell r="AD1227">
            <v>0.2</v>
          </cell>
          <cell r="AE1227">
            <v>0.2</v>
          </cell>
          <cell r="AF1227">
            <v>0.2</v>
          </cell>
          <cell r="AG1227">
            <v>0.2</v>
          </cell>
          <cell r="AH1227">
            <v>0.2</v>
          </cell>
          <cell r="AI1227">
            <v>0.2</v>
          </cell>
          <cell r="AJ1227">
            <v>0.2</v>
          </cell>
          <cell r="AK1227">
            <v>0.2</v>
          </cell>
          <cell r="AL1227">
            <v>0.2</v>
          </cell>
          <cell r="AM1227">
            <v>0.2</v>
          </cell>
          <cell r="AN1227">
            <v>0.2</v>
          </cell>
          <cell r="AO1227">
            <v>0.2</v>
          </cell>
          <cell r="AP1227">
            <v>0.2</v>
          </cell>
          <cell r="AQ1227">
            <v>0.2</v>
          </cell>
          <cell r="AR1227">
            <v>0.2</v>
          </cell>
          <cell r="AS1227">
            <v>0.2</v>
          </cell>
          <cell r="AT1227">
            <v>-0.04</v>
          </cell>
          <cell r="AU1227">
            <v>0.92</v>
          </cell>
          <cell r="AV1227">
            <v>20</v>
          </cell>
          <cell r="AZ1227">
            <v>0.2</v>
          </cell>
          <cell r="BA1227">
            <v>0.2</v>
          </cell>
        </row>
        <row r="1228">
          <cell r="A1228" t="str">
            <v>GLOBAL SERRAMENTI DI UGHI RICCARDO E PANDINI LUCA</v>
          </cell>
          <cell r="B1228" t="str">
            <v>RIVENDITORE ACQUASTOP - 05/12 CONTINUA A RIBADIRE CHE NON HANNO MAI TRATTATO IL PRODOTTO E NON GLI INTERESSA. MAH</v>
          </cell>
          <cell r="D1228" t="str">
            <v>PIAZZA SFORMINI 2</v>
          </cell>
          <cell r="E1228" t="str">
            <v>57128</v>
          </cell>
          <cell r="F1228" t="str">
            <v>LIVORNO</v>
          </cell>
          <cell r="G1228" t="str">
            <v>LI</v>
          </cell>
          <cell r="H1228" t="str">
            <v>ITALIA</v>
          </cell>
          <cell r="J1228" t="str">
            <v>01517420491</v>
          </cell>
          <cell r="M1228" t="str">
            <v>UFFICIO ACQUISTI</v>
          </cell>
          <cell r="N1228" t="str">
            <v>0586 500900</v>
          </cell>
          <cell r="O1228" t="str">
            <v>380 2927031</v>
          </cell>
          <cell r="P1228" t="str">
            <v>globalserramenti@yahoo.it</v>
          </cell>
          <cell r="R1228" t="str">
            <v>BONIFICO BANCARIO, ALLA DATA DELLA NOSTRA CONFERMA D'ORDINE</v>
          </cell>
          <cell r="X1228">
            <v>0.25</v>
          </cell>
          <cell r="Y1228">
            <v>-0.04</v>
          </cell>
          <cell r="AB1228">
            <v>0.25</v>
          </cell>
          <cell r="AC1228">
            <v>0.25</v>
          </cell>
          <cell r="AD1228">
            <v>0.25</v>
          </cell>
          <cell r="AE1228">
            <v>0.25</v>
          </cell>
          <cell r="AF1228">
            <v>0.25</v>
          </cell>
          <cell r="AG1228">
            <v>0.25</v>
          </cell>
          <cell r="AH1228">
            <v>0.25</v>
          </cell>
          <cell r="AI1228">
            <v>0.25</v>
          </cell>
          <cell r="AJ1228">
            <v>0.25</v>
          </cell>
          <cell r="AK1228">
            <v>0.25</v>
          </cell>
          <cell r="AL1228">
            <v>0.25</v>
          </cell>
          <cell r="AM1228">
            <v>0.25</v>
          </cell>
          <cell r="AN1228">
            <v>0.25</v>
          </cell>
          <cell r="AO1228">
            <v>0.25</v>
          </cell>
          <cell r="AP1228">
            <v>0.25</v>
          </cell>
          <cell r="AQ1228">
            <v>0.25</v>
          </cell>
          <cell r="AR1228">
            <v>0.25</v>
          </cell>
          <cell r="AS1228">
            <v>0.25</v>
          </cell>
          <cell r="AT1228">
            <v>-0.04</v>
          </cell>
          <cell r="AU1228">
            <v>0.92</v>
          </cell>
          <cell r="AV1228">
            <v>20</v>
          </cell>
          <cell r="AZ1228">
            <v>0.25</v>
          </cell>
          <cell r="BA1228">
            <v>0.25</v>
          </cell>
        </row>
        <row r="1229">
          <cell r="A1229" t="str">
            <v>GLOBALFER SRL UNIPERSONALE</v>
          </cell>
          <cell r="D1229" t="str">
            <v>VIA L. PANCALDO, 1</v>
          </cell>
          <cell r="E1229" t="str">
            <v>37138</v>
          </cell>
          <cell r="F1229" t="str">
            <v>VERONA</v>
          </cell>
          <cell r="G1229" t="str">
            <v>VR</v>
          </cell>
          <cell r="H1229" t="str">
            <v>ITALIA</v>
          </cell>
          <cell r="J1229" t="str">
            <v>03413100235</v>
          </cell>
          <cell r="K1229" t="str">
            <v>KUPCRMI</v>
          </cell>
          <cell r="L1229" t="str">
            <v xml:space="preserve">GLOBALFER SRL - VIALE SICILIA, 27/B - 37138 VERONA </v>
          </cell>
          <cell r="M1229" t="str">
            <v>UFFICIO ACQUISTI</v>
          </cell>
          <cell r="N1229" t="str">
            <v>045 8104481</v>
          </cell>
          <cell r="O1229" t="str">
            <v>392 9806759</v>
          </cell>
          <cell r="P1229" t="str">
            <v>amministrazione@ferramentamondialfer.it</v>
          </cell>
          <cell r="Q1229" t="str">
            <v>ORARI PER CONSEGNA CORRIERE: 8.30 - 12.30 / 15.00 - 19.00</v>
          </cell>
          <cell r="R1229" t="str">
            <v>BONIFICO BANCARIO, ALLA DATA DELLA NOSTRA CONFERMA D'ORDINE</v>
          </cell>
          <cell r="X1229">
            <v>0.25</v>
          </cell>
          <cell r="Y1229">
            <v>-0.04</v>
          </cell>
          <cell r="AB1229">
            <v>0.25</v>
          </cell>
          <cell r="AC1229">
            <v>0.25</v>
          </cell>
          <cell r="AD1229">
            <v>0.25</v>
          </cell>
          <cell r="AE1229">
            <v>0.25</v>
          </cell>
          <cell r="AF1229">
            <v>0.25</v>
          </cell>
          <cell r="AG1229">
            <v>0.25</v>
          </cell>
          <cell r="AH1229">
            <v>0.25</v>
          </cell>
          <cell r="AI1229">
            <v>0.25</v>
          </cell>
          <cell r="AJ1229">
            <v>0.25</v>
          </cell>
          <cell r="AK1229">
            <v>0.25</v>
          </cell>
          <cell r="AL1229">
            <v>0.25</v>
          </cell>
          <cell r="AM1229">
            <v>0.25</v>
          </cell>
          <cell r="AN1229">
            <v>0.25</v>
          </cell>
          <cell r="AO1229">
            <v>0.25</v>
          </cell>
          <cell r="AP1229">
            <v>0.25</v>
          </cell>
          <cell r="AQ1229">
            <v>0.25</v>
          </cell>
          <cell r="AR1229">
            <v>0.25</v>
          </cell>
          <cell r="AS1229">
            <v>0.25</v>
          </cell>
          <cell r="AT1229">
            <v>-0.04</v>
          </cell>
          <cell r="AU1229">
            <v>0.92</v>
          </cell>
          <cell r="AV1229">
            <v>20</v>
          </cell>
          <cell r="AY1229" t="str">
            <v/>
          </cell>
          <cell r="AZ1229">
            <v>0.25</v>
          </cell>
          <cell r="BA1229">
            <v>0.25</v>
          </cell>
          <cell r="BF1229" t="str">
            <v>CLICK RAPID con carpenteria 15/06/2020</v>
          </cell>
        </row>
        <row r="1230">
          <cell r="A1230" t="str">
            <v>GLOBAL V-TECH LIMITED</v>
          </cell>
          <cell r="D1230" t="str">
            <v>ARNWOOD CENTRE, NEWARK ROAD, EASTERN INDUSTRY</v>
          </cell>
          <cell r="E1230" t="str">
            <v>PE1 5YH</v>
          </cell>
          <cell r="F1230" t="str">
            <v>PETERBOROUGH</v>
          </cell>
          <cell r="H1230" t="str">
            <v>REGNO UNITO</v>
          </cell>
          <cell r="J1230" t="str">
            <v>575997658</v>
          </cell>
          <cell r="K1230" t="str">
            <v>XXXXXXX</v>
          </cell>
          <cell r="M1230" t="str">
            <v>UFFICIO ACQUISTI</v>
          </cell>
          <cell r="N1230" t="str">
            <v>+44 1733567343</v>
          </cell>
          <cell r="P1230" t="str">
            <v>giulio.dandrea@gmail.com</v>
          </cell>
          <cell r="R1230" t="str">
            <v>BONIFICO BANCARIO, ALLA DATA DELLA NOSTRA CONFERMA D'ORDINE</v>
          </cell>
          <cell r="AU1230">
            <v>0.85</v>
          </cell>
          <cell r="AV1230">
            <v>20</v>
          </cell>
        </row>
        <row r="1231">
          <cell r="A1231" t="str">
            <v>GLS SERRAMENTI di Scola Gian Luca</v>
          </cell>
          <cell r="D1231" t="str">
            <v>VIA MAMELI, 12</v>
          </cell>
          <cell r="E1231">
            <v>17021</v>
          </cell>
          <cell r="F1231" t="str">
            <v>ALASSO</v>
          </cell>
          <cell r="G1231" t="str">
            <v>SV</v>
          </cell>
          <cell r="H1231" t="str">
            <v>ITALIA</v>
          </cell>
          <cell r="M1231" t="str">
            <v>UFFICIO ACQUISTI</v>
          </cell>
          <cell r="N1231" t="str">
            <v>0182 020757</v>
          </cell>
          <cell r="O1231" t="str">
            <v>339 5451521</v>
          </cell>
          <cell r="P1231" t="str">
            <v>glsserramenti@libero.it</v>
          </cell>
          <cell r="R1231" t="str">
            <v>BONIFICO BANCARIO, ALLA DATA DELLA NOSTRA CONFERMA D'ORDINE</v>
          </cell>
          <cell r="X1231">
            <v>0.25</v>
          </cell>
          <cell r="Y1231">
            <v>-0.04</v>
          </cell>
          <cell r="AB1231">
            <v>0.25</v>
          </cell>
          <cell r="AC1231">
            <v>0.25</v>
          </cell>
          <cell r="AD1231">
            <v>0.25</v>
          </cell>
          <cell r="AE1231">
            <v>0.25</v>
          </cell>
          <cell r="AF1231">
            <v>0.25</v>
          </cell>
          <cell r="AG1231">
            <v>0.25</v>
          </cell>
          <cell r="AH1231">
            <v>0.25</v>
          </cell>
          <cell r="AI1231">
            <v>0.25</v>
          </cell>
          <cell r="AJ1231">
            <v>0.25</v>
          </cell>
          <cell r="AK1231">
            <v>0.25</v>
          </cell>
          <cell r="AL1231">
            <v>0.25</v>
          </cell>
          <cell r="AM1231">
            <v>0.25</v>
          </cell>
          <cell r="AN1231">
            <v>0.25</v>
          </cell>
          <cell r="AO1231">
            <v>0.25</v>
          </cell>
          <cell r="AP1231">
            <v>0.25</v>
          </cell>
          <cell r="AQ1231">
            <v>0.25</v>
          </cell>
          <cell r="AR1231">
            <v>0.25</v>
          </cell>
          <cell r="AS1231">
            <v>0.25</v>
          </cell>
          <cell r="AT1231">
            <v>-0.04</v>
          </cell>
          <cell r="AU1231">
            <v>0.92</v>
          </cell>
          <cell r="AV1231">
            <v>20</v>
          </cell>
          <cell r="AY1231" t="str">
            <v/>
          </cell>
          <cell r="AZ1231">
            <v>0.25</v>
          </cell>
          <cell r="BA1231">
            <v>0.25</v>
          </cell>
        </row>
        <row r="1232">
          <cell r="A1232" t="str">
            <v>GM MONTAGEBAU GBUREK</v>
          </cell>
          <cell r="B1232" t="str">
            <v>ACQUISTA DA HR CHEMGAUER PRODUTTORE TEDESCO</v>
          </cell>
          <cell r="D1232" t="str">
            <v>AUF DEM DRIESCH, 3</v>
          </cell>
          <cell r="E1232" t="str">
            <v>50129</v>
          </cell>
          <cell r="F1232" t="str">
            <v>BERGHEIM</v>
          </cell>
          <cell r="H1232" t="str">
            <v>GERMANIA</v>
          </cell>
          <cell r="J1232" t="str">
            <v>DE42958073968</v>
          </cell>
          <cell r="K1232" t="str">
            <v>XXXXXXX</v>
          </cell>
          <cell r="M1232" t="str">
            <v>UFFICIO ACQUISTI</v>
          </cell>
          <cell r="N1232" t="str">
            <v>+49 1634100181</v>
          </cell>
          <cell r="P1232" t="str">
            <v>info@hws-alu.de</v>
          </cell>
          <cell r="R1232" t="str">
            <v>BANKÜBERWEISUNG, AM DATUM UNSERER AUFTRAGSBESTÄTIGUNG</v>
          </cell>
          <cell r="X1232">
            <v>0</v>
          </cell>
          <cell r="AB1232">
            <v>0</v>
          </cell>
          <cell r="AC1232">
            <v>0</v>
          </cell>
          <cell r="AD1232">
            <v>0</v>
          </cell>
          <cell r="AE1232">
            <v>0</v>
          </cell>
          <cell r="AF1232">
            <v>0</v>
          </cell>
          <cell r="AG1232">
            <v>0</v>
          </cell>
          <cell r="AH1232">
            <v>0</v>
          </cell>
          <cell r="AI1232">
            <v>0</v>
          </cell>
          <cell r="AJ1232">
            <v>0</v>
          </cell>
          <cell r="AK1232">
            <v>0</v>
          </cell>
          <cell r="AL1232">
            <v>0</v>
          </cell>
          <cell r="AM1232">
            <v>0</v>
          </cell>
          <cell r="AN1232">
            <v>0</v>
          </cell>
          <cell r="AO1232">
            <v>0</v>
          </cell>
          <cell r="AP1232">
            <v>0</v>
          </cell>
          <cell r="AQ1232">
            <v>0</v>
          </cell>
          <cell r="AR1232">
            <v>0</v>
          </cell>
          <cell r="AS1232">
            <v>0</v>
          </cell>
          <cell r="AU1232">
            <v>0.84</v>
          </cell>
          <cell r="AV1232">
            <v>20</v>
          </cell>
          <cell r="AZ1232">
            <v>0</v>
          </cell>
          <cell r="BA1232">
            <v>0</v>
          </cell>
        </row>
        <row r="1233">
          <cell r="A1233" t="str">
            <v>GM NUOVA LUCE SRL</v>
          </cell>
          <cell r="D1233" t="str">
            <v>VIA PIERSANTI MATTARELLA, 75</v>
          </cell>
          <cell r="E1233" t="str">
            <v>88046</v>
          </cell>
          <cell r="F1233" t="str">
            <v>LAMEZIA TERME</v>
          </cell>
          <cell r="G1233" t="str">
            <v>CZ</v>
          </cell>
          <cell r="H1233" t="str">
            <v>ITALIA</v>
          </cell>
          <cell r="J1233" t="str">
            <v>03669860797</v>
          </cell>
          <cell r="K1233" t="str">
            <v>SKUA8Y6</v>
          </cell>
          <cell r="M1233" t="str">
            <v>UFFICIO ACQUISTI</v>
          </cell>
          <cell r="O1233" t="str">
            <v>333 3097603 ASTORINO MASSIMO</v>
          </cell>
          <cell r="P1233" t="str">
            <v>gmnuovaluce@gmail.com</v>
          </cell>
          <cell r="R1233" t="str">
            <v>BONIFICO BANCARIO, ALLA DATA DELLA NOSTRA CONFERMA D'ORDINE</v>
          </cell>
          <cell r="X1233">
            <v>0.25</v>
          </cell>
          <cell r="Y1233">
            <v>-0.04</v>
          </cell>
          <cell r="AB1233">
            <v>0.25</v>
          </cell>
          <cell r="AC1233">
            <v>0.25</v>
          </cell>
          <cell r="AD1233">
            <v>0.25</v>
          </cell>
          <cell r="AE1233">
            <v>0.25</v>
          </cell>
          <cell r="AF1233">
            <v>0.25</v>
          </cell>
          <cell r="AG1233">
            <v>0.25</v>
          </cell>
          <cell r="AH1233">
            <v>0.25</v>
          </cell>
          <cell r="AI1233">
            <v>0.25</v>
          </cell>
          <cell r="AJ1233">
            <v>0.25</v>
          </cell>
          <cell r="AK1233">
            <v>0.25</v>
          </cell>
          <cell r="AL1233">
            <v>0.25</v>
          </cell>
          <cell r="AM1233">
            <v>0.25</v>
          </cell>
          <cell r="AN1233">
            <v>0.25</v>
          </cell>
          <cell r="AO1233">
            <v>0.25</v>
          </cell>
          <cell r="AP1233">
            <v>0.25</v>
          </cell>
          <cell r="AQ1233">
            <v>0.25</v>
          </cell>
          <cell r="AR1233">
            <v>0.25</v>
          </cell>
          <cell r="AS1233">
            <v>0.25</v>
          </cell>
          <cell r="AT1233">
            <v>-0.04</v>
          </cell>
          <cell r="AU1233">
            <v>0.92</v>
          </cell>
          <cell r="AV1233">
            <v>20</v>
          </cell>
          <cell r="AW1233" t="str">
            <v>PIETRO OLIVADOTI</v>
          </cell>
          <cell r="AX1233">
            <v>0.95</v>
          </cell>
          <cell r="AZ1233">
            <v>0.25</v>
          </cell>
          <cell r="BA1233">
            <v>0.25</v>
          </cell>
        </row>
        <row r="1234">
          <cell r="A1234" t="str">
            <v xml:space="preserve">GMP SERRAMENTI </v>
          </cell>
          <cell r="B1234" t="str">
            <v>ASPETTO CHIAMATA PER RIV.</v>
          </cell>
          <cell r="D1234" t="str">
            <v>VIA G.CARDUCCI, 27</v>
          </cell>
          <cell r="E1234">
            <v>46027</v>
          </cell>
          <cell r="F1234" t="str">
            <v xml:space="preserve">SAN BENEDETTO PO </v>
          </cell>
          <cell r="G1234" t="str">
            <v>MN</v>
          </cell>
          <cell r="H1234" t="str">
            <v>ITALIA</v>
          </cell>
          <cell r="M1234" t="str">
            <v>UFFICIO ACQUISTI</v>
          </cell>
          <cell r="N1234" t="str">
            <v>0376 440249</v>
          </cell>
          <cell r="P1234" t="str">
            <v>info@gmpserramenti.com</v>
          </cell>
          <cell r="R1234" t="str">
            <v>BONIFICO BANCARIO, ALLA DATA DELLA NOSTRA CONFERMA D'ORDINE</v>
          </cell>
          <cell r="X1234">
            <v>0.25</v>
          </cell>
          <cell r="Y1234">
            <v>-0.04</v>
          </cell>
          <cell r="AB1234">
            <v>0.25</v>
          </cell>
          <cell r="AC1234">
            <v>0.25</v>
          </cell>
          <cell r="AD1234">
            <v>0.25</v>
          </cell>
          <cell r="AE1234">
            <v>0.25</v>
          </cell>
          <cell r="AF1234">
            <v>0.25</v>
          </cell>
          <cell r="AG1234">
            <v>0.25</v>
          </cell>
          <cell r="AH1234">
            <v>0.25</v>
          </cell>
          <cell r="AI1234">
            <v>0.25</v>
          </cell>
          <cell r="AJ1234">
            <v>0.25</v>
          </cell>
          <cell r="AK1234">
            <v>0.25</v>
          </cell>
          <cell r="AL1234">
            <v>0.25</v>
          </cell>
          <cell r="AM1234">
            <v>0.25</v>
          </cell>
          <cell r="AN1234">
            <v>0.25</v>
          </cell>
          <cell r="AO1234">
            <v>0.25</v>
          </cell>
          <cell r="AP1234">
            <v>0.25</v>
          </cell>
          <cell r="AQ1234">
            <v>0.25</v>
          </cell>
          <cell r="AR1234">
            <v>0.25</v>
          </cell>
          <cell r="AS1234">
            <v>0.25</v>
          </cell>
          <cell r="AT1234">
            <v>-0.04</v>
          </cell>
          <cell r="AU1234">
            <v>0.92</v>
          </cell>
          <cell r="AV1234">
            <v>20</v>
          </cell>
          <cell r="AY1234" t="str">
            <v/>
          </cell>
          <cell r="AZ1234">
            <v>0.25</v>
          </cell>
          <cell r="BA1234">
            <v>0.25</v>
          </cell>
        </row>
        <row r="1235">
          <cell r="A1235" t="str">
            <v>GMS SRL</v>
          </cell>
          <cell r="D1235" t="str">
            <v>VIA MAMELI, 36</v>
          </cell>
          <cell r="E1235" t="str">
            <v>07021</v>
          </cell>
          <cell r="F1235" t="str">
            <v>ARZACHENA</v>
          </cell>
          <cell r="G1235" t="str">
            <v>SS</v>
          </cell>
          <cell r="H1235" t="str">
            <v>ITALIA</v>
          </cell>
          <cell r="J1235" t="str">
            <v>02001780903</v>
          </cell>
          <cell r="M1235" t="str">
            <v>UFFICIO ACQUISTI</v>
          </cell>
          <cell r="N1235" t="str">
            <v>0789 83288</v>
          </cell>
          <cell r="O1235" t="str">
            <v>335 384062 GIAN MARIO</v>
          </cell>
          <cell r="P1235" t="str">
            <v>gsminfissi@gmail.com</v>
          </cell>
          <cell r="R1235" t="str">
            <v>BONIFICO BANCARIO, ALLA DATA DELLA NOSTRA CONFERMA D'ORDINE</v>
          </cell>
          <cell r="X1235">
            <v>0.2</v>
          </cell>
          <cell r="Y1235">
            <v>-0.04</v>
          </cell>
          <cell r="AB1235">
            <v>0.2</v>
          </cell>
          <cell r="AC1235">
            <v>0.2</v>
          </cell>
          <cell r="AD1235">
            <v>0.2</v>
          </cell>
          <cell r="AE1235">
            <v>0.2</v>
          </cell>
          <cell r="AF1235">
            <v>0.2</v>
          </cell>
          <cell r="AG1235">
            <v>0.2</v>
          </cell>
          <cell r="AH1235">
            <v>0.2</v>
          </cell>
          <cell r="AI1235">
            <v>0.2</v>
          </cell>
          <cell r="AJ1235">
            <v>0.2</v>
          </cell>
          <cell r="AK1235">
            <v>0.2</v>
          </cell>
          <cell r="AL1235">
            <v>0.2</v>
          </cell>
          <cell r="AM1235">
            <v>0.2</v>
          </cell>
          <cell r="AN1235">
            <v>0.2</v>
          </cell>
          <cell r="AO1235">
            <v>0.2</v>
          </cell>
          <cell r="AP1235">
            <v>0.2</v>
          </cell>
          <cell r="AQ1235">
            <v>0.2</v>
          </cell>
          <cell r="AR1235">
            <v>0.2</v>
          </cell>
          <cell r="AS1235">
            <v>0.2</v>
          </cell>
          <cell r="AT1235">
            <v>-0.04</v>
          </cell>
          <cell r="AU1235">
            <v>0.92</v>
          </cell>
          <cell r="AV1235">
            <v>20</v>
          </cell>
          <cell r="AZ1235">
            <v>0.2</v>
          </cell>
          <cell r="BA1235">
            <v>0.2</v>
          </cell>
        </row>
        <row r="1236">
          <cell r="A1236" t="str">
            <v>GN SERRAMENTI SCHERMATURE BLINDATI</v>
          </cell>
          <cell r="D1236" t="str">
            <v>VIA FIORENZO TOMEA 20</v>
          </cell>
          <cell r="E1236" t="str">
            <v>00125</v>
          </cell>
          <cell r="F1236" t="str">
            <v>ROMA</v>
          </cell>
          <cell r="G1236" t="str">
            <v>RM</v>
          </cell>
          <cell r="H1236" t="str">
            <v>ITALIA</v>
          </cell>
          <cell r="M1236" t="str">
            <v>UFFICIO ACQUISTI</v>
          </cell>
          <cell r="N1236" t="str">
            <v>06 52357360</v>
          </cell>
          <cell r="O1236" t="str">
            <v>347 6316572</v>
          </cell>
          <cell r="P1236" t="str">
            <v>gnettunosas@gmail.com</v>
          </cell>
          <cell r="R1236" t="str">
            <v>BONIFICO BANCARIO, ALLA DATA DELLA NOSTRA CONFERMA D'ORDINE</v>
          </cell>
          <cell r="X1236">
            <v>0.25</v>
          </cell>
          <cell r="Y1236">
            <v>-0.04</v>
          </cell>
          <cell r="AB1236">
            <v>0.25</v>
          </cell>
          <cell r="AC1236">
            <v>0.25</v>
          </cell>
          <cell r="AD1236">
            <v>0.25</v>
          </cell>
          <cell r="AE1236">
            <v>0.25</v>
          </cell>
          <cell r="AF1236">
            <v>0.25</v>
          </cell>
          <cell r="AG1236">
            <v>0.25</v>
          </cell>
          <cell r="AH1236">
            <v>0.25</v>
          </cell>
          <cell r="AI1236">
            <v>0.25</v>
          </cell>
          <cell r="AJ1236">
            <v>0.25</v>
          </cell>
          <cell r="AK1236">
            <v>0.25</v>
          </cell>
          <cell r="AL1236">
            <v>0.25</v>
          </cell>
          <cell r="AM1236">
            <v>0.25</v>
          </cell>
          <cell r="AN1236">
            <v>0.25</v>
          </cell>
          <cell r="AO1236">
            <v>0.25</v>
          </cell>
          <cell r="AP1236">
            <v>0.25</v>
          </cell>
          <cell r="AQ1236">
            <v>0.25</v>
          </cell>
          <cell r="AR1236">
            <v>0.25</v>
          </cell>
          <cell r="AS1236">
            <v>0.25</v>
          </cell>
          <cell r="AT1236">
            <v>-0.04</v>
          </cell>
          <cell r="AU1236">
            <v>0.92</v>
          </cell>
          <cell r="AV1236">
            <v>20</v>
          </cell>
          <cell r="AY1236" t="str">
            <v/>
          </cell>
          <cell r="AZ1236">
            <v>0.25</v>
          </cell>
          <cell r="BA1236">
            <v>0.25</v>
          </cell>
        </row>
        <row r="1237">
          <cell r="A1237" t="str">
            <v>GO SERRAMENTI S.R.L.</v>
          </cell>
          <cell r="D1237" t="str">
            <v>VIA LAZZARETTO, 66</v>
          </cell>
          <cell r="E1237">
            <v>20064</v>
          </cell>
          <cell r="F1237" t="str">
            <v>GORGONZOLA</v>
          </cell>
          <cell r="G1237" t="str">
            <v>MI</v>
          </cell>
          <cell r="H1237" t="str">
            <v>ITALIA</v>
          </cell>
          <cell r="I1237" t="str">
            <v>08641470961</v>
          </cell>
          <cell r="J1237" t="str">
            <v>08641470961</v>
          </cell>
          <cell r="M1237" t="str">
            <v>UFFICIO ACQUISTI</v>
          </cell>
          <cell r="N1237" t="str">
            <v>02 9515194</v>
          </cell>
          <cell r="P1237" t="str">
            <v>info@goserramenti.it</v>
          </cell>
          <cell r="R1237" t="str">
            <v>BONIFICO BANCARIO, ALLA DATA DELLA NOSTRA CONFERMA D'ORDINE</v>
          </cell>
          <cell r="X1237">
            <v>0.25</v>
          </cell>
          <cell r="Y1237">
            <v>-0.04</v>
          </cell>
          <cell r="AB1237">
            <v>0.25</v>
          </cell>
          <cell r="AC1237">
            <v>0.25</v>
          </cell>
          <cell r="AD1237">
            <v>0.25</v>
          </cell>
          <cell r="AE1237">
            <v>0.25</v>
          </cell>
          <cell r="AF1237">
            <v>0.25</v>
          </cell>
          <cell r="AG1237">
            <v>0.25</v>
          </cell>
          <cell r="AH1237">
            <v>0.25</v>
          </cell>
          <cell r="AI1237">
            <v>0.25</v>
          </cell>
          <cell r="AJ1237">
            <v>0.25</v>
          </cell>
          <cell r="AK1237">
            <v>0.25</v>
          </cell>
          <cell r="AL1237">
            <v>0.25</v>
          </cell>
          <cell r="AM1237">
            <v>0.25</v>
          </cell>
          <cell r="AN1237">
            <v>0.25</v>
          </cell>
          <cell r="AO1237">
            <v>0.25</v>
          </cell>
          <cell r="AP1237">
            <v>0.25</v>
          </cell>
          <cell r="AQ1237">
            <v>0.25</v>
          </cell>
          <cell r="AR1237">
            <v>0.25</v>
          </cell>
          <cell r="AS1237">
            <v>0.25</v>
          </cell>
          <cell r="AT1237">
            <v>-0.04</v>
          </cell>
          <cell r="AU1237">
            <v>0.92</v>
          </cell>
          <cell r="AV1237">
            <v>20</v>
          </cell>
          <cell r="AY1237" t="str">
            <v/>
          </cell>
          <cell r="AZ1237">
            <v>0.25</v>
          </cell>
          <cell r="BA1237">
            <v>0.25</v>
          </cell>
        </row>
        <row r="1238">
          <cell r="A1238" t="str">
            <v>GODENTE &amp; GODENTE SRL</v>
          </cell>
          <cell r="B1238" t="str">
            <v>PUNTO VEN: VIA ALDOBRANDINI, 33 - ANZIO 06 9848190</v>
          </cell>
          <cell r="D1238" t="str">
            <v>VIA NETTUNENSE, KM 31,500</v>
          </cell>
          <cell r="E1238" t="str">
            <v>00042</v>
          </cell>
          <cell r="F1238" t="str">
            <v>ANZIO</v>
          </cell>
          <cell r="G1238" t="str">
            <v>RM</v>
          </cell>
          <cell r="H1238" t="str">
            <v>ITALIA</v>
          </cell>
          <cell r="J1238" t="str">
            <v>10687361005</v>
          </cell>
          <cell r="K1238" t="str">
            <v>SRU082D</v>
          </cell>
          <cell r="M1238" t="str">
            <v>UFFICIO ACQUISTI</v>
          </cell>
          <cell r="N1238" t="str">
            <v>06 9819143</v>
          </cell>
          <cell r="P1238" t="str">
            <v>godenteinfissi@gmail.com</v>
          </cell>
          <cell r="R1238" t="str">
            <v>BONIFICO BANCARIO, ALLA DATA DELLA NOSTRA CONFERMA D'ORDINE</v>
          </cell>
          <cell r="X1238">
            <v>0.2</v>
          </cell>
          <cell r="Y1238">
            <v>-0.04</v>
          </cell>
          <cell r="AB1238">
            <v>0.2</v>
          </cell>
          <cell r="AC1238">
            <v>0.2</v>
          </cell>
          <cell r="AD1238">
            <v>0.2</v>
          </cell>
          <cell r="AE1238">
            <v>0.2</v>
          </cell>
          <cell r="AF1238">
            <v>0.2</v>
          </cell>
          <cell r="AG1238">
            <v>0.2</v>
          </cell>
          <cell r="AH1238">
            <v>0.2</v>
          </cell>
          <cell r="AI1238">
            <v>0.2</v>
          </cell>
          <cell r="AJ1238">
            <v>0.2</v>
          </cell>
          <cell r="AK1238">
            <v>0.2</v>
          </cell>
          <cell r="AL1238">
            <v>0.2</v>
          </cell>
          <cell r="AM1238">
            <v>0.2</v>
          </cell>
          <cell r="AN1238">
            <v>0.2</v>
          </cell>
          <cell r="AO1238">
            <v>0.2</v>
          </cell>
          <cell r="AP1238">
            <v>0.2</v>
          </cell>
          <cell r="AQ1238">
            <v>0.2</v>
          </cell>
          <cell r="AR1238">
            <v>0.2</v>
          </cell>
          <cell r="AS1238">
            <v>0.2</v>
          </cell>
          <cell r="AT1238">
            <v>-0.04</v>
          </cell>
          <cell r="AU1238">
            <v>0.92</v>
          </cell>
          <cell r="AV1238">
            <v>20</v>
          </cell>
          <cell r="AZ1238">
            <v>0.2</v>
          </cell>
          <cell r="BA1238">
            <v>0.2</v>
          </cell>
        </row>
        <row r="1239">
          <cell r="A1239" t="str">
            <v>GODENTE E GODENTE SRL</v>
          </cell>
          <cell r="D1239" t="str">
            <v>VIA NETTUNESE KM 31 500</v>
          </cell>
          <cell r="E1239" t="str">
            <v>00042</v>
          </cell>
          <cell r="F1239" t="str">
            <v>ANZIO</v>
          </cell>
          <cell r="G1239" t="str">
            <v>RM</v>
          </cell>
          <cell r="H1239" t="str">
            <v>ITALIA</v>
          </cell>
          <cell r="J1239" t="str">
            <v>10687361005</v>
          </cell>
          <cell r="K1239" t="str">
            <v>5RUO82D</v>
          </cell>
          <cell r="M1239" t="str">
            <v>UFFICIO ACQUISTI</v>
          </cell>
          <cell r="N1239" t="str">
            <v>06 9819143</v>
          </cell>
          <cell r="O1239" t="str">
            <v>PUNTO VENDITA 06 9848190</v>
          </cell>
          <cell r="P1239" t="str">
            <v>godenteinfissi@gmail.com</v>
          </cell>
          <cell r="R1239" t="str">
            <v>BONIFICO BANCARIO, ALLA DATA DELLA NOSTRA CONFERMA D'ORDINE</v>
          </cell>
          <cell r="X1239">
            <v>0.25</v>
          </cell>
          <cell r="Y1239">
            <v>-0.04</v>
          </cell>
          <cell r="AB1239">
            <v>0.25</v>
          </cell>
          <cell r="AC1239">
            <v>0.25</v>
          </cell>
          <cell r="AD1239">
            <v>0.25</v>
          </cell>
          <cell r="AE1239">
            <v>0.25</v>
          </cell>
          <cell r="AF1239">
            <v>0.25</v>
          </cell>
          <cell r="AG1239">
            <v>0.25</v>
          </cell>
          <cell r="AH1239">
            <v>0.25</v>
          </cell>
          <cell r="AI1239">
            <v>0.25</v>
          </cell>
          <cell r="AJ1239">
            <v>0.25</v>
          </cell>
          <cell r="AK1239">
            <v>0.25</v>
          </cell>
          <cell r="AL1239">
            <v>0.25</v>
          </cell>
          <cell r="AM1239">
            <v>0.25</v>
          </cell>
          <cell r="AN1239">
            <v>0.25</v>
          </cell>
          <cell r="AO1239">
            <v>0.25</v>
          </cell>
          <cell r="AP1239">
            <v>0.25</v>
          </cell>
          <cell r="AQ1239">
            <v>0.25</v>
          </cell>
          <cell r="AR1239">
            <v>0.25</v>
          </cell>
          <cell r="AS1239">
            <v>0.25</v>
          </cell>
          <cell r="AT1239">
            <v>-0.04</v>
          </cell>
          <cell r="AU1239">
            <v>0.92</v>
          </cell>
          <cell r="AV1239">
            <v>20</v>
          </cell>
          <cell r="AZ1239">
            <v>0.25</v>
          </cell>
          <cell r="BA1239">
            <v>0.25</v>
          </cell>
          <cell r="BF1239" t="str">
            <v>CLICK RAPID con carpenteria 14/04/2021</v>
          </cell>
        </row>
        <row r="1240">
          <cell r="A1240" t="str">
            <v xml:space="preserve">GOITRE </v>
          </cell>
          <cell r="D1240" t="str">
            <v>STRADA DEI COLLERI 24</v>
          </cell>
          <cell r="E1240">
            <v>10080</v>
          </cell>
          <cell r="F1240" t="str">
            <v>BOSCONERO</v>
          </cell>
          <cell r="G1240" t="str">
            <v>TO</v>
          </cell>
          <cell r="H1240" t="str">
            <v>ITALIA</v>
          </cell>
          <cell r="I1240" t="str">
            <v>GTRLRT88E14E379J</v>
          </cell>
          <cell r="J1240" t="str">
            <v>11601120014</v>
          </cell>
          <cell r="M1240" t="str">
            <v>UFFICIO ACQUISTI</v>
          </cell>
          <cell r="O1240" t="str">
            <v>Valentina 333 9703940 Alberto 340 7126820</v>
          </cell>
          <cell r="P1240" t="str">
            <v>goitre@goitreserramenti.com</v>
          </cell>
          <cell r="R1240" t="str">
            <v>BONIFICO BANCARIO, ALLA DATA DELLA NOSTRA CONFERMA D'ORDINE</v>
          </cell>
          <cell r="X1240">
            <v>0.25</v>
          </cell>
          <cell r="Y1240">
            <v>-0.04</v>
          </cell>
          <cell r="AB1240">
            <v>0.25</v>
          </cell>
          <cell r="AC1240">
            <v>0.25</v>
          </cell>
          <cell r="AD1240">
            <v>0.25</v>
          </cell>
          <cell r="AE1240">
            <v>0.25</v>
          </cell>
          <cell r="AF1240">
            <v>0.25</v>
          </cell>
          <cell r="AG1240">
            <v>0.25</v>
          </cell>
          <cell r="AH1240">
            <v>0.25</v>
          </cell>
          <cell r="AI1240">
            <v>0.25</v>
          </cell>
          <cell r="AJ1240">
            <v>0.25</v>
          </cell>
          <cell r="AK1240">
            <v>0.25</v>
          </cell>
          <cell r="AL1240">
            <v>0.25</v>
          </cell>
          <cell r="AM1240">
            <v>0.25</v>
          </cell>
          <cell r="AN1240">
            <v>0.25</v>
          </cell>
          <cell r="AO1240">
            <v>0.25</v>
          </cell>
          <cell r="AP1240">
            <v>0.25</v>
          </cell>
          <cell r="AQ1240">
            <v>0.25</v>
          </cell>
          <cell r="AR1240">
            <v>0.25</v>
          </cell>
          <cell r="AS1240">
            <v>0.25</v>
          </cell>
          <cell r="AT1240">
            <v>-0.04</v>
          </cell>
          <cell r="AU1240">
            <v>0.92</v>
          </cell>
          <cell r="AV1240">
            <v>20</v>
          </cell>
          <cell r="AZ1240">
            <v>0.25</v>
          </cell>
          <cell r="BA1240">
            <v>0.25</v>
          </cell>
        </row>
        <row r="1241">
          <cell r="A1241" t="str">
            <v>GOLLO SERRAMENTI SRL</v>
          </cell>
          <cell r="C1241" t="str">
            <v>AL4</v>
          </cell>
          <cell r="D1241" t="str">
            <v>VIA LERMA, 3</v>
          </cell>
          <cell r="E1241">
            <v>15060</v>
          </cell>
          <cell r="F1241" t="str">
            <v>SILVANO D' ORBA</v>
          </cell>
          <cell r="G1241" t="str">
            <v>AL</v>
          </cell>
          <cell r="H1241" t="str">
            <v>ITALIA</v>
          </cell>
          <cell r="M1241" t="str">
            <v>UFFICIO ACQUISTI</v>
          </cell>
          <cell r="N1241" t="str">
            <v>0143 882913</v>
          </cell>
          <cell r="P1241" t="str">
            <v>PREVENTIVI@SERRAMENTIGOLLO.COM</v>
          </cell>
          <cell r="R1241" t="str">
            <v>BONIFICO BANCARIO, ALLA DATA DELLA NOSTRA CONFERMA D'ORDINE</v>
          </cell>
          <cell r="X1241">
            <v>0.25</v>
          </cell>
          <cell r="Y1241">
            <v>-0.04</v>
          </cell>
          <cell r="AB1241">
            <v>0.25</v>
          </cell>
          <cell r="AC1241">
            <v>0.25</v>
          </cell>
          <cell r="AD1241">
            <v>0.25</v>
          </cell>
          <cell r="AE1241">
            <v>0.25</v>
          </cell>
          <cell r="AF1241">
            <v>0.25</v>
          </cell>
          <cell r="AG1241">
            <v>0.25</v>
          </cell>
          <cell r="AH1241">
            <v>0.25</v>
          </cell>
          <cell r="AI1241">
            <v>0.25</v>
          </cell>
          <cell r="AJ1241">
            <v>0.25</v>
          </cell>
          <cell r="AK1241">
            <v>0.25</v>
          </cell>
          <cell r="AL1241">
            <v>0.25</v>
          </cell>
          <cell r="AM1241">
            <v>0.25</v>
          </cell>
          <cell r="AN1241">
            <v>0.25</v>
          </cell>
          <cell r="AO1241">
            <v>0.25</v>
          </cell>
          <cell r="AP1241">
            <v>0.25</v>
          </cell>
          <cell r="AQ1241">
            <v>0.25</v>
          </cell>
          <cell r="AR1241">
            <v>0.25</v>
          </cell>
          <cell r="AS1241">
            <v>0.25</v>
          </cell>
          <cell r="AT1241">
            <v>-0.04</v>
          </cell>
          <cell r="AU1241">
            <v>0.92</v>
          </cell>
          <cell r="AV1241">
            <v>20</v>
          </cell>
          <cell r="AY1241" t="str">
            <v/>
          </cell>
          <cell r="AZ1241">
            <v>0.25</v>
          </cell>
          <cell r="BA1241">
            <v>0.25</v>
          </cell>
        </row>
        <row r="1242">
          <cell r="A1242" t="str">
            <v>GOMBA SRL A SOCIO UNICO</v>
          </cell>
          <cell r="D1242" t="str">
            <v>CORSO BAROLO, 25</v>
          </cell>
          <cell r="E1242">
            <v>12051</v>
          </cell>
          <cell r="F1242" t="str">
            <v>ALBA</v>
          </cell>
          <cell r="G1242" t="str">
            <v>CN</v>
          </cell>
          <cell r="H1242" t="str">
            <v>ITALIA</v>
          </cell>
          <cell r="J1242" t="str">
            <v>2325930044</v>
          </cell>
          <cell r="M1242" t="str">
            <v>UFFICIO ACQUISTI</v>
          </cell>
          <cell r="N1242" t="str">
            <v>0173 280414</v>
          </cell>
          <cell r="P1242" t="str">
            <v>info@gomba.eu</v>
          </cell>
          <cell r="R1242" t="str">
            <v>BONIFICO BANCARIO, ALLA DATA DELLA NOSTRA CONFERMA D'ORDINE</v>
          </cell>
          <cell r="X1242">
            <v>0.25</v>
          </cell>
          <cell r="Y1242">
            <v>-0.04</v>
          </cell>
          <cell r="AB1242">
            <v>0.25</v>
          </cell>
          <cell r="AC1242">
            <v>0.25</v>
          </cell>
          <cell r="AD1242">
            <v>0.25</v>
          </cell>
          <cell r="AE1242">
            <v>0.25</v>
          </cell>
          <cell r="AF1242">
            <v>0.25</v>
          </cell>
          <cell r="AG1242">
            <v>0.25</v>
          </cell>
          <cell r="AH1242">
            <v>0.25</v>
          </cell>
          <cell r="AI1242">
            <v>0.25</v>
          </cell>
          <cell r="AJ1242">
            <v>0.25</v>
          </cell>
          <cell r="AK1242">
            <v>0.25</v>
          </cell>
          <cell r="AL1242">
            <v>0.25</v>
          </cell>
          <cell r="AM1242">
            <v>0.25</v>
          </cell>
          <cell r="AN1242">
            <v>0.25</v>
          </cell>
          <cell r="AO1242">
            <v>0.25</v>
          </cell>
          <cell r="AP1242">
            <v>0.25</v>
          </cell>
          <cell r="AQ1242">
            <v>0.25</v>
          </cell>
          <cell r="AR1242">
            <v>0.25</v>
          </cell>
          <cell r="AS1242">
            <v>0.25</v>
          </cell>
          <cell r="AT1242">
            <v>-0.04</v>
          </cell>
          <cell r="AU1242">
            <v>0.92</v>
          </cell>
          <cell r="AV1242">
            <v>20</v>
          </cell>
          <cell r="AY1242" t="str">
            <v/>
          </cell>
          <cell r="AZ1242">
            <v>0.25</v>
          </cell>
          <cell r="BA1242">
            <v>0.25</v>
          </cell>
          <cell r="BF1242" t="str">
            <v>CLICK RAPID con espositore 13/02/2023 - MODERNA con espositore 13/02/2023 - MODI con espositore 13/02/2023</v>
          </cell>
        </row>
        <row r="1243">
          <cell r="A1243" t="str">
            <v>GONZATTO SERRAMENTI GONZATTO GIORGIO &amp; C. SNC</v>
          </cell>
          <cell r="D1243" t="str">
            <v>VIA LOVARA, 23</v>
          </cell>
          <cell r="E1243" t="str">
            <v>35044</v>
          </cell>
          <cell r="F1243" t="str">
            <v>MONTAGNANA</v>
          </cell>
          <cell r="G1243" t="str">
            <v>PD</v>
          </cell>
          <cell r="H1243" t="str">
            <v>ITALIA</v>
          </cell>
          <cell r="M1243" t="str">
            <v>UFFICIO ACQUISTI</v>
          </cell>
          <cell r="N1243" t="str">
            <v>0429 82866</v>
          </cell>
          <cell r="P1243" t="str">
            <v>info@gonzattoserramenti.it</v>
          </cell>
          <cell r="R1243" t="str">
            <v>BONIFICO BANCARIO, ALLA DATA DELLA NOSTRA CONFERMA D'ORDINE</v>
          </cell>
          <cell r="X1243">
            <v>0.25</v>
          </cell>
          <cell r="Y1243">
            <v>-0.04</v>
          </cell>
          <cell r="AB1243">
            <v>0.25</v>
          </cell>
          <cell r="AC1243">
            <v>0.25</v>
          </cell>
          <cell r="AD1243">
            <v>0.25</v>
          </cell>
          <cell r="AE1243">
            <v>0.25</v>
          </cell>
          <cell r="AF1243">
            <v>0.25</v>
          </cell>
          <cell r="AG1243">
            <v>0.25</v>
          </cell>
          <cell r="AH1243">
            <v>0.25</v>
          </cell>
          <cell r="AI1243">
            <v>0.25</v>
          </cell>
          <cell r="AJ1243">
            <v>0.25</v>
          </cell>
          <cell r="AK1243">
            <v>0.25</v>
          </cell>
          <cell r="AL1243">
            <v>0.25</v>
          </cell>
          <cell r="AM1243">
            <v>0.25</v>
          </cell>
          <cell r="AN1243">
            <v>0.25</v>
          </cell>
          <cell r="AO1243">
            <v>0.25</v>
          </cell>
          <cell r="AP1243">
            <v>0.25</v>
          </cell>
          <cell r="AQ1243">
            <v>0.25</v>
          </cell>
          <cell r="AR1243">
            <v>0.25</v>
          </cell>
          <cell r="AS1243">
            <v>0.25</v>
          </cell>
          <cell r="AT1243">
            <v>-0.04</v>
          </cell>
          <cell r="AU1243">
            <v>0.92</v>
          </cell>
          <cell r="AV1243">
            <v>20</v>
          </cell>
          <cell r="AY1243" t="str">
            <v/>
          </cell>
          <cell r="AZ1243">
            <v>0.25</v>
          </cell>
          <cell r="BA1243">
            <v>0.25</v>
          </cell>
        </row>
        <row r="1244">
          <cell r="A1244" t="str">
            <v>GONZINI SERRAMENTI</v>
          </cell>
          <cell r="B1244" t="str">
            <v>16/12/22 HANNO COLLABORAZIONE CON ACQUASTOP. NE FANNO POCHE E NON VOGLIONO CAMBIARE FORNITORE</v>
          </cell>
          <cell r="D1244" t="str">
            <v>VIA MOIE 38/D</v>
          </cell>
          <cell r="E1244" t="str">
            <v>25050</v>
          </cell>
          <cell r="F1244" t="str">
            <v>RODENGO SAIANO</v>
          </cell>
          <cell r="G1244" t="str">
            <v>BS</v>
          </cell>
          <cell r="H1244" t="str">
            <v>ITALIA</v>
          </cell>
          <cell r="M1244" t="str">
            <v>UFFICIO ACQUISTI</v>
          </cell>
          <cell r="N1244" t="str">
            <v>030 610169</v>
          </cell>
          <cell r="R1244" t="str">
            <v>BONIFICO BANCARIO, ALLA DATA DELLA NOSTRA CONFERMA D'ORDINE</v>
          </cell>
          <cell r="X1244">
            <v>0.25</v>
          </cell>
          <cell r="Y1244">
            <v>-0.04</v>
          </cell>
          <cell r="AB1244">
            <v>0.25</v>
          </cell>
          <cell r="AC1244">
            <v>0.25</v>
          </cell>
          <cell r="AD1244">
            <v>0.25</v>
          </cell>
          <cell r="AE1244">
            <v>0.25</v>
          </cell>
          <cell r="AF1244">
            <v>0.25</v>
          </cell>
          <cell r="AG1244">
            <v>0.25</v>
          </cell>
          <cell r="AH1244">
            <v>0.25</v>
          </cell>
          <cell r="AI1244">
            <v>0.25</v>
          </cell>
          <cell r="AJ1244">
            <v>0.25</v>
          </cell>
          <cell r="AK1244">
            <v>0.25</v>
          </cell>
          <cell r="AL1244">
            <v>0.25</v>
          </cell>
          <cell r="AM1244">
            <v>0.25</v>
          </cell>
          <cell r="AN1244">
            <v>0.25</v>
          </cell>
          <cell r="AO1244">
            <v>0.25</v>
          </cell>
          <cell r="AP1244">
            <v>0.25</v>
          </cell>
          <cell r="AQ1244">
            <v>0.25</v>
          </cell>
          <cell r="AR1244">
            <v>0.25</v>
          </cell>
          <cell r="AS1244">
            <v>0.25</v>
          </cell>
          <cell r="AT1244">
            <v>-0.04</v>
          </cell>
          <cell r="AU1244">
            <v>0.92</v>
          </cell>
          <cell r="AV1244">
            <v>20</v>
          </cell>
          <cell r="AY1244" t="str">
            <v/>
          </cell>
          <cell r="AZ1244">
            <v>0.25</v>
          </cell>
          <cell r="BA1244">
            <v>0.25</v>
          </cell>
        </row>
        <row r="1245">
          <cell r="A1245" t="str">
            <v>GOTTA MAURIZIO</v>
          </cell>
          <cell r="D1245" t="str">
            <v>VIA ROLLINO, 65R</v>
          </cell>
          <cell r="E1245">
            <v>16154</v>
          </cell>
          <cell r="F1245" t="str">
            <v>GENOVA</v>
          </cell>
          <cell r="G1245" t="str">
            <v>GE</v>
          </cell>
          <cell r="H1245" t="str">
            <v>ITALIA</v>
          </cell>
          <cell r="I1245" t="str">
            <v>GTTMR27ILILD969V</v>
          </cell>
          <cell r="J1245" t="str">
            <v>03557580101</v>
          </cell>
          <cell r="K1245" t="str">
            <v>USAL8PV</v>
          </cell>
          <cell r="M1245" t="str">
            <v>UFFICIO ACQUISTI</v>
          </cell>
          <cell r="O1245" t="str">
            <v>347 9745002</v>
          </cell>
          <cell r="P1245" t="str">
            <v>gottaserramenti@gmail.com</v>
          </cell>
          <cell r="R1245" t="str">
            <v>BONIFICO BANCARIO, ALLA DATA DELLA NOSTRA CONFERMA D'ORDINE</v>
          </cell>
          <cell r="X1245">
            <v>0.25</v>
          </cell>
          <cell r="Y1245">
            <v>-0.04</v>
          </cell>
          <cell r="AB1245">
            <v>0.25</v>
          </cell>
          <cell r="AC1245">
            <v>0.25</v>
          </cell>
          <cell r="AD1245">
            <v>0.25</v>
          </cell>
          <cell r="AE1245">
            <v>0.25</v>
          </cell>
          <cell r="AF1245">
            <v>0.25</v>
          </cell>
          <cell r="AG1245">
            <v>0.25</v>
          </cell>
          <cell r="AH1245">
            <v>0.25</v>
          </cell>
          <cell r="AI1245">
            <v>0.25</v>
          </cell>
          <cell r="AJ1245">
            <v>0.25</v>
          </cell>
          <cell r="AK1245">
            <v>0.25</v>
          </cell>
          <cell r="AL1245">
            <v>0.25</v>
          </cell>
          <cell r="AM1245">
            <v>0.25</v>
          </cell>
          <cell r="AN1245">
            <v>0.25</v>
          </cell>
          <cell r="AO1245">
            <v>0.25</v>
          </cell>
          <cell r="AP1245">
            <v>0.25</v>
          </cell>
          <cell r="AQ1245">
            <v>0.25</v>
          </cell>
          <cell r="AR1245">
            <v>0.25</v>
          </cell>
          <cell r="AS1245">
            <v>0.25</v>
          </cell>
          <cell r="AT1245">
            <v>-0.04</v>
          </cell>
          <cell r="AU1245">
            <v>0.92</v>
          </cell>
          <cell r="AV1245">
            <v>20</v>
          </cell>
          <cell r="AZ1245">
            <v>0.25</v>
          </cell>
          <cell r="BA1245">
            <v>0.25</v>
          </cell>
          <cell r="BF1245" t="str">
            <v>CLICK RAPID con carpenteria 20/10/2020</v>
          </cell>
        </row>
        <row r="1246">
          <cell r="A1246" t="str">
            <v>GR SERRAMENTI SNC DI ROBERTO FERRANTI</v>
          </cell>
          <cell r="B1246" t="str">
            <v>CHIEDE PREVENTIVO</v>
          </cell>
          <cell r="D1246" t="str">
            <v>VIA MOLINO A VENTO 67 A</v>
          </cell>
          <cell r="F1246" t="str">
            <v>TRIESTE</v>
          </cell>
          <cell r="G1246" t="str">
            <v>TS</v>
          </cell>
          <cell r="H1246" t="str">
            <v>ITALIA</v>
          </cell>
          <cell r="J1246" t="str">
            <v>01277700322</v>
          </cell>
          <cell r="M1246" t="str">
            <v>UFFICIO ACQUISTI</v>
          </cell>
          <cell r="N1246" t="str">
            <v>040 772821</v>
          </cell>
          <cell r="O1246" t="str">
            <v>347 3579321</v>
          </cell>
          <cell r="P1246" t="str">
            <v>gr.serramentisnc@gmail.com</v>
          </cell>
          <cell r="R1246" t="str">
            <v>BONIFICO BANCARIO, ALLA DATA DELLA NOSTRA CONFERMA D'ORDINE</v>
          </cell>
          <cell r="X1246">
            <v>0.25</v>
          </cell>
          <cell r="Y1246">
            <v>-0.04</v>
          </cell>
          <cell r="AB1246">
            <v>0.25</v>
          </cell>
          <cell r="AC1246">
            <v>0.25</v>
          </cell>
          <cell r="AD1246">
            <v>0.25</v>
          </cell>
          <cell r="AE1246">
            <v>0.25</v>
          </cell>
          <cell r="AF1246">
            <v>0.25</v>
          </cell>
          <cell r="AG1246">
            <v>0.25</v>
          </cell>
          <cell r="AH1246">
            <v>0.25</v>
          </cell>
          <cell r="AI1246">
            <v>0.25</v>
          </cell>
          <cell r="AJ1246">
            <v>0.25</v>
          </cell>
          <cell r="AK1246">
            <v>0.25</v>
          </cell>
          <cell r="AL1246">
            <v>0.25</v>
          </cell>
          <cell r="AM1246">
            <v>0.25</v>
          </cell>
          <cell r="AN1246">
            <v>0.25</v>
          </cell>
          <cell r="AO1246">
            <v>0.25</v>
          </cell>
          <cell r="AP1246">
            <v>0.25</v>
          </cell>
          <cell r="AQ1246">
            <v>0.25</v>
          </cell>
          <cell r="AR1246">
            <v>0.25</v>
          </cell>
          <cell r="AS1246">
            <v>0.25</v>
          </cell>
          <cell r="AT1246">
            <v>-0.04</v>
          </cell>
          <cell r="AU1246">
            <v>0.92</v>
          </cell>
          <cell r="AV1246">
            <v>20</v>
          </cell>
          <cell r="AZ1246">
            <v>0.25</v>
          </cell>
          <cell r="BA1246">
            <v>0.25</v>
          </cell>
        </row>
        <row r="1247">
          <cell r="A1247" t="str">
            <v>GR. SERRAMENTI SNC</v>
          </cell>
          <cell r="D1247" t="str">
            <v>VIA MOLINO VENETO, 67A</v>
          </cell>
          <cell r="E1247" t="str">
            <v>34137</v>
          </cell>
          <cell r="F1247" t="str">
            <v>TRIESTE</v>
          </cell>
          <cell r="G1247" t="str">
            <v>TS</v>
          </cell>
          <cell r="H1247" t="str">
            <v>ITALIA</v>
          </cell>
          <cell r="J1247" t="str">
            <v>01277700322</v>
          </cell>
          <cell r="M1247" t="str">
            <v>UFFICIO ACQUISTI</v>
          </cell>
          <cell r="N1247" t="str">
            <v>040 772821</v>
          </cell>
          <cell r="P1247" t="str">
            <v>gr.serramentisnc@gmail.com</v>
          </cell>
          <cell r="R1247" t="str">
            <v>BONIFICO BANCARIO, ALLA DATA DELLA NOSTRA CONFERMA D'ORDINE</v>
          </cell>
          <cell r="X1247">
            <v>0.25</v>
          </cell>
          <cell r="Y1247">
            <v>-0.04</v>
          </cell>
          <cell r="AB1247">
            <v>0.25</v>
          </cell>
          <cell r="AC1247">
            <v>0.25</v>
          </cell>
          <cell r="AD1247">
            <v>0.25</v>
          </cell>
          <cell r="AE1247">
            <v>0.25</v>
          </cell>
          <cell r="AF1247">
            <v>0.25</v>
          </cell>
          <cell r="AG1247">
            <v>0.25</v>
          </cell>
          <cell r="AH1247">
            <v>0.25</v>
          </cell>
          <cell r="AI1247">
            <v>0.25</v>
          </cell>
          <cell r="AJ1247">
            <v>0.25</v>
          </cell>
          <cell r="AK1247">
            <v>0.25</v>
          </cell>
          <cell r="AL1247">
            <v>0.25</v>
          </cell>
          <cell r="AM1247">
            <v>0.25</v>
          </cell>
          <cell r="AN1247">
            <v>0.25</v>
          </cell>
          <cell r="AO1247">
            <v>0.25</v>
          </cell>
          <cell r="AP1247">
            <v>0.25</v>
          </cell>
          <cell r="AQ1247">
            <v>0.25</v>
          </cell>
          <cell r="AR1247">
            <v>0.25</v>
          </cell>
          <cell r="AS1247">
            <v>0.25</v>
          </cell>
          <cell r="AT1247">
            <v>-0.04</v>
          </cell>
          <cell r="AU1247">
            <v>0.92</v>
          </cell>
          <cell r="AV1247">
            <v>20</v>
          </cell>
          <cell r="AZ1247">
            <v>0.25</v>
          </cell>
          <cell r="BA1247">
            <v>0.25</v>
          </cell>
        </row>
        <row r="1248">
          <cell r="A1248" t="str">
            <v>GREEN SERVICE</v>
          </cell>
          <cell r="D1248" t="str">
            <v>UL. T. KOSCIUSZKI 5</v>
          </cell>
          <cell r="E1248" t="str">
            <v>59-300</v>
          </cell>
          <cell r="F1248" t="str">
            <v>LUBIN</v>
          </cell>
          <cell r="H1248" t="str">
            <v>POLONIA</v>
          </cell>
          <cell r="J1248" t="str">
            <v>PL8982055141</v>
          </cell>
          <cell r="K1248" t="str">
            <v>XXXXXXX</v>
          </cell>
          <cell r="M1248" t="str">
            <v>UFFICIO ACQUISTI</v>
          </cell>
          <cell r="N1248">
            <v>48717160204</v>
          </cell>
          <cell r="P1248" t="str">
            <v>magdalena.herejczak@greenservice.pl</v>
          </cell>
          <cell r="R1248" t="str">
            <v>BONIFICO BANCARIO, ALLA DATA DELLA NOSTRA CONFERMA D'ORDINE</v>
          </cell>
          <cell r="X1248">
            <v>0.1</v>
          </cell>
          <cell r="AB1248">
            <v>0.1</v>
          </cell>
          <cell r="AC1248">
            <v>0.1</v>
          </cell>
          <cell r="AD1248">
            <v>0.1</v>
          </cell>
          <cell r="AE1248">
            <v>0.1</v>
          </cell>
          <cell r="AF1248">
            <v>0.1</v>
          </cell>
          <cell r="AG1248">
            <v>0.1</v>
          </cell>
          <cell r="AH1248">
            <v>0.1</v>
          </cell>
          <cell r="AI1248">
            <v>0.1</v>
          </cell>
          <cell r="AJ1248">
            <v>0.1</v>
          </cell>
          <cell r="AK1248">
            <v>0.1</v>
          </cell>
          <cell r="AL1248">
            <v>0.1</v>
          </cell>
          <cell r="AM1248">
            <v>0.1</v>
          </cell>
          <cell r="AN1248">
            <v>0.1</v>
          </cell>
          <cell r="AO1248">
            <v>0.1</v>
          </cell>
          <cell r="AP1248">
            <v>0.1</v>
          </cell>
          <cell r="AQ1248">
            <v>0.1</v>
          </cell>
          <cell r="AR1248">
            <v>0.1</v>
          </cell>
          <cell r="AS1248">
            <v>0.1</v>
          </cell>
          <cell r="AU1248">
            <v>0.77</v>
          </cell>
          <cell r="AV1248">
            <v>23</v>
          </cell>
          <cell r="AZ1248">
            <v>0.1</v>
          </cell>
          <cell r="BA1248">
            <v>0.1</v>
          </cell>
          <cell r="BF1248" t="str">
            <v>CLICK RAPID senza espositore 02/12/2022 - MODERNA con espositore 19/04/2023 - MODU con espositore 19/04/2023 - PIANTONE ROMPITRATTA 19/04/2023</v>
          </cell>
        </row>
        <row r="1249">
          <cell r="A1249" t="str">
            <v>GRONCHI S.R.L.</v>
          </cell>
          <cell r="D1249" t="str">
            <v>VIA EDISON, 110</v>
          </cell>
          <cell r="E1249">
            <v>20019</v>
          </cell>
          <cell r="F1249" t="str">
            <v>SETTIMO MILANESE</v>
          </cell>
          <cell r="G1249" t="str">
            <v>MI</v>
          </cell>
          <cell r="H1249" t="str">
            <v>ITALIA</v>
          </cell>
          <cell r="J1249" t="str">
            <v>12254320158</v>
          </cell>
          <cell r="K1249" t="str">
            <v>KUPCRMI</v>
          </cell>
          <cell r="M1249" t="str">
            <v>UFFICIO ACQUISTI</v>
          </cell>
          <cell r="N1249" t="str">
            <v>02 4890856</v>
          </cell>
          <cell r="O1249" t="str">
            <v>348 7011251</v>
          </cell>
          <cell r="P1249" t="str">
            <v>agronchi@gronchi.it</v>
          </cell>
          <cell r="R1249" t="str">
            <v>BONIFICO BANCARIO, ALLA DATA DELLA NOSTRA CONFERMA D'ORDINE</v>
          </cell>
          <cell r="X1249">
            <v>0.25</v>
          </cell>
          <cell r="Y1249">
            <v>-0.04</v>
          </cell>
          <cell r="AB1249">
            <v>0.25</v>
          </cell>
          <cell r="AC1249">
            <v>0.25</v>
          </cell>
          <cell r="AD1249">
            <v>0.25</v>
          </cell>
          <cell r="AE1249">
            <v>0.25</v>
          </cell>
          <cell r="AF1249">
            <v>0.25</v>
          </cell>
          <cell r="AG1249">
            <v>0.25</v>
          </cell>
          <cell r="AH1249">
            <v>0.25</v>
          </cell>
          <cell r="AI1249">
            <v>0.25</v>
          </cell>
          <cell r="AJ1249">
            <v>0.25</v>
          </cell>
          <cell r="AK1249">
            <v>0.25</v>
          </cell>
          <cell r="AL1249">
            <v>0.25</v>
          </cell>
          <cell r="AM1249">
            <v>0.25</v>
          </cell>
          <cell r="AN1249">
            <v>0.25</v>
          </cell>
          <cell r="AO1249">
            <v>0.25</v>
          </cell>
          <cell r="AP1249">
            <v>0.25</v>
          </cell>
          <cell r="AQ1249">
            <v>0.25</v>
          </cell>
          <cell r="AR1249">
            <v>0.25</v>
          </cell>
          <cell r="AS1249">
            <v>0.25</v>
          </cell>
          <cell r="AT1249">
            <v>-0.04</v>
          </cell>
          <cell r="AU1249">
            <v>0.92</v>
          </cell>
          <cell r="AV1249">
            <v>20</v>
          </cell>
          <cell r="AY1249" t="str">
            <v/>
          </cell>
          <cell r="AZ1249">
            <v>0.25</v>
          </cell>
          <cell r="BA1249">
            <v>0.25</v>
          </cell>
          <cell r="BF1249" t="str">
            <v xml:space="preserve"> CLICK RAPID senza carpenteria 05/06/2020</v>
          </cell>
        </row>
        <row r="1250">
          <cell r="A1250" t="str">
            <v>GRONDAL SYSTEM DI GAGLIANO NATALE</v>
          </cell>
          <cell r="D1250" t="str">
            <v>CONTRADA CROCIATE, 22</v>
          </cell>
          <cell r="F1250" t="str">
            <v>NICOSIA</v>
          </cell>
          <cell r="G1250" t="str">
            <v>EN</v>
          </cell>
          <cell r="H1250" t="str">
            <v>ITALIA</v>
          </cell>
          <cell r="M1250" t="str">
            <v>UFFICIO ACQUISTI</v>
          </cell>
          <cell r="N1250" t="str">
            <v>0935 647188</v>
          </cell>
          <cell r="R1250" t="str">
            <v>BONIFICO BANCARIO, ALLA DATA DELLA NOSTRA CONFERMA D'ORDINE</v>
          </cell>
          <cell r="X1250">
            <v>0.25</v>
          </cell>
          <cell r="Y1250">
            <v>-0.04</v>
          </cell>
          <cell r="AB1250">
            <v>0.25</v>
          </cell>
          <cell r="AC1250">
            <v>0.25</v>
          </cell>
          <cell r="AD1250">
            <v>0.25</v>
          </cell>
          <cell r="AE1250">
            <v>0.25</v>
          </cell>
          <cell r="AF1250">
            <v>0.25</v>
          </cell>
          <cell r="AG1250">
            <v>0.25</v>
          </cell>
          <cell r="AH1250">
            <v>0.25</v>
          </cell>
          <cell r="AI1250">
            <v>0.25</v>
          </cell>
          <cell r="AJ1250">
            <v>0.25</v>
          </cell>
          <cell r="AK1250">
            <v>0.25</v>
          </cell>
          <cell r="AL1250">
            <v>0.25</v>
          </cell>
          <cell r="AM1250">
            <v>0.25</v>
          </cell>
          <cell r="AN1250">
            <v>0.25</v>
          </cell>
          <cell r="AO1250">
            <v>0.25</v>
          </cell>
          <cell r="AP1250">
            <v>0.25</v>
          </cell>
          <cell r="AQ1250">
            <v>0.25</v>
          </cell>
          <cell r="AR1250">
            <v>0.25</v>
          </cell>
          <cell r="AS1250">
            <v>0.25</v>
          </cell>
          <cell r="AT1250">
            <v>-0.04</v>
          </cell>
          <cell r="AU1250">
            <v>0.92</v>
          </cell>
          <cell r="AV1250">
            <v>20</v>
          </cell>
          <cell r="AY1250" t="str">
            <v/>
          </cell>
          <cell r="AZ1250">
            <v>0.25</v>
          </cell>
          <cell r="BA1250">
            <v>0.25</v>
          </cell>
        </row>
        <row r="1251">
          <cell r="A1251" t="str">
            <v>GROSSO Serramenti S.R.L.</v>
          </cell>
          <cell r="D1251" t="str">
            <v>VIA MOROZZA,  47</v>
          </cell>
          <cell r="E1251">
            <v>12016</v>
          </cell>
          <cell r="F1251" t="str">
            <v>PEVERAGNO</v>
          </cell>
          <cell r="G1251" t="str">
            <v>CN</v>
          </cell>
          <cell r="H1251" t="str">
            <v>ITALIA</v>
          </cell>
          <cell r="J1251" t="str">
            <v>01810590040</v>
          </cell>
          <cell r="M1251" t="str">
            <v>UFFICIO ACQUISTI</v>
          </cell>
          <cell r="N1251" t="str">
            <v>0171 383095</v>
          </cell>
          <cell r="P1251" t="str">
            <v>info@grossoserramenti.it</v>
          </cell>
          <cell r="R1251" t="str">
            <v>BONIFICO BANCARIO, ALLA DATA DELLA NOSTRA CONFERMA D'ORDINE</v>
          </cell>
          <cell r="X1251">
            <v>0.25</v>
          </cell>
          <cell r="Y1251">
            <v>-0.04</v>
          </cell>
          <cell r="AB1251">
            <v>0.25</v>
          </cell>
          <cell r="AC1251">
            <v>0.25</v>
          </cell>
          <cell r="AD1251">
            <v>0.25</v>
          </cell>
          <cell r="AE1251">
            <v>0.25</v>
          </cell>
          <cell r="AF1251">
            <v>0.25</v>
          </cell>
          <cell r="AG1251">
            <v>0.25</v>
          </cell>
          <cell r="AH1251">
            <v>0.25</v>
          </cell>
          <cell r="AI1251">
            <v>0.25</v>
          </cell>
          <cell r="AJ1251">
            <v>0.25</v>
          </cell>
          <cell r="AK1251">
            <v>0.25</v>
          </cell>
          <cell r="AL1251">
            <v>0.25</v>
          </cell>
          <cell r="AM1251">
            <v>0.25</v>
          </cell>
          <cell r="AN1251">
            <v>0.25</v>
          </cell>
          <cell r="AO1251">
            <v>0.25</v>
          </cell>
          <cell r="AP1251">
            <v>0.25</v>
          </cell>
          <cell r="AQ1251">
            <v>0.25</v>
          </cell>
          <cell r="AR1251">
            <v>0.25</v>
          </cell>
          <cell r="AS1251">
            <v>0.25</v>
          </cell>
          <cell r="AT1251">
            <v>-0.04</v>
          </cell>
          <cell r="AU1251">
            <v>0.92</v>
          </cell>
          <cell r="AV1251">
            <v>20</v>
          </cell>
          <cell r="AY1251" t="str">
            <v/>
          </cell>
          <cell r="AZ1251">
            <v>0.25</v>
          </cell>
          <cell r="BA1251">
            <v>0.25</v>
          </cell>
        </row>
        <row r="1252">
          <cell r="A1252" t="str">
            <v>GRUBEN</v>
          </cell>
          <cell r="D1252" t="str">
            <v>VIA NETTUNENSE, KM 7,800</v>
          </cell>
          <cell r="E1252" t="str">
            <v>00040</v>
          </cell>
          <cell r="F1252" t="str">
            <v>ARICCIA</v>
          </cell>
          <cell r="G1252" t="str">
            <v>RM</v>
          </cell>
          <cell r="H1252" t="str">
            <v>ITALIA</v>
          </cell>
          <cell r="M1252" t="str">
            <v>UFFICIO ACQUISTI</v>
          </cell>
          <cell r="N1252" t="str">
            <v>06 9342005</v>
          </cell>
          <cell r="O1252" t="str">
            <v>337 788231 -  336 783695 - 335 8411135</v>
          </cell>
          <cell r="P1252" t="str">
            <v>info@gruben.com</v>
          </cell>
          <cell r="R1252" t="str">
            <v>BONIFICO BANCARIO, ALLA DATA DELLA NOSTRA CONFERMA D'ORDINE</v>
          </cell>
          <cell r="X1252">
            <v>0.2</v>
          </cell>
          <cell r="Y1252">
            <v>-0.04</v>
          </cell>
          <cell r="AB1252">
            <v>0.2</v>
          </cell>
          <cell r="AC1252">
            <v>0.2</v>
          </cell>
          <cell r="AD1252">
            <v>0.2</v>
          </cell>
          <cell r="AE1252">
            <v>0.2</v>
          </cell>
          <cell r="AF1252">
            <v>0.2</v>
          </cell>
          <cell r="AG1252">
            <v>0.2</v>
          </cell>
          <cell r="AH1252">
            <v>0.2</v>
          </cell>
          <cell r="AI1252">
            <v>0.2</v>
          </cell>
          <cell r="AJ1252">
            <v>0.2</v>
          </cell>
          <cell r="AK1252">
            <v>0.2</v>
          </cell>
          <cell r="AL1252">
            <v>0.2</v>
          </cell>
          <cell r="AM1252">
            <v>0.2</v>
          </cell>
          <cell r="AN1252">
            <v>0.2</v>
          </cell>
          <cell r="AO1252">
            <v>0.2</v>
          </cell>
          <cell r="AP1252">
            <v>0.2</v>
          </cell>
          <cell r="AQ1252">
            <v>0.2</v>
          </cell>
          <cell r="AR1252">
            <v>0.2</v>
          </cell>
          <cell r="AS1252">
            <v>0.2</v>
          </cell>
          <cell r="AT1252">
            <v>-0.04</v>
          </cell>
          <cell r="AU1252">
            <v>0.92</v>
          </cell>
          <cell r="AV1252">
            <v>20</v>
          </cell>
          <cell r="AZ1252">
            <v>0.2</v>
          </cell>
          <cell r="BA1252">
            <v>0.2</v>
          </cell>
        </row>
        <row r="1253">
          <cell r="A1253" t="str">
            <v>GRUPPO AERRE SOCIETA' COOPERATIVA</v>
          </cell>
          <cell r="B1253" t="str">
            <v>FOTO E FILMATI ROSARIA VITALE - VINCENZO ALMERICO</v>
          </cell>
          <cell r="D1253" t="str">
            <v>VIA GIOVANNI VERGA, 1 B</v>
          </cell>
          <cell r="E1253">
            <v>90049</v>
          </cell>
          <cell r="F1253" t="str">
            <v>TERRASINI</v>
          </cell>
          <cell r="G1253" t="str">
            <v>PA</v>
          </cell>
          <cell r="H1253" t="str">
            <v>ITALIA</v>
          </cell>
          <cell r="J1253" t="str">
            <v>06456450821</v>
          </cell>
          <cell r="K1253" t="str">
            <v>LX4UQQ5</v>
          </cell>
          <cell r="M1253" t="str">
            <v>UFFICIO ACQUISTI</v>
          </cell>
          <cell r="N1253" t="str">
            <v>091 2730010</v>
          </cell>
          <cell r="P1253" t="str">
            <v>info@gruppoaerre.it</v>
          </cell>
          <cell r="R1253" t="str">
            <v>BONIFICO BANCARIO, ALLA DATA DELLA NOSTRA CONFERMA D'ORDINE</v>
          </cell>
          <cell r="X1253">
            <v>0.25</v>
          </cell>
          <cell r="Y1253">
            <v>-0.04</v>
          </cell>
          <cell r="AB1253">
            <v>0.25</v>
          </cell>
          <cell r="AC1253">
            <v>0.25</v>
          </cell>
          <cell r="AD1253">
            <v>0.25</v>
          </cell>
          <cell r="AE1253">
            <v>0.25</v>
          </cell>
          <cell r="AF1253">
            <v>0.25</v>
          </cell>
          <cell r="AG1253">
            <v>0.25</v>
          </cell>
          <cell r="AH1253">
            <v>0.25</v>
          </cell>
          <cell r="AI1253">
            <v>0.25</v>
          </cell>
          <cell r="AJ1253">
            <v>0.25</v>
          </cell>
          <cell r="AK1253">
            <v>0.25</v>
          </cell>
          <cell r="AL1253">
            <v>0.25</v>
          </cell>
          <cell r="AM1253">
            <v>0.25</v>
          </cell>
          <cell r="AN1253">
            <v>0.25</v>
          </cell>
          <cell r="AO1253">
            <v>0.25</v>
          </cell>
          <cell r="AP1253">
            <v>0.25</v>
          </cell>
          <cell r="AQ1253">
            <v>0.25</v>
          </cell>
          <cell r="AR1253">
            <v>0.25</v>
          </cell>
          <cell r="AS1253">
            <v>0.25</v>
          </cell>
          <cell r="AT1253">
            <v>-0.04</v>
          </cell>
          <cell r="AU1253">
            <v>0.92</v>
          </cell>
          <cell r="AV1253">
            <v>20</v>
          </cell>
          <cell r="AY1253" t="str">
            <v/>
          </cell>
          <cell r="AZ1253">
            <v>0.25</v>
          </cell>
          <cell r="BA1253">
            <v>0.25</v>
          </cell>
        </row>
        <row r="1254">
          <cell r="A1254" t="str">
            <v xml:space="preserve">GRUPPO EDF SERRAMENTI </v>
          </cell>
          <cell r="D1254" t="str">
            <v>VIA SALVO D'ACQUISTO, 5  7</v>
          </cell>
          <cell r="E1254">
            <v>37036</v>
          </cell>
          <cell r="F1254" t="str">
            <v>SAN MARTINO B.A.</v>
          </cell>
          <cell r="G1254" t="str">
            <v>VR</v>
          </cell>
          <cell r="H1254" t="str">
            <v>ITALIA</v>
          </cell>
          <cell r="I1254" t="str">
            <v>DLFDGI66R03L781Z</v>
          </cell>
          <cell r="J1254" t="str">
            <v>04006880233</v>
          </cell>
          <cell r="M1254" t="str">
            <v>UFFICIO ACQUISTI</v>
          </cell>
          <cell r="N1254" t="str">
            <v>045 992119</v>
          </cell>
          <cell r="P1254" t="str">
            <v>info@edfserramenti.it</v>
          </cell>
          <cell r="R1254" t="str">
            <v>BONIFICO BANCARIO, ALLA DATA DELLA NOSTRA CONFERMA D'ORDINE</v>
          </cell>
          <cell r="X1254">
            <v>0.25</v>
          </cell>
          <cell r="Y1254">
            <v>-0.04</v>
          </cell>
          <cell r="AB1254">
            <v>0.25</v>
          </cell>
          <cell r="AC1254">
            <v>0.25</v>
          </cell>
          <cell r="AD1254">
            <v>0.25</v>
          </cell>
          <cell r="AE1254">
            <v>0.25</v>
          </cell>
          <cell r="AF1254">
            <v>0.25</v>
          </cell>
          <cell r="AG1254">
            <v>0.25</v>
          </cell>
          <cell r="AH1254">
            <v>0.25</v>
          </cell>
          <cell r="AI1254">
            <v>0.25</v>
          </cell>
          <cell r="AJ1254">
            <v>0.25</v>
          </cell>
          <cell r="AK1254">
            <v>0.25</v>
          </cell>
          <cell r="AL1254">
            <v>0.25</v>
          </cell>
          <cell r="AM1254">
            <v>0.25</v>
          </cell>
          <cell r="AN1254">
            <v>0.25</v>
          </cell>
          <cell r="AO1254">
            <v>0.25</v>
          </cell>
          <cell r="AP1254">
            <v>0.25</v>
          </cell>
          <cell r="AQ1254">
            <v>0.25</v>
          </cell>
          <cell r="AR1254">
            <v>0.25</v>
          </cell>
          <cell r="AS1254">
            <v>0.25</v>
          </cell>
          <cell r="AT1254">
            <v>-0.04</v>
          </cell>
          <cell r="AU1254">
            <v>0.92</v>
          </cell>
          <cell r="AV1254">
            <v>20</v>
          </cell>
          <cell r="AY1254" t="str">
            <v/>
          </cell>
          <cell r="AZ1254">
            <v>0.25</v>
          </cell>
          <cell r="BA1254">
            <v>0.25</v>
          </cell>
        </row>
        <row r="1255">
          <cell r="A1255" t="str">
            <v>GRUPPO FINESTRE SERRAMENTI VERONA S.R.L.</v>
          </cell>
          <cell r="D1255" t="str">
            <v>VIA MOLINA, 18</v>
          </cell>
          <cell r="E1255">
            <v>37060</v>
          </cell>
          <cell r="F1255" t="str">
            <v>SONA</v>
          </cell>
          <cell r="G1255" t="str">
            <v>VR</v>
          </cell>
          <cell r="H1255" t="str">
            <v>ITALIA</v>
          </cell>
          <cell r="J1255" t="str">
            <v>03011670233</v>
          </cell>
          <cell r="M1255" t="str">
            <v>UFFICIO ACQUISTI</v>
          </cell>
          <cell r="N1255" t="str">
            <v>045 6020636</v>
          </cell>
          <cell r="P1255" t="str">
            <v>verona@gruppofinestre.it</v>
          </cell>
          <cell r="R1255" t="str">
            <v>BONIFICO BANCARIO, ALLA DATA DELLA NOSTRA CONFERMA D'ORDINE</v>
          </cell>
          <cell r="X1255">
            <v>0.25</v>
          </cell>
          <cell r="Y1255">
            <v>-0.04</v>
          </cell>
          <cell r="AB1255">
            <v>0.25</v>
          </cell>
          <cell r="AC1255">
            <v>0.25</v>
          </cell>
          <cell r="AD1255">
            <v>0.25</v>
          </cell>
          <cell r="AE1255">
            <v>0.25</v>
          </cell>
          <cell r="AF1255">
            <v>0.25</v>
          </cell>
          <cell r="AG1255">
            <v>0.25</v>
          </cell>
          <cell r="AH1255">
            <v>0.25</v>
          </cell>
          <cell r="AI1255">
            <v>0.25</v>
          </cell>
          <cell r="AJ1255">
            <v>0.25</v>
          </cell>
          <cell r="AK1255">
            <v>0.25</v>
          </cell>
          <cell r="AL1255">
            <v>0.25</v>
          </cell>
          <cell r="AM1255">
            <v>0.25</v>
          </cell>
          <cell r="AN1255">
            <v>0.25</v>
          </cell>
          <cell r="AO1255">
            <v>0.25</v>
          </cell>
          <cell r="AP1255">
            <v>0.25</v>
          </cell>
          <cell r="AQ1255">
            <v>0.25</v>
          </cell>
          <cell r="AR1255">
            <v>0.25</v>
          </cell>
          <cell r="AS1255">
            <v>0.25</v>
          </cell>
          <cell r="AT1255">
            <v>-0.04</v>
          </cell>
          <cell r="AU1255">
            <v>0.92</v>
          </cell>
          <cell r="AV1255">
            <v>20</v>
          </cell>
          <cell r="AY1255" t="str">
            <v/>
          </cell>
          <cell r="AZ1255">
            <v>0.25</v>
          </cell>
          <cell r="BA1255">
            <v>0.25</v>
          </cell>
        </row>
        <row r="1256">
          <cell r="A1256" t="str">
            <v>GRUPPO SECURMETRA SRL</v>
          </cell>
          <cell r="D1256" t="str">
            <v>VIA TRIPOLI 120</v>
          </cell>
          <cell r="E1256" t="str">
            <v>00199</v>
          </cell>
          <cell r="F1256" t="str">
            <v>ROMA</v>
          </cell>
          <cell r="G1256" t="str">
            <v>RM</v>
          </cell>
          <cell r="H1256" t="str">
            <v>ITALIA</v>
          </cell>
          <cell r="M1256" t="str">
            <v>UFFICIO ACQUISTI</v>
          </cell>
          <cell r="N1256" t="str">
            <v>06 86210637</v>
          </cell>
          <cell r="O1256" t="str">
            <v>393 9449290</v>
          </cell>
          <cell r="P1256" t="str">
            <v>stefanostellato@securmetra.it</v>
          </cell>
          <cell r="R1256" t="str">
            <v>BONIFICO BANCARIO, ALLA DATA DELLA NOSTRA CONFERMA D'ORDINE</v>
          </cell>
          <cell r="X1256">
            <v>0.25</v>
          </cell>
          <cell r="Y1256">
            <v>-0.04</v>
          </cell>
          <cell r="AB1256">
            <v>0.25</v>
          </cell>
          <cell r="AC1256">
            <v>0.25</v>
          </cell>
          <cell r="AD1256">
            <v>0.25</v>
          </cell>
          <cell r="AE1256">
            <v>0.25</v>
          </cell>
          <cell r="AF1256">
            <v>0.25</v>
          </cell>
          <cell r="AG1256">
            <v>0.25</v>
          </cell>
          <cell r="AH1256">
            <v>0.25</v>
          </cell>
          <cell r="AI1256">
            <v>0.25</v>
          </cell>
          <cell r="AJ1256">
            <v>0.25</v>
          </cell>
          <cell r="AK1256">
            <v>0.25</v>
          </cell>
          <cell r="AL1256">
            <v>0.25</v>
          </cell>
          <cell r="AM1256">
            <v>0.25</v>
          </cell>
          <cell r="AN1256">
            <v>0.25</v>
          </cell>
          <cell r="AO1256">
            <v>0.25</v>
          </cell>
          <cell r="AP1256">
            <v>0.25</v>
          </cell>
          <cell r="AQ1256">
            <v>0.25</v>
          </cell>
          <cell r="AR1256">
            <v>0.25</v>
          </cell>
          <cell r="AS1256">
            <v>0.25</v>
          </cell>
          <cell r="AT1256">
            <v>-0.04</v>
          </cell>
          <cell r="AU1256">
            <v>0.92</v>
          </cell>
          <cell r="AV1256">
            <v>20</v>
          </cell>
          <cell r="AY1256" t="str">
            <v/>
          </cell>
          <cell r="AZ1256">
            <v>0.25</v>
          </cell>
          <cell r="BA1256">
            <v>0.25</v>
          </cell>
        </row>
        <row r="1257">
          <cell r="A1257" t="str">
            <v>GRUPPO TABOGA</v>
          </cell>
          <cell r="B1257" t="str">
            <v>EDILE</v>
          </cell>
          <cell r="D1257" t="str">
            <v>PIAZZALE UDINE, 2</v>
          </cell>
          <cell r="E1257" t="str">
            <v>33050</v>
          </cell>
          <cell r="F1257" t="str">
            <v>MORTEGLIANO</v>
          </cell>
          <cell r="G1257" t="str">
            <v>UD</v>
          </cell>
          <cell r="H1257" t="str">
            <v>ITALIA</v>
          </cell>
          <cell r="M1257" t="str">
            <v>UFFICIO ACQUISTI</v>
          </cell>
          <cell r="N1257" t="str">
            <v>0432 760126</v>
          </cell>
          <cell r="P1257" t="str">
            <v>info@gruppotaboga.it</v>
          </cell>
          <cell r="R1257" t="str">
            <v>BONIFICO BANCARIO, ALLA DATA DELLA NOSTRA CONFERMA D'ORDINE</v>
          </cell>
          <cell r="X1257">
            <v>0</v>
          </cell>
          <cell r="Y1257">
            <v>-0.04</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cell r="AO1257">
            <v>0</v>
          </cell>
          <cell r="AP1257">
            <v>0</v>
          </cell>
          <cell r="AQ1257">
            <v>0</v>
          </cell>
          <cell r="AR1257">
            <v>0</v>
          </cell>
          <cell r="AS1257">
            <v>0</v>
          </cell>
          <cell r="AT1257">
            <v>-0.04</v>
          </cell>
          <cell r="AU1257">
            <v>0.92</v>
          </cell>
          <cell r="AV1257">
            <v>20</v>
          </cell>
          <cell r="AZ1257">
            <v>0</v>
          </cell>
          <cell r="BA1257">
            <v>0</v>
          </cell>
        </row>
        <row r="1258">
          <cell r="A1258" t="str">
            <v>GS ALLUMINIO</v>
          </cell>
          <cell r="D1258" t="str">
            <v>StRADA PRAI, 4</v>
          </cell>
          <cell r="E1258">
            <v>17031</v>
          </cell>
          <cell r="F1258" t="str">
            <v>LECA D'ALBENGA</v>
          </cell>
          <cell r="G1258" t="str">
            <v>SV</v>
          </cell>
          <cell r="H1258" t="str">
            <v>ITALIA</v>
          </cell>
          <cell r="J1258" t="str">
            <v>01269730097</v>
          </cell>
          <cell r="M1258" t="str">
            <v>UFFICIO ACQUISTI</v>
          </cell>
          <cell r="N1258" t="str">
            <v>0182 21865</v>
          </cell>
          <cell r="P1258" t="str">
            <v>gsalluminio@gmail.com</v>
          </cell>
          <cell r="R1258" t="str">
            <v>BONIFICO BANCARIO, ALLA DATA DELLA NOSTRA CONFERMA D'ORDINE</v>
          </cell>
          <cell r="W1258" t="str">
            <v>ACQUA SALATA</v>
          </cell>
          <cell r="X1258">
            <v>0.25</v>
          </cell>
          <cell r="Y1258">
            <v>-0.04</v>
          </cell>
          <cell r="AB1258">
            <v>0.25</v>
          </cell>
          <cell r="AC1258">
            <v>0.25</v>
          </cell>
          <cell r="AD1258">
            <v>0.25</v>
          </cell>
          <cell r="AE1258">
            <v>0.25</v>
          </cell>
          <cell r="AF1258">
            <v>0.25</v>
          </cell>
          <cell r="AG1258">
            <v>0.25</v>
          </cell>
          <cell r="AH1258">
            <v>0.25</v>
          </cell>
          <cell r="AI1258">
            <v>0.25</v>
          </cell>
          <cell r="AJ1258">
            <v>0.25</v>
          </cell>
          <cell r="AK1258">
            <v>0.25</v>
          </cell>
          <cell r="AL1258">
            <v>0.25</v>
          </cell>
          <cell r="AM1258">
            <v>0.25</v>
          </cell>
          <cell r="AN1258">
            <v>0.25</v>
          </cell>
          <cell r="AO1258">
            <v>0.25</v>
          </cell>
          <cell r="AP1258">
            <v>0.25</v>
          </cell>
          <cell r="AQ1258">
            <v>0.25</v>
          </cell>
          <cell r="AR1258">
            <v>0.25</v>
          </cell>
          <cell r="AS1258">
            <v>0.25</v>
          </cell>
          <cell r="AT1258">
            <v>-0.04</v>
          </cell>
          <cell r="AU1258">
            <v>0.92</v>
          </cell>
          <cell r="AV1258">
            <v>20</v>
          </cell>
          <cell r="AZ1258">
            <v>0.25</v>
          </cell>
          <cell r="BA1258">
            <v>0.25</v>
          </cell>
        </row>
        <row r="1259">
          <cell r="A1259" t="str">
            <v>GUBRES</v>
          </cell>
          <cell r="D1259" t="str">
            <v>VIA GARIBALDI 149/151</v>
          </cell>
          <cell r="E1259">
            <v>55045</v>
          </cell>
          <cell r="F1259" t="str">
            <v>PIETRASANTA</v>
          </cell>
          <cell r="G1259" t="str">
            <v>LU</v>
          </cell>
          <cell r="H1259" t="str">
            <v>ITALIA</v>
          </cell>
          <cell r="J1259" t="str">
            <v>01231790468</v>
          </cell>
          <cell r="M1259" t="str">
            <v>UFFICIO ACQUISTI</v>
          </cell>
          <cell r="N1259" t="str">
            <v>0584 791192</v>
          </cell>
          <cell r="O1259" t="str">
            <v>335 7173167</v>
          </cell>
          <cell r="P1259" t="str">
            <v>paologiannini@gubres.com</v>
          </cell>
          <cell r="R1259" t="str">
            <v>BONIFICO BANCARIO, ALLA DATA DELLA NOSTRA CONFERMA D'ORDINE</v>
          </cell>
          <cell r="X1259">
            <v>0.25</v>
          </cell>
          <cell r="Y1259">
            <v>-0.04</v>
          </cell>
          <cell r="AB1259">
            <v>0.25</v>
          </cell>
          <cell r="AC1259">
            <v>0.25</v>
          </cell>
          <cell r="AD1259">
            <v>0.25</v>
          </cell>
          <cell r="AE1259">
            <v>0.25</v>
          </cell>
          <cell r="AF1259">
            <v>0.25</v>
          </cell>
          <cell r="AG1259">
            <v>0.25</v>
          </cell>
          <cell r="AH1259">
            <v>0.25</v>
          </cell>
          <cell r="AI1259">
            <v>0.25</v>
          </cell>
          <cell r="AJ1259">
            <v>0.25</v>
          </cell>
          <cell r="AK1259">
            <v>0.25</v>
          </cell>
          <cell r="AL1259">
            <v>0.25</v>
          </cell>
          <cell r="AM1259">
            <v>0.25</v>
          </cell>
          <cell r="AN1259">
            <v>0.25</v>
          </cell>
          <cell r="AO1259">
            <v>0.25</v>
          </cell>
          <cell r="AP1259">
            <v>0.25</v>
          </cell>
          <cell r="AQ1259">
            <v>0.25</v>
          </cell>
          <cell r="AR1259">
            <v>0.25</v>
          </cell>
          <cell r="AS1259">
            <v>0.25</v>
          </cell>
          <cell r="AT1259">
            <v>-0.04</v>
          </cell>
          <cell r="AU1259">
            <v>0.92</v>
          </cell>
          <cell r="AV1259">
            <v>20</v>
          </cell>
          <cell r="AY1259" t="str">
            <v/>
          </cell>
          <cell r="AZ1259">
            <v>0.25</v>
          </cell>
          <cell r="BA1259">
            <v>0.25</v>
          </cell>
        </row>
        <row r="1260">
          <cell r="A1260" t="str">
            <v>GUERRA DOORS SRL</v>
          </cell>
          <cell r="B1260" t="str">
            <v>RIVENDITORE ACQUASTOP - 05/12 DICE CHE SONO MOLTO PIENI DI LAVORO. AL MASSIMO DI CHIAMARE AD APRILE</v>
          </cell>
          <cell r="D1260" t="str">
            <v>VIA MICHELANGELO 18</v>
          </cell>
          <cell r="E1260" t="str">
            <v>33019</v>
          </cell>
          <cell r="F1260" t="str">
            <v>TRICESIMO</v>
          </cell>
          <cell r="G1260" t="str">
            <v>UD</v>
          </cell>
          <cell r="H1260" t="str">
            <v>ITALIA</v>
          </cell>
          <cell r="J1260" t="str">
            <v>02094770308</v>
          </cell>
          <cell r="M1260" t="str">
            <v>UFFICIO ACQUISTI</v>
          </cell>
          <cell r="N1260" t="str">
            <v>0432 851595</v>
          </cell>
          <cell r="P1260" t="str">
            <v>info@guerradoors.it</v>
          </cell>
          <cell r="R1260" t="str">
            <v>BONIFICO BANCARIO, ALLA DATA DELLA NOSTRA CONFERMA D'ORDINE</v>
          </cell>
          <cell r="X1260">
            <v>0.25</v>
          </cell>
          <cell r="Y1260">
            <v>-0.04</v>
          </cell>
          <cell r="AB1260">
            <v>0.25</v>
          </cell>
          <cell r="AC1260">
            <v>0.25</v>
          </cell>
          <cell r="AD1260">
            <v>0.25</v>
          </cell>
          <cell r="AE1260">
            <v>0.25</v>
          </cell>
          <cell r="AF1260">
            <v>0.25</v>
          </cell>
          <cell r="AG1260">
            <v>0.25</v>
          </cell>
          <cell r="AH1260">
            <v>0.25</v>
          </cell>
          <cell r="AI1260">
            <v>0.25</v>
          </cell>
          <cell r="AJ1260">
            <v>0.25</v>
          </cell>
          <cell r="AK1260">
            <v>0.25</v>
          </cell>
          <cell r="AL1260">
            <v>0.25</v>
          </cell>
          <cell r="AM1260">
            <v>0.25</v>
          </cell>
          <cell r="AN1260">
            <v>0.25</v>
          </cell>
          <cell r="AO1260">
            <v>0.25</v>
          </cell>
          <cell r="AP1260">
            <v>0.25</v>
          </cell>
          <cell r="AQ1260">
            <v>0.25</v>
          </cell>
          <cell r="AR1260">
            <v>0.25</v>
          </cell>
          <cell r="AS1260">
            <v>0.25</v>
          </cell>
          <cell r="AT1260">
            <v>-0.04</v>
          </cell>
          <cell r="AU1260">
            <v>0.92</v>
          </cell>
          <cell r="AV1260">
            <v>20</v>
          </cell>
          <cell r="AY1260" t="str">
            <v/>
          </cell>
          <cell r="AZ1260">
            <v>0.25</v>
          </cell>
          <cell r="BA1260">
            <v>0.25</v>
          </cell>
        </row>
        <row r="1261">
          <cell r="A1261" t="str">
            <v>GUGLIELMI STORE HOUSE SRL</v>
          </cell>
          <cell r="B1261" t="str">
            <v>BUONO</v>
          </cell>
          <cell r="D1261" t="str">
            <v>VIA MARA, 18</v>
          </cell>
          <cell r="E1261" t="str">
            <v>37029</v>
          </cell>
          <cell r="F1261" t="str">
            <v>SAN PIETRO IN CARIANO</v>
          </cell>
          <cell r="G1261" t="str">
            <v>VR</v>
          </cell>
          <cell r="H1261" t="str">
            <v>ITALIA</v>
          </cell>
          <cell r="J1261" t="str">
            <v>04580310235</v>
          </cell>
          <cell r="K1261" t="str">
            <v>M5UXCR1</v>
          </cell>
          <cell r="M1261" t="str">
            <v>UFFICIO ACQUISTI</v>
          </cell>
          <cell r="N1261" t="str">
            <v>045 7701288</v>
          </cell>
          <cell r="O1261" t="str">
            <v>335 8447645 GEOM. STEFANO GUGLIELMI</v>
          </cell>
          <cell r="P1261" t="str">
            <v>stefano@guglielmiedilizia.it</v>
          </cell>
          <cell r="R1261" t="str">
            <v>BONIFICO BANCARIO, ALLA DATA DELLA NOSTRA CONFERMA D'ORDINE</v>
          </cell>
          <cell r="X1261">
            <v>0.2</v>
          </cell>
          <cell r="Y1261">
            <v>-0.04</v>
          </cell>
          <cell r="AB1261">
            <v>0.2</v>
          </cell>
          <cell r="AC1261">
            <v>0.2</v>
          </cell>
          <cell r="AD1261">
            <v>0.2</v>
          </cell>
          <cell r="AE1261">
            <v>0.2</v>
          </cell>
          <cell r="AF1261">
            <v>0.2</v>
          </cell>
          <cell r="AG1261">
            <v>0.2</v>
          </cell>
          <cell r="AH1261">
            <v>0.2</v>
          </cell>
          <cell r="AI1261">
            <v>0.2</v>
          </cell>
          <cell r="AJ1261">
            <v>0.2</v>
          </cell>
          <cell r="AK1261">
            <v>0.2</v>
          </cell>
          <cell r="AL1261">
            <v>0.2</v>
          </cell>
          <cell r="AM1261">
            <v>0.2</v>
          </cell>
          <cell r="AN1261">
            <v>0.2</v>
          </cell>
          <cell r="AO1261">
            <v>0.2</v>
          </cell>
          <cell r="AP1261">
            <v>0.2</v>
          </cell>
          <cell r="AQ1261">
            <v>0.2</v>
          </cell>
          <cell r="AR1261">
            <v>0.2</v>
          </cell>
          <cell r="AS1261">
            <v>0.2</v>
          </cell>
          <cell r="AT1261">
            <v>-0.04</v>
          </cell>
          <cell r="AU1261">
            <v>0.92</v>
          </cell>
          <cell r="AV1261">
            <v>20</v>
          </cell>
          <cell r="AZ1261">
            <v>0.2</v>
          </cell>
          <cell r="BA1261">
            <v>0.2</v>
          </cell>
        </row>
        <row r="1262">
          <cell r="A1262" t="str">
            <v>GULLIFER SRL</v>
          </cell>
          <cell r="D1262" t="str">
            <v>PIAZZA A.MORO, 30/31</v>
          </cell>
          <cell r="E1262" t="str">
            <v>04100</v>
          </cell>
          <cell r="F1262" t="str">
            <v>LATINA</v>
          </cell>
          <cell r="G1262" t="str">
            <v>LT</v>
          </cell>
          <cell r="H1262" t="str">
            <v>ITALIA</v>
          </cell>
          <cell r="M1262" t="str">
            <v>UFFICIO ACQUISTI</v>
          </cell>
          <cell r="N1262" t="str">
            <v>0773 242739</v>
          </cell>
          <cell r="P1262" t="str">
            <v>gullifer@libero.it</v>
          </cell>
          <cell r="R1262" t="str">
            <v>BONIFICO BANCARIO, ALLA DATA DELLA NOSTRA CONFERMA D'ORDINE</v>
          </cell>
          <cell r="X1262">
            <v>0.2</v>
          </cell>
          <cell r="Y1262">
            <v>-0.04</v>
          </cell>
          <cell r="AB1262">
            <v>0.2</v>
          </cell>
          <cell r="AC1262">
            <v>0.2</v>
          </cell>
          <cell r="AD1262">
            <v>0.2</v>
          </cell>
          <cell r="AE1262">
            <v>0.2</v>
          </cell>
          <cell r="AF1262">
            <v>0.2</v>
          </cell>
          <cell r="AG1262">
            <v>0.2</v>
          </cell>
          <cell r="AH1262">
            <v>0.2</v>
          </cell>
          <cell r="AI1262">
            <v>0.2</v>
          </cell>
          <cell r="AJ1262">
            <v>0.2</v>
          </cell>
          <cell r="AK1262">
            <v>0.2</v>
          </cell>
          <cell r="AL1262">
            <v>0.2</v>
          </cell>
          <cell r="AM1262">
            <v>0.2</v>
          </cell>
          <cell r="AN1262">
            <v>0.2</v>
          </cell>
          <cell r="AO1262">
            <v>0.2</v>
          </cell>
          <cell r="AP1262">
            <v>0.2</v>
          </cell>
          <cell r="AQ1262">
            <v>0.2</v>
          </cell>
          <cell r="AR1262">
            <v>0.2</v>
          </cell>
          <cell r="AS1262">
            <v>0.2</v>
          </cell>
          <cell r="AT1262">
            <v>-0.04</v>
          </cell>
          <cell r="AU1262">
            <v>0.92</v>
          </cell>
          <cell r="AV1262">
            <v>20</v>
          </cell>
          <cell r="AZ1262">
            <v>0.2</v>
          </cell>
          <cell r="BA1262">
            <v>0.2</v>
          </cell>
        </row>
        <row r="1263">
          <cell r="A1263" t="str">
            <v>HABITAT DI CASALE FRANCESCO</v>
          </cell>
          <cell r="B1263" t="str">
            <v>LASCIATO LISTINO</v>
          </cell>
          <cell r="D1263" t="str">
            <v>VIA D.FONTANA 64</v>
          </cell>
          <cell r="E1263" t="str">
            <v>80128</v>
          </cell>
          <cell r="F1263" t="str">
            <v>NAPOLI</v>
          </cell>
          <cell r="G1263" t="str">
            <v>NA</v>
          </cell>
          <cell r="H1263" t="str">
            <v>ITALIA</v>
          </cell>
          <cell r="J1263" t="str">
            <v>07526620633</v>
          </cell>
          <cell r="M1263" t="str">
            <v>UFFICIO ACQUISTI</v>
          </cell>
          <cell r="R1263" t="str">
            <v>BONIFICO BANCARIO, ALLA DATA DELLA NOSTRA CONFERMA D'ORDINE</v>
          </cell>
          <cell r="X1263">
            <v>0.25</v>
          </cell>
          <cell r="Y1263">
            <v>-0.04</v>
          </cell>
          <cell r="AB1263">
            <v>0.25</v>
          </cell>
          <cell r="AC1263">
            <v>0.25</v>
          </cell>
          <cell r="AD1263">
            <v>0.25</v>
          </cell>
          <cell r="AE1263">
            <v>0.25</v>
          </cell>
          <cell r="AF1263">
            <v>0.25</v>
          </cell>
          <cell r="AG1263">
            <v>0.25</v>
          </cell>
          <cell r="AH1263">
            <v>0.25</v>
          </cell>
          <cell r="AI1263">
            <v>0.25</v>
          </cell>
          <cell r="AJ1263">
            <v>0.25</v>
          </cell>
          <cell r="AK1263">
            <v>0.25</v>
          </cell>
          <cell r="AL1263">
            <v>0.25</v>
          </cell>
          <cell r="AM1263">
            <v>0.25</v>
          </cell>
          <cell r="AN1263">
            <v>0.25</v>
          </cell>
          <cell r="AO1263">
            <v>0.25</v>
          </cell>
          <cell r="AP1263">
            <v>0.25</v>
          </cell>
          <cell r="AQ1263">
            <v>0.25</v>
          </cell>
          <cell r="AR1263">
            <v>0.25</v>
          </cell>
          <cell r="AS1263">
            <v>0.25</v>
          </cell>
          <cell r="AT1263">
            <v>-0.04</v>
          </cell>
          <cell r="AU1263">
            <v>0.92</v>
          </cell>
          <cell r="AV1263">
            <v>20</v>
          </cell>
          <cell r="AY1263" t="str">
            <v/>
          </cell>
          <cell r="AZ1263">
            <v>0.25</v>
          </cell>
          <cell r="BA1263">
            <v>0.25</v>
          </cell>
        </row>
        <row r="1264">
          <cell r="A1264" t="str">
            <v>HABITAT PELUFFO</v>
          </cell>
          <cell r="D1264" t="str">
            <v>VIA PIAVE, 130 A</v>
          </cell>
          <cell r="E1264">
            <v>17047</v>
          </cell>
          <cell r="F1264" t="str">
            <v>VADO LIGURE</v>
          </cell>
          <cell r="G1264" t="str">
            <v>SV</v>
          </cell>
          <cell r="H1264" t="str">
            <v>ITALIA</v>
          </cell>
          <cell r="M1264" t="str">
            <v>UFFICIO ACQUISTI</v>
          </cell>
          <cell r="N1264" t="str">
            <v>019 886543</v>
          </cell>
          <cell r="P1264" t="str">
            <v>expovado@peluffoporte.com</v>
          </cell>
          <cell r="R1264" t="str">
            <v>BONIFICO BANCARIO, ALLA DATA DELLA NOSTRA CONFERMA D'ORDINE</v>
          </cell>
          <cell r="X1264">
            <v>0.25</v>
          </cell>
          <cell r="Y1264">
            <v>-0.04</v>
          </cell>
          <cell r="AB1264">
            <v>0.25</v>
          </cell>
          <cell r="AC1264">
            <v>0.25</v>
          </cell>
          <cell r="AD1264">
            <v>0.25</v>
          </cell>
          <cell r="AE1264">
            <v>0.25</v>
          </cell>
          <cell r="AF1264">
            <v>0.25</v>
          </cell>
          <cell r="AG1264">
            <v>0.25</v>
          </cell>
          <cell r="AH1264">
            <v>0.25</v>
          </cell>
          <cell r="AI1264">
            <v>0.25</v>
          </cell>
          <cell r="AJ1264">
            <v>0.25</v>
          </cell>
          <cell r="AK1264">
            <v>0.25</v>
          </cell>
          <cell r="AL1264">
            <v>0.25</v>
          </cell>
          <cell r="AM1264">
            <v>0.25</v>
          </cell>
          <cell r="AN1264">
            <v>0.25</v>
          </cell>
          <cell r="AO1264">
            <v>0.25</v>
          </cell>
          <cell r="AP1264">
            <v>0.25</v>
          </cell>
          <cell r="AQ1264">
            <v>0.25</v>
          </cell>
          <cell r="AR1264">
            <v>0.25</v>
          </cell>
          <cell r="AS1264">
            <v>0.25</v>
          </cell>
          <cell r="AT1264">
            <v>-0.04</v>
          </cell>
          <cell r="AU1264">
            <v>0.92</v>
          </cell>
          <cell r="AV1264">
            <v>20</v>
          </cell>
          <cell r="AZ1264">
            <v>0.25</v>
          </cell>
          <cell r="BA1264">
            <v>0.25</v>
          </cell>
        </row>
        <row r="1265">
          <cell r="A1265" t="str">
            <v>HANNES SILBERBAUER GMBH</v>
          </cell>
          <cell r="D1265" t="str">
            <v>SCHIEFERSTEINSTRASSE, 1</v>
          </cell>
          <cell r="E1265" t="str">
            <v>4060</v>
          </cell>
          <cell r="F1265" t="str">
            <v>LEONDING</v>
          </cell>
          <cell r="H1265" t="str">
            <v>AUSTRIA</v>
          </cell>
          <cell r="J1265" t="str">
            <v>ATU43647005</v>
          </cell>
          <cell r="K1265" t="str">
            <v>XXXXXXX</v>
          </cell>
          <cell r="M1265" t="str">
            <v>UFFICIO ACQUISTI</v>
          </cell>
          <cell r="N1265" t="str">
            <v>+43 7326809800</v>
          </cell>
          <cell r="P1265" t="str">
            <v>info@hs-silberbauer.at</v>
          </cell>
          <cell r="R1265" t="str">
            <v>BANKÜBERWEISUNG, AM DATUM UNSERER AUFTRAGSBESTÄTIGUNG</v>
          </cell>
          <cell r="X1265">
            <v>0</v>
          </cell>
          <cell r="AB1265">
            <v>0</v>
          </cell>
          <cell r="AC1265">
            <v>0</v>
          </cell>
          <cell r="AD1265">
            <v>0</v>
          </cell>
          <cell r="AE1265">
            <v>0</v>
          </cell>
          <cell r="AF1265">
            <v>0</v>
          </cell>
          <cell r="AG1265">
            <v>0</v>
          </cell>
          <cell r="AH1265">
            <v>0</v>
          </cell>
          <cell r="AI1265">
            <v>0</v>
          </cell>
          <cell r="AJ1265">
            <v>0</v>
          </cell>
          <cell r="AK1265">
            <v>0</v>
          </cell>
          <cell r="AL1265">
            <v>0</v>
          </cell>
          <cell r="AM1265">
            <v>0</v>
          </cell>
          <cell r="AN1265">
            <v>0</v>
          </cell>
          <cell r="AO1265">
            <v>0</v>
          </cell>
          <cell r="AP1265">
            <v>0</v>
          </cell>
          <cell r="AQ1265">
            <v>0</v>
          </cell>
          <cell r="AR1265">
            <v>0</v>
          </cell>
          <cell r="AS1265">
            <v>0</v>
          </cell>
          <cell r="AU1265">
            <v>0.84</v>
          </cell>
          <cell r="AV1265">
            <v>20</v>
          </cell>
          <cell r="AZ1265">
            <v>0</v>
          </cell>
          <cell r="BA1265">
            <v>0</v>
          </cell>
          <cell r="BF1265" t="str">
            <v xml:space="preserve">CLICK RAPID con espositore 12/07/2021 - FULL con espositore 12/07/2021  - GATE con espositore 12/07/2021- MODERNA con espositore 12/07/2021 - MODI con espositore 12/07/2021 - MODU con espositore 12/07/2021 </v>
          </cell>
        </row>
        <row r="1266">
          <cell r="A1266" t="str">
            <v>HANS MARTIN SCHMIDT GMBH&amp;CO.KG</v>
          </cell>
          <cell r="D1266" t="str">
            <v>MARIE-CURIE-STR. 26-28</v>
          </cell>
          <cell r="E1266" t="str">
            <v>73230</v>
          </cell>
          <cell r="F1266" t="str">
            <v>KIRCHHEIM UNTER TECK</v>
          </cell>
          <cell r="H1266" t="str">
            <v>GERMANIA</v>
          </cell>
          <cell r="J1266" t="str">
            <v>DE226351469</v>
          </cell>
          <cell r="K1266" t="str">
            <v>XXXXXXX</v>
          </cell>
          <cell r="M1266" t="str">
            <v>UFFICIO ACQUISTI</v>
          </cell>
          <cell r="N1266" t="str">
            <v>+49 7021 485540</v>
          </cell>
          <cell r="P1266" t="str">
            <v>julia.sauer@hms-stahlbau.de</v>
          </cell>
          <cell r="R1266" t="str">
            <v>BANKÜBERWEISUNG, AM DATUM UNSERER AUFTRAGSBESTÄTIGUNG</v>
          </cell>
          <cell r="X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cell r="AO1266">
            <v>0</v>
          </cell>
          <cell r="AP1266">
            <v>0</v>
          </cell>
          <cell r="AQ1266">
            <v>0</v>
          </cell>
          <cell r="AR1266">
            <v>0</v>
          </cell>
          <cell r="AS1266">
            <v>0</v>
          </cell>
          <cell r="AU1266">
            <v>0.84</v>
          </cell>
          <cell r="AV1266">
            <v>20</v>
          </cell>
          <cell r="AZ1266">
            <v>0</v>
          </cell>
          <cell r="BA1266">
            <v>0</v>
          </cell>
        </row>
        <row r="1267">
          <cell r="A1267" t="str">
            <v>HAPPYMEC</v>
          </cell>
          <cell r="B1267" t="str">
            <v xml:space="preserve">FABBRO </v>
          </cell>
          <cell r="D1267" t="str">
            <v>VIA TREVISIT, 30</v>
          </cell>
          <cell r="E1267" t="str">
            <v>33084</v>
          </cell>
          <cell r="F1267" t="str">
            <v>CORDENONS</v>
          </cell>
          <cell r="G1267" t="str">
            <v>PN</v>
          </cell>
          <cell r="H1267" t="str">
            <v>ITALIA</v>
          </cell>
          <cell r="M1267" t="str">
            <v>UFFICIO ACQUISTI</v>
          </cell>
          <cell r="N1267" t="str">
            <v>0434 581245</v>
          </cell>
          <cell r="P1267" t="str">
            <v>contatti@happymec.it</v>
          </cell>
          <cell r="R1267" t="str">
            <v>BONIFICO BANCARIO, ALLA DATA DELLA NOSTRA CONFERMA D'ORDINE</v>
          </cell>
          <cell r="X1267">
            <v>0</v>
          </cell>
          <cell r="Y1267">
            <v>-0.04</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cell r="AO1267">
            <v>0</v>
          </cell>
          <cell r="AP1267">
            <v>0</v>
          </cell>
          <cell r="AQ1267">
            <v>0</v>
          </cell>
          <cell r="AR1267">
            <v>0</v>
          </cell>
          <cell r="AS1267">
            <v>0</v>
          </cell>
          <cell r="AT1267">
            <v>-0.04</v>
          </cell>
          <cell r="AU1267">
            <v>0.92</v>
          </cell>
          <cell r="AV1267">
            <v>20</v>
          </cell>
          <cell r="AZ1267">
            <v>0</v>
          </cell>
          <cell r="BA1267">
            <v>0</v>
          </cell>
        </row>
        <row r="1268">
          <cell r="A1268" t="str">
            <v>HERMES PORTE E FINESTRE SRL</v>
          </cell>
          <cell r="B1268" t="str">
            <v>SI ALLAGANO UNA VOLTA ALL'ANNO    ACQUASTOP    3/4 PZ ALL'ANNO 05/12 FISSO NON ATTIVO. CELL DI UN PRIVATO</v>
          </cell>
          <cell r="D1268" t="str">
            <v>VIA PROV. DEI TRE COMUNI 41/4</v>
          </cell>
          <cell r="E1268" t="str">
            <v>56040</v>
          </cell>
          <cell r="F1268" t="str">
            <v>MONTESCUDAIO</v>
          </cell>
          <cell r="G1268" t="str">
            <v>PI</v>
          </cell>
          <cell r="H1268" t="str">
            <v>ITALIA</v>
          </cell>
          <cell r="M1268" t="str">
            <v>UFFICIO ACQUISTI</v>
          </cell>
          <cell r="N1268" t="str">
            <v>0586 832124</v>
          </cell>
          <cell r="O1268" t="str">
            <v>339 5217339</v>
          </cell>
          <cell r="P1268" t="str">
            <v>info@hermesporteefinestre.it</v>
          </cell>
          <cell r="R1268" t="str">
            <v>BONIFICO BANCARIO, ALLA DATA DELLA NOSTRA CONFERMA D'ORDINE</v>
          </cell>
          <cell r="X1268">
            <v>0.25</v>
          </cell>
          <cell r="Y1268">
            <v>-0.04</v>
          </cell>
          <cell r="AB1268">
            <v>0.25</v>
          </cell>
          <cell r="AC1268">
            <v>0.25</v>
          </cell>
          <cell r="AD1268">
            <v>0.25</v>
          </cell>
          <cell r="AE1268">
            <v>0.25</v>
          </cell>
          <cell r="AF1268">
            <v>0.25</v>
          </cell>
          <cell r="AG1268">
            <v>0.25</v>
          </cell>
          <cell r="AH1268">
            <v>0.25</v>
          </cell>
          <cell r="AI1268">
            <v>0.25</v>
          </cell>
          <cell r="AJ1268">
            <v>0.25</v>
          </cell>
          <cell r="AK1268">
            <v>0.25</v>
          </cell>
          <cell r="AL1268">
            <v>0.25</v>
          </cell>
          <cell r="AM1268">
            <v>0.25</v>
          </cell>
          <cell r="AN1268">
            <v>0.25</v>
          </cell>
          <cell r="AO1268">
            <v>0.25</v>
          </cell>
          <cell r="AP1268">
            <v>0.25</v>
          </cell>
          <cell r="AQ1268">
            <v>0.25</v>
          </cell>
          <cell r="AR1268">
            <v>0.25</v>
          </cell>
          <cell r="AS1268">
            <v>0.25</v>
          </cell>
          <cell r="AT1268">
            <v>-0.04</v>
          </cell>
          <cell r="AU1268">
            <v>0.92</v>
          </cell>
          <cell r="AV1268">
            <v>20</v>
          </cell>
          <cell r="AY1268" t="str">
            <v/>
          </cell>
          <cell r="AZ1268">
            <v>0.25</v>
          </cell>
          <cell r="BA1268">
            <v>0.25</v>
          </cell>
        </row>
        <row r="1269">
          <cell r="A1269" t="str">
            <v>HOUSE SYSTEM</v>
          </cell>
          <cell r="D1269" t="str">
            <v>ZONA INDUSTRIALE C/DA OLIVOLA</v>
          </cell>
          <cell r="E1269" t="str">
            <v>82100</v>
          </cell>
          <cell r="F1269" t="str">
            <v>BENEVENTO</v>
          </cell>
          <cell r="G1269" t="str">
            <v>BE</v>
          </cell>
          <cell r="H1269" t="str">
            <v>ITALIA</v>
          </cell>
          <cell r="M1269" t="str">
            <v>UFFICIO ACQUISTI</v>
          </cell>
          <cell r="N1269" t="str">
            <v>0824 776651</v>
          </cell>
          <cell r="O1269" t="str">
            <v>335 7365657</v>
          </cell>
          <cell r="P1269" t="str">
            <v>info@housesystem.it</v>
          </cell>
          <cell r="R1269" t="str">
            <v>BONIFICO BANCARIO, ALLA DATA DELLA NOSTRA CONFERMA D'ORDINE</v>
          </cell>
          <cell r="X1269">
            <v>0.25</v>
          </cell>
          <cell r="Y1269">
            <v>-0.04</v>
          </cell>
          <cell r="AB1269">
            <v>0.25</v>
          </cell>
          <cell r="AC1269">
            <v>0.25</v>
          </cell>
          <cell r="AD1269">
            <v>0.25</v>
          </cell>
          <cell r="AE1269">
            <v>0.25</v>
          </cell>
          <cell r="AF1269">
            <v>0.25</v>
          </cell>
          <cell r="AG1269">
            <v>0.25</v>
          </cell>
          <cell r="AH1269">
            <v>0.25</v>
          </cell>
          <cell r="AI1269">
            <v>0.25</v>
          </cell>
          <cell r="AJ1269">
            <v>0.25</v>
          </cell>
          <cell r="AK1269">
            <v>0.25</v>
          </cell>
          <cell r="AL1269">
            <v>0.25</v>
          </cell>
          <cell r="AM1269">
            <v>0.25</v>
          </cell>
          <cell r="AN1269">
            <v>0.25</v>
          </cell>
          <cell r="AO1269">
            <v>0.25</v>
          </cell>
          <cell r="AP1269">
            <v>0.25</v>
          </cell>
          <cell r="AQ1269">
            <v>0.25</v>
          </cell>
          <cell r="AR1269">
            <v>0.25</v>
          </cell>
          <cell r="AS1269">
            <v>0.25</v>
          </cell>
          <cell r="AT1269">
            <v>-0.04</v>
          </cell>
          <cell r="AU1269">
            <v>0.92</v>
          </cell>
          <cell r="AV1269">
            <v>20</v>
          </cell>
          <cell r="AY1269" t="str">
            <v/>
          </cell>
          <cell r="AZ1269">
            <v>0.25</v>
          </cell>
          <cell r="BA1269">
            <v>0.25</v>
          </cell>
        </row>
        <row r="1270">
          <cell r="A1270" t="str">
            <v>HYDRA INTERNATIONAL</v>
          </cell>
          <cell r="D1270" t="str">
            <v>41 QUEENSGATE CRESCENT RED DEER</v>
          </cell>
          <cell r="E1270" t="str">
            <v>T4P 0R2</v>
          </cell>
          <cell r="F1270" t="str">
            <v>ALBERTA</v>
          </cell>
          <cell r="H1270" t="str">
            <v>CANADA</v>
          </cell>
          <cell r="J1270" t="str">
            <v>792084535</v>
          </cell>
          <cell r="K1270" t="str">
            <v>XXXXXXX</v>
          </cell>
          <cell r="M1270" t="str">
            <v>UFFICIO ACQUISTI</v>
          </cell>
          <cell r="O1270" t="str">
            <v>+18254318482</v>
          </cell>
          <cell r="P1270" t="str">
            <v>dave@hydraprotects.com</v>
          </cell>
          <cell r="R1270" t="str">
            <v>BONIFICO BANCARIO, ALLA DATA DELLA NOSTRA CONFERMA D'ORDINE</v>
          </cell>
        </row>
        <row r="1271">
          <cell r="A1271" t="str">
            <v>I CANCELLI DI MAURO MALFANTI</v>
          </cell>
          <cell r="D1271" t="str">
            <v>FR. BEGUDA TETTO DEU, 5</v>
          </cell>
          <cell r="E1271">
            <v>12011</v>
          </cell>
          <cell r="F1271" t="str">
            <v>BORGO S. DALMAZZO</v>
          </cell>
          <cell r="G1271" t="str">
            <v>CN</v>
          </cell>
          <cell r="H1271" t="str">
            <v>ITALIA</v>
          </cell>
          <cell r="M1271" t="str">
            <v>UFFICIO ACQUISTI</v>
          </cell>
          <cell r="N1271" t="str">
            <v>0171 260288</v>
          </cell>
          <cell r="P1271" t="str">
            <v>icancellidimauro@gem.it</v>
          </cell>
          <cell r="R1271" t="str">
            <v>BONIFICO BANCARIO, ALLA DATA DELLA NOSTRA CONFERMA D'ORDINE</v>
          </cell>
          <cell r="X1271">
            <v>0.25</v>
          </cell>
          <cell r="Y1271">
            <v>-0.04</v>
          </cell>
          <cell r="AB1271">
            <v>0.25</v>
          </cell>
          <cell r="AC1271">
            <v>0.25</v>
          </cell>
          <cell r="AD1271">
            <v>0.25</v>
          </cell>
          <cell r="AE1271">
            <v>0.25</v>
          </cell>
          <cell r="AF1271">
            <v>0.25</v>
          </cell>
          <cell r="AG1271">
            <v>0.25</v>
          </cell>
          <cell r="AH1271">
            <v>0.25</v>
          </cell>
          <cell r="AI1271">
            <v>0.25</v>
          </cell>
          <cell r="AJ1271">
            <v>0.25</v>
          </cell>
          <cell r="AK1271">
            <v>0.25</v>
          </cell>
          <cell r="AL1271">
            <v>0.25</v>
          </cell>
          <cell r="AM1271">
            <v>0.25</v>
          </cell>
          <cell r="AN1271">
            <v>0.25</v>
          </cell>
          <cell r="AO1271">
            <v>0.25</v>
          </cell>
          <cell r="AP1271">
            <v>0.25</v>
          </cell>
          <cell r="AQ1271">
            <v>0.25</v>
          </cell>
          <cell r="AR1271">
            <v>0.25</v>
          </cell>
          <cell r="AS1271">
            <v>0.25</v>
          </cell>
          <cell r="AT1271">
            <v>-0.04</v>
          </cell>
          <cell r="AU1271">
            <v>0.92</v>
          </cell>
          <cell r="AV1271">
            <v>20</v>
          </cell>
          <cell r="AY1271" t="str">
            <v/>
          </cell>
          <cell r="AZ1271">
            <v>0.25</v>
          </cell>
          <cell r="BA1271">
            <v>0.25</v>
          </cell>
        </row>
        <row r="1272">
          <cell r="A1272" t="str">
            <v>I FARINELLI SRL</v>
          </cell>
          <cell r="B1272" t="str">
            <v>info@ifarinelli.com (NON VUOLE RICEVERE MAIL)</v>
          </cell>
          <cell r="D1272" t="str">
            <v>LOC.CA' PRATO, 1</v>
          </cell>
          <cell r="E1272">
            <v>37067</v>
          </cell>
          <cell r="F1272" t="str">
            <v>VERONA</v>
          </cell>
          <cell r="G1272" t="str">
            <v>VR</v>
          </cell>
          <cell r="H1272" t="str">
            <v>ITALIA</v>
          </cell>
          <cell r="I1272" t="str">
            <v>02679990230</v>
          </cell>
          <cell r="J1272" t="str">
            <v>02679990230</v>
          </cell>
          <cell r="M1272" t="str">
            <v>UFFICIO ACQUISTI</v>
          </cell>
          <cell r="N1272" t="str">
            <v>045 7945256</v>
          </cell>
          <cell r="R1272" t="str">
            <v>BONIFICO BANCARIO, ALLA DATA DELLA NOSTRA CONFERMA D'ORDINE</v>
          </cell>
          <cell r="X1272">
            <v>0.25</v>
          </cell>
          <cell r="Y1272">
            <v>-0.04</v>
          </cell>
          <cell r="AB1272">
            <v>0.25</v>
          </cell>
          <cell r="AC1272">
            <v>0.25</v>
          </cell>
          <cell r="AD1272">
            <v>0.25</v>
          </cell>
          <cell r="AE1272">
            <v>0.25</v>
          </cell>
          <cell r="AF1272">
            <v>0.25</v>
          </cell>
          <cell r="AG1272">
            <v>0.25</v>
          </cell>
          <cell r="AH1272">
            <v>0.25</v>
          </cell>
          <cell r="AI1272">
            <v>0.25</v>
          </cell>
          <cell r="AJ1272">
            <v>0.25</v>
          </cell>
          <cell r="AK1272">
            <v>0.25</v>
          </cell>
          <cell r="AL1272">
            <v>0.25</v>
          </cell>
          <cell r="AM1272">
            <v>0.25</v>
          </cell>
          <cell r="AN1272">
            <v>0.25</v>
          </cell>
          <cell r="AO1272">
            <v>0.25</v>
          </cell>
          <cell r="AP1272">
            <v>0.25</v>
          </cell>
          <cell r="AQ1272">
            <v>0.25</v>
          </cell>
          <cell r="AR1272">
            <v>0.25</v>
          </cell>
          <cell r="AS1272">
            <v>0.25</v>
          </cell>
          <cell r="AT1272">
            <v>-0.04</v>
          </cell>
          <cell r="AU1272">
            <v>0.92</v>
          </cell>
          <cell r="AV1272">
            <v>20</v>
          </cell>
          <cell r="AY1272" t="str">
            <v/>
          </cell>
          <cell r="AZ1272">
            <v>0.25</v>
          </cell>
          <cell r="BA1272">
            <v>0.25</v>
          </cell>
        </row>
        <row r="1273">
          <cell r="A1273" t="str">
            <v>I NOBILI SRL</v>
          </cell>
          <cell r="B1273" t="str">
            <v>FRANCESCO PACINI</v>
          </cell>
          <cell r="D1273" t="str">
            <v>SS 170 KM 22,25</v>
          </cell>
          <cell r="E1273" t="str">
            <v>70031</v>
          </cell>
          <cell r="F1273" t="str">
            <v>ANDRIA</v>
          </cell>
          <cell r="G1273" t="str">
            <v>BT</v>
          </cell>
          <cell r="H1273" t="str">
            <v>ITALIA</v>
          </cell>
          <cell r="J1273" t="str">
            <v>04829870726</v>
          </cell>
          <cell r="M1273" t="str">
            <v>UFFICIO ACQUISTI</v>
          </cell>
          <cell r="N1273" t="str">
            <v>0883 591477</v>
          </cell>
          <cell r="P1273" t="str">
            <v>info@i-nobili.it</v>
          </cell>
          <cell r="R1273" t="str">
            <v>BONIFICO BANCARIO, ALLA DATA DELLA NOSTRA CONFERMA D'ORDINE</v>
          </cell>
          <cell r="X1273">
            <v>0.25</v>
          </cell>
          <cell r="Y1273">
            <v>-0.04</v>
          </cell>
          <cell r="AB1273">
            <v>0.25</v>
          </cell>
          <cell r="AC1273">
            <v>0.25</v>
          </cell>
          <cell r="AD1273">
            <v>0.25</v>
          </cell>
          <cell r="AE1273">
            <v>0.25</v>
          </cell>
          <cell r="AF1273">
            <v>0.25</v>
          </cell>
          <cell r="AG1273">
            <v>0.25</v>
          </cell>
          <cell r="AH1273">
            <v>0.25</v>
          </cell>
          <cell r="AI1273">
            <v>0.25</v>
          </cell>
          <cell r="AJ1273">
            <v>0.25</v>
          </cell>
          <cell r="AK1273">
            <v>0.25</v>
          </cell>
          <cell r="AL1273">
            <v>0.25</v>
          </cell>
          <cell r="AM1273">
            <v>0.25</v>
          </cell>
          <cell r="AN1273">
            <v>0.25</v>
          </cell>
          <cell r="AO1273">
            <v>0.25</v>
          </cell>
          <cell r="AP1273">
            <v>0.25</v>
          </cell>
          <cell r="AQ1273">
            <v>0.25</v>
          </cell>
          <cell r="AR1273">
            <v>0.25</v>
          </cell>
          <cell r="AS1273">
            <v>0.25</v>
          </cell>
          <cell r="AT1273">
            <v>-0.04</v>
          </cell>
          <cell r="AU1273">
            <v>0.92</v>
          </cell>
          <cell r="AV1273">
            <v>20</v>
          </cell>
          <cell r="AY1273" t="str">
            <v/>
          </cell>
          <cell r="AZ1273">
            <v>0.25</v>
          </cell>
          <cell r="BA1273">
            <v>0.25</v>
          </cell>
        </row>
        <row r="1274">
          <cell r="A1274" t="str">
            <v xml:space="preserve">I SERRAMENTI </v>
          </cell>
          <cell r="D1274" t="str">
            <v>VIA DELLE QUECE 15</v>
          </cell>
          <cell r="F1274" t="str">
            <v>POMEZIA</v>
          </cell>
          <cell r="G1274" t="str">
            <v>RM</v>
          </cell>
          <cell r="H1274" t="str">
            <v>ITALIA</v>
          </cell>
          <cell r="J1274" t="str">
            <v>14134551002</v>
          </cell>
          <cell r="M1274" t="str">
            <v>UFFICIO ACQUISTI</v>
          </cell>
          <cell r="N1274" t="str">
            <v>06 92929033</v>
          </cell>
          <cell r="O1274" t="str">
            <v>328 6574529</v>
          </cell>
          <cell r="P1274" t="str">
            <v>info@i-serramenti.com</v>
          </cell>
          <cell r="R1274" t="str">
            <v>BONIFICO BANCARIO, ALLA DATA DELLA NOSTRA CONFERMA D'ORDINE</v>
          </cell>
          <cell r="X1274">
            <v>0.25</v>
          </cell>
          <cell r="Y1274">
            <v>-0.04</v>
          </cell>
          <cell r="AB1274">
            <v>0.25</v>
          </cell>
          <cell r="AC1274">
            <v>0.25</v>
          </cell>
          <cell r="AD1274">
            <v>0.25</v>
          </cell>
          <cell r="AE1274">
            <v>0.25</v>
          </cell>
          <cell r="AF1274">
            <v>0.25</v>
          </cell>
          <cell r="AG1274">
            <v>0.25</v>
          </cell>
          <cell r="AH1274">
            <v>0.25</v>
          </cell>
          <cell r="AI1274">
            <v>0.25</v>
          </cell>
          <cell r="AJ1274">
            <v>0.25</v>
          </cell>
          <cell r="AK1274">
            <v>0.25</v>
          </cell>
          <cell r="AL1274">
            <v>0.25</v>
          </cell>
          <cell r="AM1274">
            <v>0.25</v>
          </cell>
          <cell r="AN1274">
            <v>0.25</v>
          </cell>
          <cell r="AO1274">
            <v>0.25</v>
          </cell>
          <cell r="AP1274">
            <v>0.25</v>
          </cell>
          <cell r="AQ1274">
            <v>0.25</v>
          </cell>
          <cell r="AR1274">
            <v>0.25</v>
          </cell>
          <cell r="AS1274">
            <v>0.25</v>
          </cell>
          <cell r="AT1274">
            <v>-0.04</v>
          </cell>
          <cell r="AU1274">
            <v>0.92</v>
          </cell>
          <cell r="AV1274">
            <v>20</v>
          </cell>
          <cell r="AY1274" t="str">
            <v/>
          </cell>
          <cell r="AZ1274">
            <v>0.25</v>
          </cell>
          <cell r="BA1274">
            <v>0.25</v>
          </cell>
        </row>
        <row r="1275">
          <cell r="A1275" t="str">
            <v>I VERONA SRL</v>
          </cell>
          <cell r="B1275" t="str">
            <v>MARCO VIRDIS</v>
          </cell>
          <cell r="D1275" t="str">
            <v>VIA BIASI, 25</v>
          </cell>
          <cell r="E1275" t="str">
            <v>09131</v>
          </cell>
          <cell r="F1275" t="str">
            <v>CAGLIARI</v>
          </cell>
          <cell r="G1275" t="str">
            <v>CA</v>
          </cell>
          <cell r="H1275" t="str">
            <v>ITALIA</v>
          </cell>
          <cell r="J1275" t="str">
            <v>03492460922</v>
          </cell>
          <cell r="L1275" t="str">
            <v>VIA FIGARI, 5 - CAGLIARI</v>
          </cell>
          <cell r="M1275" t="str">
            <v>UFFICIO ACQUISTI</v>
          </cell>
          <cell r="N1275" t="str">
            <v>070 513679</v>
          </cell>
          <cell r="O1275" t="str">
            <v>334 3986945 MARCO VIRDIS</v>
          </cell>
          <cell r="P1275" t="str">
            <v>marco@iveronainfissi.com</v>
          </cell>
          <cell r="R1275" t="str">
            <v>BONIFICO BANCARIO, ALLA DATA DELLA NOSTRA CONFERMA D'ORDINE</v>
          </cell>
          <cell r="X1275">
            <v>0.17</v>
          </cell>
          <cell r="Y1275">
            <v>-0.04</v>
          </cell>
          <cell r="AB1275">
            <v>0.17</v>
          </cell>
          <cell r="AC1275">
            <v>0.17</v>
          </cell>
          <cell r="AD1275">
            <v>0.17</v>
          </cell>
          <cell r="AE1275">
            <v>0.17</v>
          </cell>
          <cell r="AF1275">
            <v>0.17</v>
          </cell>
          <cell r="AG1275">
            <v>0.17</v>
          </cell>
          <cell r="AH1275">
            <v>0.17</v>
          </cell>
          <cell r="AI1275">
            <v>0.17</v>
          </cell>
          <cell r="AJ1275">
            <v>0.17</v>
          </cell>
          <cell r="AK1275">
            <v>0.17</v>
          </cell>
          <cell r="AL1275">
            <v>0.17</v>
          </cell>
          <cell r="AM1275">
            <v>0.17</v>
          </cell>
          <cell r="AN1275">
            <v>0.17</v>
          </cell>
          <cell r="AO1275">
            <v>0.17</v>
          </cell>
          <cell r="AP1275">
            <v>0.17</v>
          </cell>
          <cell r="AQ1275">
            <v>0.17</v>
          </cell>
          <cell r="AR1275">
            <v>0.17</v>
          </cell>
          <cell r="AS1275">
            <v>0.17</v>
          </cell>
          <cell r="AT1275">
            <v>-0.04</v>
          </cell>
          <cell r="AU1275">
            <v>0.92</v>
          </cell>
          <cell r="AV1275">
            <v>20</v>
          </cell>
          <cell r="AZ1275">
            <v>0.17</v>
          </cell>
          <cell r="BA1275">
            <v>0.17</v>
          </cell>
        </row>
        <row r="1276">
          <cell r="A1276" t="str">
            <v>I.C.S.A. S.r.l.</v>
          </cell>
          <cell r="D1276" t="str">
            <v>VIA CRISPI 62 64 66 R</v>
          </cell>
          <cell r="E1276">
            <v>17100</v>
          </cell>
          <cell r="F1276" t="str">
            <v>SAVONA</v>
          </cell>
          <cell r="G1276" t="str">
            <v>SV</v>
          </cell>
          <cell r="H1276" t="str">
            <v>ITALIA</v>
          </cell>
          <cell r="I1276" t="str">
            <v>00444840094</v>
          </cell>
          <cell r="J1276" t="str">
            <v>00444840094</v>
          </cell>
          <cell r="M1276" t="str">
            <v>UFFICIO ACQUISTI</v>
          </cell>
          <cell r="N1276" t="str">
            <v>019 812345</v>
          </cell>
          <cell r="O1276" t="str">
            <v>392 9097288 CINZIA CUSOTTO</v>
          </cell>
          <cell r="P1276" t="str">
            <v>info@icsafinestre.it</v>
          </cell>
          <cell r="R1276" t="str">
            <v>BONIFICO BANCARIO, ALLA DATA DELLA NOSTRA CONFERMA D'ORDINE</v>
          </cell>
          <cell r="X1276">
            <v>0.25</v>
          </cell>
          <cell r="Y1276">
            <v>-0.04</v>
          </cell>
          <cell r="AB1276">
            <v>0.25</v>
          </cell>
          <cell r="AC1276">
            <v>0.25</v>
          </cell>
          <cell r="AD1276">
            <v>0.25</v>
          </cell>
          <cell r="AE1276">
            <v>0.25</v>
          </cell>
          <cell r="AF1276">
            <v>0.25</v>
          </cell>
          <cell r="AG1276">
            <v>0.25</v>
          </cell>
          <cell r="AH1276">
            <v>0.25</v>
          </cell>
          <cell r="AI1276">
            <v>0.25</v>
          </cell>
          <cell r="AJ1276">
            <v>0.25</v>
          </cell>
          <cell r="AK1276">
            <v>0.25</v>
          </cell>
          <cell r="AL1276">
            <v>0.25</v>
          </cell>
          <cell r="AM1276">
            <v>0.25</v>
          </cell>
          <cell r="AN1276">
            <v>0.25</v>
          </cell>
          <cell r="AO1276">
            <v>0.25</v>
          </cell>
          <cell r="AP1276">
            <v>0.25</v>
          </cell>
          <cell r="AQ1276">
            <v>0.25</v>
          </cell>
          <cell r="AR1276">
            <v>0.25</v>
          </cell>
          <cell r="AS1276">
            <v>0.25</v>
          </cell>
          <cell r="AT1276">
            <v>-0.04</v>
          </cell>
          <cell r="AU1276">
            <v>0.92</v>
          </cell>
          <cell r="AV1276">
            <v>20</v>
          </cell>
          <cell r="AZ1276">
            <v>0.25</v>
          </cell>
          <cell r="BA1276">
            <v>0.25</v>
          </cell>
        </row>
        <row r="1277">
          <cell r="A1277" t="str">
            <v>I.M.A.F. DI FIORETTI LEONELLO</v>
          </cell>
          <cell r="B1277" t="str">
            <v>03/02 LORENZO. SEMBRA MOLTO INTERESSATO - 16/03 OBERATI DI LAVORO. SE HANNO BISOGNO CHIAMANO LORO. 20/03 CI HA PARLATO 5 MINUTI RIZZOLI. HA LASCIATO DEL MATERIALE PERCHE' ERA DI SUPER FRETTA</v>
          </cell>
          <cell r="D1277" t="str">
            <v>VIA GORGOLUNGO, 12</v>
          </cell>
          <cell r="E1277">
            <v>60035</v>
          </cell>
          <cell r="F1277" t="str">
            <v xml:space="preserve">JESI </v>
          </cell>
          <cell r="G1277" t="str">
            <v>AN</v>
          </cell>
          <cell r="H1277" t="str">
            <v>ITALIA</v>
          </cell>
          <cell r="I1277" t="str">
            <v>FRTLLL44R26F745R</v>
          </cell>
          <cell r="J1277" t="str">
            <v>01239460429</v>
          </cell>
          <cell r="M1277" t="str">
            <v>UFFICIO ACQUISTI</v>
          </cell>
          <cell r="N1277" t="str">
            <v>0731 200286</v>
          </cell>
          <cell r="P1277" t="str">
            <v>lorenzo@imaf.jesi.it</v>
          </cell>
          <cell r="R1277" t="str">
            <v>BONIFICO BANCARIO, ALLA DATA DELLA NOSTRA CONFERMA D'ORDINE</v>
          </cell>
          <cell r="X1277">
            <v>0.25</v>
          </cell>
          <cell r="Y1277">
            <v>-0.04</v>
          </cell>
          <cell r="AB1277">
            <v>0.25</v>
          </cell>
          <cell r="AC1277">
            <v>0.25</v>
          </cell>
          <cell r="AD1277">
            <v>0.25</v>
          </cell>
          <cell r="AE1277">
            <v>0.25</v>
          </cell>
          <cell r="AF1277">
            <v>0.25</v>
          </cell>
          <cell r="AG1277">
            <v>0.25</v>
          </cell>
          <cell r="AH1277">
            <v>0.25</v>
          </cell>
          <cell r="AI1277">
            <v>0.25</v>
          </cell>
          <cell r="AJ1277">
            <v>0.25</v>
          </cell>
          <cell r="AK1277">
            <v>0.25</v>
          </cell>
          <cell r="AL1277">
            <v>0.25</v>
          </cell>
          <cell r="AM1277">
            <v>0.25</v>
          </cell>
          <cell r="AN1277">
            <v>0.25</v>
          </cell>
          <cell r="AO1277">
            <v>0.25</v>
          </cell>
          <cell r="AP1277">
            <v>0.25</v>
          </cell>
          <cell r="AQ1277">
            <v>0.25</v>
          </cell>
          <cell r="AR1277">
            <v>0.25</v>
          </cell>
          <cell r="AS1277">
            <v>0.25</v>
          </cell>
          <cell r="AT1277">
            <v>-0.04</v>
          </cell>
          <cell r="AU1277">
            <v>0.92</v>
          </cell>
          <cell r="AV1277">
            <v>20</v>
          </cell>
          <cell r="AY1277" t="str">
            <v/>
          </cell>
          <cell r="AZ1277">
            <v>0.25</v>
          </cell>
          <cell r="BA1277">
            <v>0.25</v>
          </cell>
        </row>
        <row r="1278">
          <cell r="A1278" t="str">
            <v>I.S.E.A. S.R.L.</v>
          </cell>
          <cell r="D1278" t="str">
            <v>VIA E. GALLETTI, 9</v>
          </cell>
          <cell r="E1278">
            <v>40050</v>
          </cell>
          <cell r="F1278" t="str">
            <v>FUNO DI ARGELATO</v>
          </cell>
          <cell r="G1278" t="str">
            <v>BO</v>
          </cell>
          <cell r="H1278" t="str">
            <v>ITALIA</v>
          </cell>
          <cell r="I1278" t="str">
            <v>00308100379</v>
          </cell>
          <cell r="J1278" t="str">
            <v>00827961202</v>
          </cell>
          <cell r="M1278" t="str">
            <v>UFFICIO ACQUISTI</v>
          </cell>
          <cell r="N1278" t="str">
            <v>051 862004</v>
          </cell>
          <cell r="P1278" t="str">
            <v>info@iseaitaly.com</v>
          </cell>
          <cell r="R1278" t="str">
            <v>BONIFICO BANCARIO, ALLA DATA DELLA NOSTRA CONFERMA D'ORDINE</v>
          </cell>
          <cell r="X1278">
            <v>0.25</v>
          </cell>
          <cell r="Y1278">
            <v>-0.04</v>
          </cell>
          <cell r="AB1278">
            <v>0.25</v>
          </cell>
          <cell r="AC1278">
            <v>0.25</v>
          </cell>
          <cell r="AD1278">
            <v>0.25</v>
          </cell>
          <cell r="AE1278">
            <v>0.25</v>
          </cell>
          <cell r="AF1278">
            <v>0.25</v>
          </cell>
          <cell r="AG1278">
            <v>0.25</v>
          </cell>
          <cell r="AH1278">
            <v>0.25</v>
          </cell>
          <cell r="AI1278">
            <v>0.25</v>
          </cell>
          <cell r="AJ1278">
            <v>0.25</v>
          </cell>
          <cell r="AK1278">
            <v>0.25</v>
          </cell>
          <cell r="AL1278">
            <v>0.25</v>
          </cell>
          <cell r="AM1278">
            <v>0.25</v>
          </cell>
          <cell r="AN1278">
            <v>0.25</v>
          </cell>
          <cell r="AO1278">
            <v>0.25</v>
          </cell>
          <cell r="AP1278">
            <v>0.25</v>
          </cell>
          <cell r="AQ1278">
            <v>0.25</v>
          </cell>
          <cell r="AR1278">
            <v>0.25</v>
          </cell>
          <cell r="AS1278">
            <v>0.25</v>
          </cell>
          <cell r="AT1278">
            <v>-0.04</v>
          </cell>
          <cell r="AU1278">
            <v>0.92</v>
          </cell>
          <cell r="AV1278">
            <v>20</v>
          </cell>
          <cell r="AY1278" t="str">
            <v/>
          </cell>
          <cell r="AZ1278">
            <v>0.25</v>
          </cell>
          <cell r="BA1278">
            <v>0.25</v>
          </cell>
        </row>
        <row r="1279">
          <cell r="A1279" t="str">
            <v>IACATI PORTE E FINESTRE SRL</v>
          </cell>
          <cell r="B1279" t="str">
            <v>SOLO BIGLIETTO DA VISITA   LASCIATO LISTINO SENZA SCONTO</v>
          </cell>
          <cell r="D1279" t="str">
            <v>S.P.8 KM 2,900 LOC.MORISCAU</v>
          </cell>
          <cell r="E1279" t="str">
            <v>09028</v>
          </cell>
          <cell r="F1279" t="str">
            <v>SESTU</v>
          </cell>
          <cell r="G1279" t="str">
            <v>CA</v>
          </cell>
          <cell r="H1279" t="str">
            <v>ITALIA</v>
          </cell>
          <cell r="M1279" t="str">
            <v>UFFICIO ACQUISTI</v>
          </cell>
          <cell r="N1279" t="str">
            <v>070 261617</v>
          </cell>
          <cell r="P1279" t="str">
            <v>info@iacati.com</v>
          </cell>
          <cell r="R1279" t="str">
            <v>BONIFICO BANCARIO, ALLA DATA DELLA NOSTRA CONFERMA D'ORDINE</v>
          </cell>
          <cell r="X1279">
            <v>0.25</v>
          </cell>
          <cell r="Y1279">
            <v>-0.04</v>
          </cell>
          <cell r="AB1279">
            <v>0.25</v>
          </cell>
          <cell r="AC1279">
            <v>0.25</v>
          </cell>
          <cell r="AD1279">
            <v>0.25</v>
          </cell>
          <cell r="AE1279">
            <v>0.25</v>
          </cell>
          <cell r="AF1279">
            <v>0.25</v>
          </cell>
          <cell r="AG1279">
            <v>0.25</v>
          </cell>
          <cell r="AH1279">
            <v>0.25</v>
          </cell>
          <cell r="AI1279">
            <v>0.25</v>
          </cell>
          <cell r="AJ1279">
            <v>0.25</v>
          </cell>
          <cell r="AK1279">
            <v>0.25</v>
          </cell>
          <cell r="AL1279">
            <v>0.25</v>
          </cell>
          <cell r="AM1279">
            <v>0.25</v>
          </cell>
          <cell r="AN1279">
            <v>0.25</v>
          </cell>
          <cell r="AO1279">
            <v>0.25</v>
          </cell>
          <cell r="AP1279">
            <v>0.25</v>
          </cell>
          <cell r="AQ1279">
            <v>0.25</v>
          </cell>
          <cell r="AR1279">
            <v>0.25</v>
          </cell>
          <cell r="AS1279">
            <v>0.25</v>
          </cell>
          <cell r="AT1279">
            <v>-0.04</v>
          </cell>
          <cell r="AU1279">
            <v>0.92</v>
          </cell>
          <cell r="AV1279">
            <v>20</v>
          </cell>
          <cell r="AZ1279">
            <v>0.25</v>
          </cell>
          <cell r="BA1279">
            <v>0.25</v>
          </cell>
        </row>
        <row r="1280">
          <cell r="A1280" t="str">
            <v>IACUZZI SERRAMENTI</v>
          </cell>
          <cell r="D1280" t="str">
            <v>CONTRADA COLLUZZO, SNC</v>
          </cell>
          <cell r="E1280" t="str">
            <v>90010</v>
          </cell>
          <cell r="F1280" t="str">
            <v>LASCARI</v>
          </cell>
          <cell r="G1280" t="str">
            <v>PA</v>
          </cell>
          <cell r="H1280" t="str">
            <v>ITALIA</v>
          </cell>
          <cell r="J1280" t="str">
            <v>03761260821</v>
          </cell>
          <cell r="M1280" t="str">
            <v>UFFICIO ACQUISTI</v>
          </cell>
          <cell r="N1280" t="str">
            <v>0921 427602</v>
          </cell>
          <cell r="O1280" t="str">
            <v>328 5933291</v>
          </cell>
          <cell r="P1280" t="str">
            <v>iacuzzi.f@hotmail.it</v>
          </cell>
          <cell r="R1280" t="str">
            <v>BONIFICO BANCARIO, ALLA DATA DELLA NOSTRA CONFERMA D'ORDINE</v>
          </cell>
          <cell r="X1280">
            <v>0.25</v>
          </cell>
          <cell r="Y1280">
            <v>-0.04</v>
          </cell>
          <cell r="AB1280">
            <v>0.25</v>
          </cell>
          <cell r="AC1280">
            <v>0.25</v>
          </cell>
          <cell r="AD1280">
            <v>0.25</v>
          </cell>
          <cell r="AE1280">
            <v>0.25</v>
          </cell>
          <cell r="AF1280">
            <v>0.25</v>
          </cell>
          <cell r="AG1280">
            <v>0.25</v>
          </cell>
          <cell r="AH1280">
            <v>0.25</v>
          </cell>
          <cell r="AI1280">
            <v>0.25</v>
          </cell>
          <cell r="AJ1280">
            <v>0.25</v>
          </cell>
          <cell r="AK1280">
            <v>0.25</v>
          </cell>
          <cell r="AL1280">
            <v>0.25</v>
          </cell>
          <cell r="AM1280">
            <v>0.25</v>
          </cell>
          <cell r="AN1280">
            <v>0.25</v>
          </cell>
          <cell r="AO1280">
            <v>0.25</v>
          </cell>
          <cell r="AP1280">
            <v>0.25</v>
          </cell>
          <cell r="AQ1280">
            <v>0.25</v>
          </cell>
          <cell r="AR1280">
            <v>0.25</v>
          </cell>
          <cell r="AS1280">
            <v>0.25</v>
          </cell>
          <cell r="AT1280">
            <v>-0.04</v>
          </cell>
          <cell r="AU1280">
            <v>0.92</v>
          </cell>
          <cell r="AV1280">
            <v>20</v>
          </cell>
          <cell r="AY1280" t="str">
            <v/>
          </cell>
          <cell r="AZ1280">
            <v>0.25</v>
          </cell>
          <cell r="BA1280">
            <v>0.25</v>
          </cell>
        </row>
        <row r="1281">
          <cell r="A1281" t="str">
            <v>IANUS</v>
          </cell>
          <cell r="D1281" t="str">
            <v>STRADA STATALE PER VOGHERA, 93 1</v>
          </cell>
          <cell r="E1281" t="str">
            <v>15057</v>
          </cell>
          <cell r="F1281" t="str">
            <v>TORTONA</v>
          </cell>
          <cell r="G1281" t="str">
            <v>AL</v>
          </cell>
          <cell r="H1281" t="str">
            <v>ITALIA</v>
          </cell>
          <cell r="J1281" t="str">
            <v>02393610064</v>
          </cell>
          <cell r="M1281" t="str">
            <v>UFFICIO ACQUISTI</v>
          </cell>
          <cell r="N1281" t="str">
            <v>0131 821741</v>
          </cell>
          <cell r="P1281" t="str">
            <v>info@ianustortona.it</v>
          </cell>
          <cell r="R1281" t="str">
            <v>BONIFICO BANCARIO, ALLA DATA DELLA NOSTRA CONFERMA D'ORDINE</v>
          </cell>
          <cell r="X1281">
            <v>0.25</v>
          </cell>
          <cell r="Y1281">
            <v>-0.04</v>
          </cell>
          <cell r="AB1281">
            <v>0.25</v>
          </cell>
          <cell r="AC1281">
            <v>0.25</v>
          </cell>
          <cell r="AD1281">
            <v>0.25</v>
          </cell>
          <cell r="AE1281">
            <v>0.25</v>
          </cell>
          <cell r="AF1281">
            <v>0.25</v>
          </cell>
          <cell r="AG1281">
            <v>0.25</v>
          </cell>
          <cell r="AH1281">
            <v>0.25</v>
          </cell>
          <cell r="AI1281">
            <v>0.25</v>
          </cell>
          <cell r="AJ1281">
            <v>0.25</v>
          </cell>
          <cell r="AK1281">
            <v>0.25</v>
          </cell>
          <cell r="AL1281">
            <v>0.25</v>
          </cell>
          <cell r="AM1281">
            <v>0.25</v>
          </cell>
          <cell r="AN1281">
            <v>0.25</v>
          </cell>
          <cell r="AO1281">
            <v>0.25</v>
          </cell>
          <cell r="AP1281">
            <v>0.25</v>
          </cell>
          <cell r="AQ1281">
            <v>0.25</v>
          </cell>
          <cell r="AR1281">
            <v>0.25</v>
          </cell>
          <cell r="AS1281">
            <v>0.25</v>
          </cell>
          <cell r="AT1281">
            <v>-0.04</v>
          </cell>
          <cell r="AU1281">
            <v>0.92</v>
          </cell>
          <cell r="AV1281">
            <v>20</v>
          </cell>
          <cell r="AZ1281">
            <v>0.25</v>
          </cell>
          <cell r="BA1281">
            <v>0.25</v>
          </cell>
        </row>
        <row r="1282">
          <cell r="A1282" t="str">
            <v>IASP DI G. GIUSEPPIN SAS</v>
          </cell>
          <cell r="D1282" t="str">
            <v>VIA FRANCA 44</v>
          </cell>
          <cell r="E1282" t="str">
            <v>30020</v>
          </cell>
          <cell r="F1282" t="str">
            <v>SUMMAGA DI PORTOGRUARO</v>
          </cell>
          <cell r="G1282" t="str">
            <v>VE</v>
          </cell>
          <cell r="H1282" t="str">
            <v>ITALIA</v>
          </cell>
          <cell r="J1282" t="str">
            <v>02710690278</v>
          </cell>
          <cell r="M1282" t="str">
            <v>UFFICIO ACQUISTI</v>
          </cell>
          <cell r="N1282" t="str">
            <v>0421 205200</v>
          </cell>
          <cell r="P1282" t="str">
            <v>info@iaspserramenti.it</v>
          </cell>
          <cell r="R1282" t="str">
            <v>BONIFICO BANCARIO, ALLA DATA DELLA NOSTRA CONFERMA D'ORDINE</v>
          </cell>
          <cell r="X1282">
            <v>0.25</v>
          </cell>
          <cell r="Y1282">
            <v>-0.04</v>
          </cell>
          <cell r="AB1282">
            <v>0.25</v>
          </cell>
          <cell r="AC1282">
            <v>0.25</v>
          </cell>
          <cell r="AD1282">
            <v>0.25</v>
          </cell>
          <cell r="AE1282">
            <v>0.25</v>
          </cell>
          <cell r="AF1282">
            <v>0.25</v>
          </cell>
          <cell r="AG1282">
            <v>0.25</v>
          </cell>
          <cell r="AH1282">
            <v>0.25</v>
          </cell>
          <cell r="AI1282">
            <v>0.25</v>
          </cell>
          <cell r="AJ1282">
            <v>0.25</v>
          </cell>
          <cell r="AK1282">
            <v>0.25</v>
          </cell>
          <cell r="AL1282">
            <v>0.25</v>
          </cell>
          <cell r="AM1282">
            <v>0.25</v>
          </cell>
          <cell r="AN1282">
            <v>0.25</v>
          </cell>
          <cell r="AO1282">
            <v>0.25</v>
          </cell>
          <cell r="AP1282">
            <v>0.25</v>
          </cell>
          <cell r="AQ1282">
            <v>0.25</v>
          </cell>
          <cell r="AR1282">
            <v>0.25</v>
          </cell>
          <cell r="AS1282">
            <v>0.25</v>
          </cell>
          <cell r="AT1282">
            <v>-0.04</v>
          </cell>
          <cell r="AU1282">
            <v>0.92</v>
          </cell>
          <cell r="AV1282">
            <v>20</v>
          </cell>
          <cell r="AY1282" t="str">
            <v/>
          </cell>
          <cell r="AZ1282">
            <v>0.25</v>
          </cell>
          <cell r="BA1282">
            <v>0.25</v>
          </cell>
        </row>
        <row r="1283">
          <cell r="A1283" t="str">
            <v>IDEA ALLUMINIO SNC DI MARCO E ANTONIO BELDI'</v>
          </cell>
          <cell r="D1283" t="str">
            <v>VIA VALSESIA 29 B</v>
          </cell>
          <cell r="E1283" t="str">
            <v>28047</v>
          </cell>
          <cell r="F1283" t="str">
            <v>OLEGGIO</v>
          </cell>
          <cell r="G1283" t="str">
            <v>NO</v>
          </cell>
          <cell r="H1283" t="str">
            <v>ITALIA</v>
          </cell>
          <cell r="J1283" t="str">
            <v>01123230037</v>
          </cell>
          <cell r="M1283" t="str">
            <v>UFFICIO ACQUISTI</v>
          </cell>
          <cell r="N1283" t="str">
            <v>0321 94290</v>
          </cell>
          <cell r="P1283" t="str">
            <v>info@ideaalluminiobeldi.it</v>
          </cell>
          <cell r="R1283" t="str">
            <v>BONIFICO BANCARIO, ALLA DATA DELLA NOSTRA CONFERMA D'ORDINE</v>
          </cell>
          <cell r="X1283">
            <v>0.25</v>
          </cell>
          <cell r="Y1283">
            <v>-0.04</v>
          </cell>
          <cell r="AB1283">
            <v>0.25</v>
          </cell>
          <cell r="AC1283">
            <v>0.25</v>
          </cell>
          <cell r="AD1283">
            <v>0.25</v>
          </cell>
          <cell r="AE1283">
            <v>0.25</v>
          </cell>
          <cell r="AF1283">
            <v>0.25</v>
          </cell>
          <cell r="AG1283">
            <v>0.25</v>
          </cell>
          <cell r="AH1283">
            <v>0.25</v>
          </cell>
          <cell r="AI1283">
            <v>0.25</v>
          </cell>
          <cell r="AJ1283">
            <v>0.25</v>
          </cell>
          <cell r="AK1283">
            <v>0.25</v>
          </cell>
          <cell r="AL1283">
            <v>0.25</v>
          </cell>
          <cell r="AM1283">
            <v>0.25</v>
          </cell>
          <cell r="AN1283">
            <v>0.25</v>
          </cell>
          <cell r="AO1283">
            <v>0.25</v>
          </cell>
          <cell r="AP1283">
            <v>0.25</v>
          </cell>
          <cell r="AQ1283">
            <v>0.25</v>
          </cell>
          <cell r="AR1283">
            <v>0.25</v>
          </cell>
          <cell r="AS1283">
            <v>0.25</v>
          </cell>
          <cell r="AT1283">
            <v>-0.04</v>
          </cell>
          <cell r="AU1283">
            <v>0.92</v>
          </cell>
          <cell r="AV1283">
            <v>20</v>
          </cell>
          <cell r="AY1283" t="str">
            <v/>
          </cell>
          <cell r="AZ1283">
            <v>0.25</v>
          </cell>
          <cell r="BA1283">
            <v>0.25</v>
          </cell>
        </row>
        <row r="1284">
          <cell r="A1284" t="str">
            <v>IDEA ARREDO SNC DI MARINELLI E CARROPPOLI</v>
          </cell>
          <cell r="B1284" t="str">
            <v>CARROPPOLI GIUSEPPE</v>
          </cell>
          <cell r="D1284" t="str">
            <v xml:space="preserve">VIA DEI PINI SNC </v>
          </cell>
          <cell r="E1284" t="str">
            <v>86039</v>
          </cell>
          <cell r="F1284" t="str">
            <v>TERMOLI</v>
          </cell>
          <cell r="G1284" t="str">
            <v>CB</v>
          </cell>
          <cell r="H1284" t="str">
            <v>ITALIA</v>
          </cell>
          <cell r="J1284" t="str">
            <v>00749570701</v>
          </cell>
          <cell r="M1284" t="str">
            <v>UFFICIO ACQUISTI</v>
          </cell>
          <cell r="N1284" t="str">
            <v>0875 85552</v>
          </cell>
          <cell r="O1284" t="str">
            <v>346 0688316</v>
          </cell>
          <cell r="R1284" t="str">
            <v>BONIFICO BANCARIO, ALLA DATA DELLA NOSTRA CONFERMA D'ORDINE</v>
          </cell>
          <cell r="X1284">
            <v>0.25</v>
          </cell>
          <cell r="Y1284">
            <v>-0.04</v>
          </cell>
          <cell r="AB1284">
            <v>0.25</v>
          </cell>
          <cell r="AC1284">
            <v>0.25</v>
          </cell>
          <cell r="AD1284">
            <v>0.25</v>
          </cell>
          <cell r="AE1284">
            <v>0.25</v>
          </cell>
          <cell r="AF1284">
            <v>0.25</v>
          </cell>
          <cell r="AG1284">
            <v>0.25</v>
          </cell>
          <cell r="AH1284">
            <v>0.25</v>
          </cell>
          <cell r="AI1284">
            <v>0.25</v>
          </cell>
          <cell r="AJ1284">
            <v>0.25</v>
          </cell>
          <cell r="AK1284">
            <v>0.25</v>
          </cell>
          <cell r="AL1284">
            <v>0.25</v>
          </cell>
          <cell r="AM1284">
            <v>0.25</v>
          </cell>
          <cell r="AN1284">
            <v>0.25</v>
          </cell>
          <cell r="AO1284">
            <v>0.25</v>
          </cell>
          <cell r="AP1284">
            <v>0.25</v>
          </cell>
          <cell r="AQ1284">
            <v>0.25</v>
          </cell>
          <cell r="AR1284">
            <v>0.25</v>
          </cell>
          <cell r="AS1284">
            <v>0.25</v>
          </cell>
          <cell r="AT1284">
            <v>-0.04</v>
          </cell>
          <cell r="AU1284">
            <v>0.92</v>
          </cell>
          <cell r="AV1284">
            <v>20</v>
          </cell>
          <cell r="AY1284" t="str">
            <v/>
          </cell>
          <cell r="AZ1284">
            <v>0.25</v>
          </cell>
          <cell r="BA1284">
            <v>0.25</v>
          </cell>
        </row>
        <row r="1285">
          <cell r="A1285" t="str">
            <v>IDEA CASA DI CAMPANA GIUSEPPE</v>
          </cell>
          <cell r="D1285" t="str">
            <v>VIA DANTE ALIGHIERI, 4</v>
          </cell>
          <cell r="E1285">
            <v>20872</v>
          </cell>
          <cell r="F1285" t="str">
            <v>CORNATE D'ADDA</v>
          </cell>
          <cell r="G1285" t="str">
            <v>MB</v>
          </cell>
          <cell r="H1285" t="str">
            <v>ITALIA</v>
          </cell>
          <cell r="I1285" t="str">
            <v>CMPGPP61L16E976X</v>
          </cell>
          <cell r="J1285" t="str">
            <v>00107070963</v>
          </cell>
          <cell r="M1285" t="str">
            <v>UFFICIO ACQUISTI</v>
          </cell>
          <cell r="N1285" t="str">
            <v>039 692583</v>
          </cell>
          <cell r="P1285" t="str">
            <v>ideacasa61@virgilio.it</v>
          </cell>
          <cell r="R1285" t="str">
            <v>BONIFICO BANCARIO, ALLA DATA DELLA NOSTRA CONFERMA D'ORDINE</v>
          </cell>
          <cell r="X1285">
            <v>0.25</v>
          </cell>
          <cell r="Y1285">
            <v>-0.04</v>
          </cell>
          <cell r="AB1285">
            <v>0.25</v>
          </cell>
          <cell r="AC1285">
            <v>0.25</v>
          </cell>
          <cell r="AD1285">
            <v>0.25</v>
          </cell>
          <cell r="AE1285">
            <v>0.25</v>
          </cell>
          <cell r="AF1285">
            <v>0.25</v>
          </cell>
          <cell r="AG1285">
            <v>0.25</v>
          </cell>
          <cell r="AH1285">
            <v>0.25</v>
          </cell>
          <cell r="AI1285">
            <v>0.25</v>
          </cell>
          <cell r="AJ1285">
            <v>0.25</v>
          </cell>
          <cell r="AK1285">
            <v>0.25</v>
          </cell>
          <cell r="AL1285">
            <v>0.25</v>
          </cell>
          <cell r="AM1285">
            <v>0.25</v>
          </cell>
          <cell r="AN1285">
            <v>0.25</v>
          </cell>
          <cell r="AO1285">
            <v>0.25</v>
          </cell>
          <cell r="AP1285">
            <v>0.25</v>
          </cell>
          <cell r="AQ1285">
            <v>0.25</v>
          </cell>
          <cell r="AR1285">
            <v>0.25</v>
          </cell>
          <cell r="AS1285">
            <v>0.25</v>
          </cell>
          <cell r="AT1285">
            <v>-0.04</v>
          </cell>
          <cell r="AU1285">
            <v>0.92</v>
          </cell>
          <cell r="AV1285">
            <v>20</v>
          </cell>
          <cell r="AY1285" t="str">
            <v/>
          </cell>
          <cell r="AZ1285">
            <v>0.25</v>
          </cell>
          <cell r="BA1285">
            <v>0.25</v>
          </cell>
        </row>
        <row r="1286">
          <cell r="A1286" t="str">
            <v>IDEA FINESTRA</v>
          </cell>
          <cell r="D1286" t="str">
            <v>VIA ROMA, 80</v>
          </cell>
          <cell r="E1286">
            <v>17053</v>
          </cell>
          <cell r="F1286" t="str">
            <v>LAIGUEGLIA</v>
          </cell>
          <cell r="G1286" t="str">
            <v>SV</v>
          </cell>
          <cell r="H1286" t="str">
            <v>ITALIA</v>
          </cell>
          <cell r="I1286" t="str">
            <v>00521920090</v>
          </cell>
          <cell r="J1286" t="str">
            <v>00521920090</v>
          </cell>
          <cell r="M1286" t="str">
            <v>UFFICIO ACQUISTI</v>
          </cell>
          <cell r="N1286" t="str">
            <v>0182 499506</v>
          </cell>
          <cell r="O1286" t="str">
            <v>338 3829685 - 339 3945014</v>
          </cell>
          <cell r="P1286" t="str">
            <v>info@ideafinestra.it</v>
          </cell>
          <cell r="R1286" t="str">
            <v>BONIFICO BANCARIO, ALLA DATA DELLA NOSTRA CONFERMA D'ORDINE</v>
          </cell>
          <cell r="X1286">
            <v>0.25</v>
          </cell>
          <cell r="Y1286">
            <v>-0.04</v>
          </cell>
          <cell r="AB1286">
            <v>0.25</v>
          </cell>
          <cell r="AC1286">
            <v>0.25</v>
          </cell>
          <cell r="AD1286">
            <v>0.25</v>
          </cell>
          <cell r="AE1286">
            <v>0.25</v>
          </cell>
          <cell r="AF1286">
            <v>0.25</v>
          </cell>
          <cell r="AG1286">
            <v>0.25</v>
          </cell>
          <cell r="AH1286">
            <v>0.25</v>
          </cell>
          <cell r="AI1286">
            <v>0.25</v>
          </cell>
          <cell r="AJ1286">
            <v>0.25</v>
          </cell>
          <cell r="AK1286">
            <v>0.25</v>
          </cell>
          <cell r="AL1286">
            <v>0.25</v>
          </cell>
          <cell r="AM1286">
            <v>0.25</v>
          </cell>
          <cell r="AN1286">
            <v>0.25</v>
          </cell>
          <cell r="AO1286">
            <v>0.25</v>
          </cell>
          <cell r="AP1286">
            <v>0.25</v>
          </cell>
          <cell r="AQ1286">
            <v>0.25</v>
          </cell>
          <cell r="AR1286">
            <v>0.25</v>
          </cell>
          <cell r="AS1286">
            <v>0.25</v>
          </cell>
          <cell r="AT1286">
            <v>-0.04</v>
          </cell>
          <cell r="AU1286">
            <v>0.92</v>
          </cell>
          <cell r="AV1286">
            <v>20</v>
          </cell>
          <cell r="AZ1286">
            <v>0.25</v>
          </cell>
          <cell r="BA1286">
            <v>0.25</v>
          </cell>
        </row>
        <row r="1287">
          <cell r="A1287" t="str">
            <v xml:space="preserve">IDEA INFISSI </v>
          </cell>
          <cell r="B1287" t="str">
            <v>ANDREA DE ROBERTIS</v>
          </cell>
          <cell r="D1287" t="str">
            <v>VIA DEI TRESSANTI, 9 VILL.ARTIGIANI</v>
          </cell>
          <cell r="E1287" t="str">
            <v>71100</v>
          </cell>
          <cell r="F1287" t="str">
            <v>FOGGIA</v>
          </cell>
          <cell r="G1287" t="str">
            <v>FG</v>
          </cell>
          <cell r="H1287" t="str">
            <v>ITALIA</v>
          </cell>
          <cell r="J1287" t="str">
            <v>04104490711</v>
          </cell>
          <cell r="K1287" t="str">
            <v>XL13LG4</v>
          </cell>
          <cell r="M1287" t="str">
            <v>UFFICIO ACQUISTI</v>
          </cell>
          <cell r="O1287" t="str">
            <v>338 3570301</v>
          </cell>
          <cell r="P1287" t="str">
            <v>ideainfissi@libero.it</v>
          </cell>
          <cell r="R1287" t="str">
            <v>BONIFICO BANCARIO, ALLA DATA DELLA NOSTRA CONFERMA D'ORDINE</v>
          </cell>
          <cell r="X1287">
            <v>0.2</v>
          </cell>
          <cell r="Y1287">
            <v>-0.04</v>
          </cell>
          <cell r="AB1287">
            <v>0.2</v>
          </cell>
          <cell r="AC1287">
            <v>0.2</v>
          </cell>
          <cell r="AD1287">
            <v>0.2</v>
          </cell>
          <cell r="AE1287">
            <v>0.2</v>
          </cell>
          <cell r="AF1287">
            <v>0.2</v>
          </cell>
          <cell r="AG1287">
            <v>0.2</v>
          </cell>
          <cell r="AH1287">
            <v>0.2</v>
          </cell>
          <cell r="AI1287">
            <v>0.2</v>
          </cell>
          <cell r="AJ1287">
            <v>0.2</v>
          </cell>
          <cell r="AK1287">
            <v>0.2</v>
          </cell>
          <cell r="AL1287">
            <v>0.2</v>
          </cell>
          <cell r="AM1287">
            <v>0.2</v>
          </cell>
          <cell r="AN1287">
            <v>0.2</v>
          </cell>
          <cell r="AO1287">
            <v>0.2</v>
          </cell>
          <cell r="AP1287">
            <v>0.2</v>
          </cell>
          <cell r="AQ1287">
            <v>0.2</v>
          </cell>
          <cell r="AR1287">
            <v>0.2</v>
          </cell>
          <cell r="AS1287">
            <v>0.2</v>
          </cell>
          <cell r="AT1287">
            <v>-0.04</v>
          </cell>
          <cell r="AU1287">
            <v>0.92</v>
          </cell>
          <cell r="AV1287">
            <v>20</v>
          </cell>
          <cell r="AZ1287">
            <v>0.2</v>
          </cell>
          <cell r="BA1287">
            <v>0.2</v>
          </cell>
        </row>
        <row r="1288">
          <cell r="A1288" t="str">
            <v>IDEA INFISSI DI PARRI EMILIANO</v>
          </cell>
          <cell r="D1288" t="str">
            <v>VIA OROSEI, 60</v>
          </cell>
          <cell r="E1288">
            <v>56023</v>
          </cell>
          <cell r="F1288" t="str">
            <v>NAVACCHIO</v>
          </cell>
          <cell r="G1288" t="str">
            <v>PI</v>
          </cell>
          <cell r="H1288" t="str">
            <v>ITALIA</v>
          </cell>
          <cell r="J1288" t="str">
            <v>01516710504</v>
          </cell>
          <cell r="M1288" t="str">
            <v>UFFICIO ACQUISTI</v>
          </cell>
          <cell r="O1288" t="str">
            <v>347 9430946</v>
          </cell>
          <cell r="P1288" t="str">
            <v>info@ideainfissifalegnameria</v>
          </cell>
          <cell r="R1288" t="str">
            <v>BONIFICO BANCARIO, ALLA DATA DELLA NOSTRA CONFERMA D'ORDINE</v>
          </cell>
          <cell r="X1288">
            <v>0.25</v>
          </cell>
          <cell r="Y1288">
            <v>-0.04</v>
          </cell>
          <cell r="AB1288">
            <v>0.25</v>
          </cell>
          <cell r="AC1288">
            <v>0.25</v>
          </cell>
          <cell r="AD1288">
            <v>0.25</v>
          </cell>
          <cell r="AE1288">
            <v>0.25</v>
          </cell>
          <cell r="AF1288">
            <v>0.25</v>
          </cell>
          <cell r="AG1288">
            <v>0.25</v>
          </cell>
          <cell r="AH1288">
            <v>0.25</v>
          </cell>
          <cell r="AI1288">
            <v>0.25</v>
          </cell>
          <cell r="AJ1288">
            <v>0.25</v>
          </cell>
          <cell r="AK1288">
            <v>0.25</v>
          </cell>
          <cell r="AL1288">
            <v>0.25</v>
          </cell>
          <cell r="AM1288">
            <v>0.25</v>
          </cell>
          <cell r="AN1288">
            <v>0.25</v>
          </cell>
          <cell r="AO1288">
            <v>0.25</v>
          </cell>
          <cell r="AP1288">
            <v>0.25</v>
          </cell>
          <cell r="AQ1288">
            <v>0.25</v>
          </cell>
          <cell r="AR1288">
            <v>0.25</v>
          </cell>
          <cell r="AS1288">
            <v>0.25</v>
          </cell>
          <cell r="AT1288">
            <v>-0.04</v>
          </cell>
          <cell r="AU1288">
            <v>0.92</v>
          </cell>
          <cell r="AV1288">
            <v>20</v>
          </cell>
          <cell r="AY1288" t="str">
            <v/>
          </cell>
          <cell r="AZ1288">
            <v>0.25</v>
          </cell>
          <cell r="BA1288">
            <v>0.25</v>
          </cell>
        </row>
        <row r="1289">
          <cell r="A1289" t="str">
            <v>IDEA PIU' S.A.S. DI QUADRIO FRANCO E C.</v>
          </cell>
          <cell r="B1289" t="str">
            <v>EX ACQUASTOP NON ACQUISTA PIU PERCHE DALLA CERNIERA DELLE CLASSIC I CLIENTI SI SONO ALLAGATI</v>
          </cell>
          <cell r="D1289" t="str">
            <v>VIA LEONINO DA ZARA, 46</v>
          </cell>
          <cell r="E1289" t="str">
            <v>35020</v>
          </cell>
          <cell r="F1289" t="str">
            <v>ALBIGNASEGO</v>
          </cell>
          <cell r="G1289" t="str">
            <v>PD</v>
          </cell>
          <cell r="H1289" t="str">
            <v>ITALIA</v>
          </cell>
          <cell r="J1289" t="str">
            <v>04700130281</v>
          </cell>
          <cell r="K1289" t="str">
            <v>SUBM70N</v>
          </cell>
          <cell r="M1289" t="str">
            <v>UFFICIO ACQUISTI</v>
          </cell>
          <cell r="N1289" t="str">
            <v>049 8830706</v>
          </cell>
          <cell r="O1289" t="str">
            <v>349 5654620 FRANCO</v>
          </cell>
          <cell r="P1289" t="str">
            <v>ideapiusas@gmail.com</v>
          </cell>
          <cell r="R1289" t="str">
            <v>BONIFICO BANCARIO, ALLA DATA DELLA NOSTRA CONFERMA D'ORDINE</v>
          </cell>
          <cell r="X1289">
            <v>0.25</v>
          </cell>
          <cell r="Y1289">
            <v>-0.04</v>
          </cell>
          <cell r="AB1289">
            <v>0.25</v>
          </cell>
          <cell r="AC1289">
            <v>0.25</v>
          </cell>
          <cell r="AD1289">
            <v>0.25</v>
          </cell>
          <cell r="AE1289">
            <v>0.25</v>
          </cell>
          <cell r="AF1289">
            <v>0.25</v>
          </cell>
          <cell r="AG1289">
            <v>0.25</v>
          </cell>
          <cell r="AH1289">
            <v>0.25</v>
          </cell>
          <cell r="AI1289">
            <v>0.25</v>
          </cell>
          <cell r="AJ1289">
            <v>0.25</v>
          </cell>
          <cell r="AK1289">
            <v>0.25</v>
          </cell>
          <cell r="AL1289">
            <v>0.25</v>
          </cell>
          <cell r="AM1289">
            <v>0.25</v>
          </cell>
          <cell r="AN1289">
            <v>0.25</v>
          </cell>
          <cell r="AO1289">
            <v>0.25</v>
          </cell>
          <cell r="AP1289">
            <v>0.25</v>
          </cell>
          <cell r="AQ1289">
            <v>0.25</v>
          </cell>
          <cell r="AR1289">
            <v>0.25</v>
          </cell>
          <cell r="AS1289">
            <v>0.25</v>
          </cell>
          <cell r="AT1289">
            <v>-0.04</v>
          </cell>
          <cell r="AU1289">
            <v>0.92</v>
          </cell>
          <cell r="AV1289">
            <v>20</v>
          </cell>
          <cell r="AZ1289">
            <v>0.25</v>
          </cell>
          <cell r="BA1289">
            <v>0.25</v>
          </cell>
        </row>
        <row r="1290">
          <cell r="A1290" t="str">
            <v>IDEA SERRAMENTI</v>
          </cell>
          <cell r="D1290" t="str">
            <v>CONTRADA CAMPO DI DONEI</v>
          </cell>
          <cell r="E1290" t="str">
            <v>85055</v>
          </cell>
          <cell r="F1290" t="str">
            <v>PICERNO</v>
          </cell>
          <cell r="G1290" t="str">
            <v>PZ</v>
          </cell>
          <cell r="H1290" t="str">
            <v>ITALIA</v>
          </cell>
          <cell r="M1290" t="str">
            <v>UFFICIO ACQUISTI</v>
          </cell>
          <cell r="N1290" t="str">
            <v>0971 995867</v>
          </cell>
          <cell r="O1290" t="str">
            <v>347 1891030</v>
          </cell>
          <cell r="P1290" t="str">
            <v>ideaserramenti@tiscali.it</v>
          </cell>
          <cell r="R1290" t="str">
            <v>BONIFICO BANCARIO, ALLA DATA DELLA NOSTRA CONFERMA D'ORDINE</v>
          </cell>
          <cell r="X1290">
            <v>0.25</v>
          </cell>
          <cell r="Y1290">
            <v>-0.04</v>
          </cell>
          <cell r="AB1290">
            <v>0.25</v>
          </cell>
          <cell r="AC1290">
            <v>0.25</v>
          </cell>
          <cell r="AD1290">
            <v>0.25</v>
          </cell>
          <cell r="AE1290">
            <v>0.25</v>
          </cell>
          <cell r="AF1290">
            <v>0.25</v>
          </cell>
          <cell r="AG1290">
            <v>0.25</v>
          </cell>
          <cell r="AH1290">
            <v>0.25</v>
          </cell>
          <cell r="AI1290">
            <v>0.25</v>
          </cell>
          <cell r="AJ1290">
            <v>0.25</v>
          </cell>
          <cell r="AK1290">
            <v>0.25</v>
          </cell>
          <cell r="AL1290">
            <v>0.25</v>
          </cell>
          <cell r="AM1290">
            <v>0.25</v>
          </cell>
          <cell r="AN1290">
            <v>0.25</v>
          </cell>
          <cell r="AO1290">
            <v>0.25</v>
          </cell>
          <cell r="AP1290">
            <v>0.25</v>
          </cell>
          <cell r="AQ1290">
            <v>0.25</v>
          </cell>
          <cell r="AR1290">
            <v>0.25</v>
          </cell>
          <cell r="AS1290">
            <v>0.25</v>
          </cell>
          <cell r="AT1290">
            <v>-0.04</v>
          </cell>
          <cell r="AU1290">
            <v>0.92</v>
          </cell>
          <cell r="AV1290">
            <v>20</v>
          </cell>
          <cell r="AY1290" t="str">
            <v/>
          </cell>
          <cell r="AZ1290">
            <v>0.25</v>
          </cell>
          <cell r="BA1290">
            <v>0.25</v>
          </cell>
        </row>
        <row r="1291">
          <cell r="A1291" t="str">
            <v>IDEA SERRAMENTI SRL</v>
          </cell>
          <cell r="D1291" t="str">
            <v>VIALE DELLA REPUBBLICA, 47</v>
          </cell>
          <cell r="E1291" t="str">
            <v>48024</v>
          </cell>
          <cell r="F1291" t="str">
            <v>MASSA LOMBARDA</v>
          </cell>
          <cell r="G1291" t="str">
            <v>RA</v>
          </cell>
          <cell r="H1291" t="str">
            <v>ITALIA</v>
          </cell>
          <cell r="J1291" t="str">
            <v>03261641207</v>
          </cell>
          <cell r="M1291" t="str">
            <v>UFFICIO ACQUISTI</v>
          </cell>
          <cell r="N1291" t="str">
            <v>0545 83081</v>
          </cell>
          <cell r="O1291" t="str">
            <v>333 3630598 ALESSIA FERRIERI</v>
          </cell>
          <cell r="P1291" t="str">
            <v>info@ideaserramentisrl.it</v>
          </cell>
          <cell r="R1291" t="str">
            <v>BONIFICO BANCARIO, ALLA DATA DELLA NOSTRA CONFERMA D'ORDINE</v>
          </cell>
          <cell r="X1291">
            <v>0.25</v>
          </cell>
          <cell r="Y1291">
            <v>-0.04</v>
          </cell>
          <cell r="AB1291">
            <v>0.25</v>
          </cell>
          <cell r="AC1291">
            <v>0.25</v>
          </cell>
          <cell r="AD1291">
            <v>0.25</v>
          </cell>
          <cell r="AE1291">
            <v>0.25</v>
          </cell>
          <cell r="AF1291">
            <v>0.25</v>
          </cell>
          <cell r="AG1291">
            <v>0.25</v>
          </cell>
          <cell r="AH1291">
            <v>0.25</v>
          </cell>
          <cell r="AI1291">
            <v>0.25</v>
          </cell>
          <cell r="AJ1291">
            <v>0.25</v>
          </cell>
          <cell r="AK1291">
            <v>0.25</v>
          </cell>
          <cell r="AL1291">
            <v>0.25</v>
          </cell>
          <cell r="AM1291">
            <v>0.25</v>
          </cell>
          <cell r="AN1291">
            <v>0.25</v>
          </cell>
          <cell r="AO1291">
            <v>0.25</v>
          </cell>
          <cell r="AP1291">
            <v>0.25</v>
          </cell>
          <cell r="AQ1291">
            <v>0.25</v>
          </cell>
          <cell r="AR1291">
            <v>0.25</v>
          </cell>
          <cell r="AS1291">
            <v>0.25</v>
          </cell>
          <cell r="AT1291">
            <v>-0.04</v>
          </cell>
          <cell r="AU1291">
            <v>0.92</v>
          </cell>
          <cell r="AV1291">
            <v>20</v>
          </cell>
          <cell r="AZ1291">
            <v>0.25</v>
          </cell>
          <cell r="BA1291">
            <v>0.25</v>
          </cell>
        </row>
        <row r="1292">
          <cell r="A1292" t="str">
            <v>IDEA.RE SRL</v>
          </cell>
          <cell r="D1292" t="str">
            <v>VIA PIERSANTI MATTARELLA, 16 18</v>
          </cell>
          <cell r="E1292" t="str">
            <v>90141</v>
          </cell>
          <cell r="F1292" t="str">
            <v>PALERMO</v>
          </cell>
          <cell r="G1292" t="str">
            <v>PA</v>
          </cell>
          <cell r="H1292" t="str">
            <v>ITALIA</v>
          </cell>
          <cell r="J1292" t="str">
            <v>06340880829</v>
          </cell>
          <cell r="M1292" t="str">
            <v>UFFICIO ACQUISTI</v>
          </cell>
          <cell r="N1292" t="str">
            <v>091 6268066</v>
          </cell>
          <cell r="P1292" t="str">
            <v>info@ideareinfissi.it</v>
          </cell>
          <cell r="R1292" t="str">
            <v>BONIFICO BANCARIO, ALLA DATA DELLA NOSTRA CONFERMA D'ORDINE</v>
          </cell>
          <cell r="X1292">
            <v>0.25</v>
          </cell>
          <cell r="Y1292">
            <v>-0.04</v>
          </cell>
          <cell r="AB1292">
            <v>0.25</v>
          </cell>
          <cell r="AC1292">
            <v>0.25</v>
          </cell>
          <cell r="AD1292">
            <v>0.25</v>
          </cell>
          <cell r="AE1292">
            <v>0.25</v>
          </cell>
          <cell r="AF1292">
            <v>0.25</v>
          </cell>
          <cell r="AG1292">
            <v>0.25</v>
          </cell>
          <cell r="AH1292">
            <v>0.25</v>
          </cell>
          <cell r="AI1292">
            <v>0.25</v>
          </cell>
          <cell r="AJ1292">
            <v>0.25</v>
          </cell>
          <cell r="AK1292">
            <v>0.25</v>
          </cell>
          <cell r="AL1292">
            <v>0.25</v>
          </cell>
          <cell r="AM1292">
            <v>0.25</v>
          </cell>
          <cell r="AN1292">
            <v>0.25</v>
          </cell>
          <cell r="AO1292">
            <v>0.25</v>
          </cell>
          <cell r="AP1292">
            <v>0.25</v>
          </cell>
          <cell r="AQ1292">
            <v>0.25</v>
          </cell>
          <cell r="AR1292">
            <v>0.25</v>
          </cell>
          <cell r="AS1292">
            <v>0.25</v>
          </cell>
          <cell r="AT1292">
            <v>-0.04</v>
          </cell>
          <cell r="AU1292">
            <v>0.92</v>
          </cell>
          <cell r="AV1292">
            <v>20</v>
          </cell>
          <cell r="AY1292" t="str">
            <v/>
          </cell>
          <cell r="AZ1292">
            <v>0.25</v>
          </cell>
          <cell r="BA1292">
            <v>0.25</v>
          </cell>
        </row>
        <row r="1293">
          <cell r="A1293" t="str">
            <v>IDEAINFISSI</v>
          </cell>
          <cell r="D1293" t="str">
            <v>C.SO TOGLIATTI, 9 A</v>
          </cell>
          <cell r="E1293">
            <v>27029</v>
          </cell>
          <cell r="F1293" t="str">
            <v>VIGEVANO</v>
          </cell>
          <cell r="G1293" t="str">
            <v>PV</v>
          </cell>
          <cell r="H1293" t="str">
            <v>ITALIA</v>
          </cell>
          <cell r="I1293" t="str">
            <v>02143530182</v>
          </cell>
          <cell r="J1293" t="str">
            <v>02143530182</v>
          </cell>
          <cell r="M1293" t="str">
            <v>UFFICIO ACQUISTI</v>
          </cell>
          <cell r="N1293" t="str">
            <v>0381 74742</v>
          </cell>
          <cell r="O1293" t="str">
            <v>347 1098234</v>
          </cell>
          <cell r="P1293" t="str">
            <v>info@ideainfissisnc.it</v>
          </cell>
          <cell r="R1293" t="str">
            <v>BONIFICO BANCARIO, ALLA DATA DELLA NOSTRA CONFERMA D'ORDINE</v>
          </cell>
          <cell r="X1293">
            <v>0.25</v>
          </cell>
          <cell r="Y1293">
            <v>-0.04</v>
          </cell>
          <cell r="AB1293">
            <v>0.25</v>
          </cell>
          <cell r="AC1293">
            <v>0.25</v>
          </cell>
          <cell r="AD1293">
            <v>0.25</v>
          </cell>
          <cell r="AE1293">
            <v>0.25</v>
          </cell>
          <cell r="AF1293">
            <v>0.25</v>
          </cell>
          <cell r="AG1293">
            <v>0.25</v>
          </cell>
          <cell r="AH1293">
            <v>0.25</v>
          </cell>
          <cell r="AI1293">
            <v>0.25</v>
          </cell>
          <cell r="AJ1293">
            <v>0.25</v>
          </cell>
          <cell r="AK1293">
            <v>0.25</v>
          </cell>
          <cell r="AL1293">
            <v>0.25</v>
          </cell>
          <cell r="AM1293">
            <v>0.25</v>
          </cell>
          <cell r="AN1293">
            <v>0.25</v>
          </cell>
          <cell r="AO1293">
            <v>0.25</v>
          </cell>
          <cell r="AP1293">
            <v>0.25</v>
          </cell>
          <cell r="AQ1293">
            <v>0.25</v>
          </cell>
          <cell r="AR1293">
            <v>0.25</v>
          </cell>
          <cell r="AS1293">
            <v>0.25</v>
          </cell>
          <cell r="AT1293">
            <v>-0.04</v>
          </cell>
          <cell r="AU1293">
            <v>0.92</v>
          </cell>
          <cell r="AV1293">
            <v>20</v>
          </cell>
          <cell r="AZ1293">
            <v>0.25</v>
          </cell>
          <cell r="BA1293">
            <v>0.25</v>
          </cell>
        </row>
        <row r="1294">
          <cell r="A1294" t="str">
            <v>IDEAL CASA SERRAMENTI</v>
          </cell>
          <cell r="D1294" t="str">
            <v>VIA AURELIA SUD 285/8</v>
          </cell>
          <cell r="E1294" t="str">
            <v>55049</v>
          </cell>
          <cell r="F1294" t="str">
            <v>VIAREGGIO</v>
          </cell>
          <cell r="G1294" t="str">
            <v>LU</v>
          </cell>
          <cell r="H1294" t="str">
            <v>ITALIA</v>
          </cell>
          <cell r="J1294" t="str">
            <v>01443410467</v>
          </cell>
          <cell r="M1294" t="str">
            <v>UFFICIO ACQUISTI</v>
          </cell>
          <cell r="N1294" t="str">
            <v>0584 618672</v>
          </cell>
          <cell r="P1294" t="str">
            <v>info@idealcasaserramenti.it</v>
          </cell>
          <cell r="R1294" t="str">
            <v>BONIFICO BANCARIO, ALLA DATA DELLA NOSTRA CONFERMA D'ORDINE</v>
          </cell>
          <cell r="X1294">
            <v>0.25</v>
          </cell>
          <cell r="Y1294">
            <v>-0.04</v>
          </cell>
          <cell r="AB1294">
            <v>0.25</v>
          </cell>
          <cell r="AC1294">
            <v>0.25</v>
          </cell>
          <cell r="AD1294">
            <v>0.25</v>
          </cell>
          <cell r="AE1294">
            <v>0.25</v>
          </cell>
          <cell r="AF1294">
            <v>0.25</v>
          </cell>
          <cell r="AG1294">
            <v>0.25</v>
          </cell>
          <cell r="AH1294">
            <v>0.25</v>
          </cell>
          <cell r="AI1294">
            <v>0.25</v>
          </cell>
          <cell r="AJ1294">
            <v>0.25</v>
          </cell>
          <cell r="AK1294">
            <v>0.25</v>
          </cell>
          <cell r="AL1294">
            <v>0.25</v>
          </cell>
          <cell r="AM1294">
            <v>0.25</v>
          </cell>
          <cell r="AN1294">
            <v>0.25</v>
          </cell>
          <cell r="AO1294">
            <v>0.25</v>
          </cell>
          <cell r="AP1294">
            <v>0.25</v>
          </cell>
          <cell r="AQ1294">
            <v>0.25</v>
          </cell>
          <cell r="AR1294">
            <v>0.25</v>
          </cell>
          <cell r="AS1294">
            <v>0.25</v>
          </cell>
          <cell r="AT1294">
            <v>-0.04</v>
          </cell>
          <cell r="AU1294">
            <v>0.92</v>
          </cell>
          <cell r="AV1294">
            <v>20</v>
          </cell>
          <cell r="AY1294" t="str">
            <v/>
          </cell>
          <cell r="AZ1294">
            <v>0.25</v>
          </cell>
          <cell r="BA1294">
            <v>0.25</v>
          </cell>
        </row>
        <row r="1295">
          <cell r="A1295" t="str">
            <v>IDEAL INFISSI SRL</v>
          </cell>
          <cell r="D1295" t="str">
            <v>CORSO DANTE ALIGHIERI ULTIMA TRAVERSA</v>
          </cell>
          <cell r="E1295">
            <v>81033</v>
          </cell>
          <cell r="F1295" t="str">
            <v>CASAL DI PRINCIPE</v>
          </cell>
          <cell r="G1295" t="str">
            <v>CE</v>
          </cell>
          <cell r="H1295" t="str">
            <v>ITALIA</v>
          </cell>
          <cell r="J1295" t="str">
            <v>03405900618</v>
          </cell>
          <cell r="K1295" t="str">
            <v>X2PH38J</v>
          </cell>
          <cell r="M1295" t="str">
            <v>UFFICIO ACQUISTI</v>
          </cell>
          <cell r="N1295" t="str">
            <v>081 8925332</v>
          </cell>
          <cell r="O1295" t="str">
            <v>392 6121207</v>
          </cell>
          <cell r="P1295" t="str">
            <v>info@idealinfissisrl.it</v>
          </cell>
          <cell r="R1295" t="str">
            <v>BONIFICO BANCARIO, ALLA DATA DELLA NOSTRA CONFERMA D'ORDINE</v>
          </cell>
          <cell r="X1295">
            <v>0.25</v>
          </cell>
          <cell r="Y1295">
            <v>-0.04</v>
          </cell>
          <cell r="AB1295">
            <v>0.25</v>
          </cell>
          <cell r="AC1295">
            <v>0.25</v>
          </cell>
          <cell r="AD1295">
            <v>0.25</v>
          </cell>
          <cell r="AE1295">
            <v>0.25</v>
          </cell>
          <cell r="AF1295">
            <v>0.25</v>
          </cell>
          <cell r="AG1295">
            <v>0.25</v>
          </cell>
          <cell r="AH1295">
            <v>0.25</v>
          </cell>
          <cell r="AI1295">
            <v>0.25</v>
          </cell>
          <cell r="AJ1295">
            <v>0.25</v>
          </cell>
          <cell r="AK1295">
            <v>0.25</v>
          </cell>
          <cell r="AL1295">
            <v>0.25</v>
          </cell>
          <cell r="AM1295">
            <v>0.25</v>
          </cell>
          <cell r="AN1295">
            <v>0.25</v>
          </cell>
          <cell r="AO1295">
            <v>0.25</v>
          </cell>
          <cell r="AP1295">
            <v>0.25</v>
          </cell>
          <cell r="AQ1295">
            <v>0.25</v>
          </cell>
          <cell r="AR1295">
            <v>0.25</v>
          </cell>
          <cell r="AS1295">
            <v>0.25</v>
          </cell>
          <cell r="AT1295">
            <v>-0.04</v>
          </cell>
          <cell r="AU1295">
            <v>0.92</v>
          </cell>
          <cell r="AV1295">
            <v>20</v>
          </cell>
          <cell r="AY1295" t="str">
            <v/>
          </cell>
          <cell r="AZ1295">
            <v>0.25</v>
          </cell>
          <cell r="BA1295">
            <v>0.25</v>
          </cell>
        </row>
        <row r="1296">
          <cell r="A1296" t="str">
            <v>IDEAL SERRAMENTI</v>
          </cell>
          <cell r="D1296" t="str">
            <v>VIA SPALATO, 12</v>
          </cell>
          <cell r="E1296">
            <v>21014</v>
          </cell>
          <cell r="F1296" t="str">
            <v>LAVENO MOMBELLO</v>
          </cell>
          <cell r="G1296" t="str">
            <v>VA</v>
          </cell>
          <cell r="H1296" t="str">
            <v>ITALIA</v>
          </cell>
          <cell r="M1296" t="str">
            <v>UFFICIO ACQUISTI</v>
          </cell>
          <cell r="N1296" t="str">
            <v>0332 662844</v>
          </cell>
          <cell r="O1296" t="str">
            <v>333 2618698 Ermanno Tusini</v>
          </cell>
          <cell r="P1296" t="str">
            <v>info@idealserramenti.it</v>
          </cell>
          <cell r="R1296" t="str">
            <v>BONIFICO BANCARIO, ALLA DATA DELLA NOSTRA CONFERMA D'ORDINE</v>
          </cell>
          <cell r="X1296">
            <v>0.25</v>
          </cell>
          <cell r="Y1296">
            <v>-0.04</v>
          </cell>
          <cell r="AB1296">
            <v>0.25</v>
          </cell>
          <cell r="AC1296">
            <v>0.25</v>
          </cell>
          <cell r="AD1296">
            <v>0.25</v>
          </cell>
          <cell r="AE1296">
            <v>0.25</v>
          </cell>
          <cell r="AF1296">
            <v>0.25</v>
          </cell>
          <cell r="AG1296">
            <v>0.25</v>
          </cell>
          <cell r="AH1296">
            <v>0.25</v>
          </cell>
          <cell r="AI1296">
            <v>0.25</v>
          </cell>
          <cell r="AJ1296">
            <v>0.25</v>
          </cell>
          <cell r="AK1296">
            <v>0.25</v>
          </cell>
          <cell r="AL1296">
            <v>0.25</v>
          </cell>
          <cell r="AM1296">
            <v>0.25</v>
          </cell>
          <cell r="AN1296">
            <v>0.25</v>
          </cell>
          <cell r="AO1296">
            <v>0.25</v>
          </cell>
          <cell r="AP1296">
            <v>0.25</v>
          </cell>
          <cell r="AQ1296">
            <v>0.25</v>
          </cell>
          <cell r="AR1296">
            <v>0.25</v>
          </cell>
          <cell r="AS1296">
            <v>0.25</v>
          </cell>
          <cell r="AT1296">
            <v>-0.04</v>
          </cell>
          <cell r="AU1296">
            <v>0.92</v>
          </cell>
          <cell r="AV1296">
            <v>20</v>
          </cell>
          <cell r="AY1296" t="str">
            <v/>
          </cell>
          <cell r="AZ1296">
            <v>0.25</v>
          </cell>
          <cell r="BA1296">
            <v>0.25</v>
          </cell>
        </row>
        <row r="1297">
          <cell r="A1297" t="str">
            <v xml:space="preserve">IDEAL SERRAMENTI SRL </v>
          </cell>
          <cell r="D1297" t="str">
            <v>S.S. VIA EMILIA NORD, 10</v>
          </cell>
          <cell r="E1297">
            <v>26841</v>
          </cell>
          <cell r="F1297" t="str">
            <v>CASALPUSTERLENGO</v>
          </cell>
          <cell r="G1297" t="str">
            <v>LO</v>
          </cell>
          <cell r="H1297" t="str">
            <v>ITALIA</v>
          </cell>
          <cell r="I1297" t="str">
            <v>11073670967</v>
          </cell>
          <cell r="J1297" t="str">
            <v>11073670967</v>
          </cell>
          <cell r="M1297" t="str">
            <v>UFFICIO ACQUISTI</v>
          </cell>
          <cell r="O1297" t="str">
            <v>Marco Pirotto 348 7534654</v>
          </cell>
          <cell r="P1297" t="str">
            <v>ideal.serramenti@pec.it</v>
          </cell>
          <cell r="R1297" t="str">
            <v>BONIFICO BANCARIO, ALLA DATA DELLA NOSTRA CONFERMA D'ORDINE</v>
          </cell>
          <cell r="X1297">
            <v>0.25</v>
          </cell>
          <cell r="Y1297">
            <v>-0.04</v>
          </cell>
          <cell r="AB1297">
            <v>0.25</v>
          </cell>
          <cell r="AC1297">
            <v>0.25</v>
          </cell>
          <cell r="AD1297">
            <v>0.25</v>
          </cell>
          <cell r="AE1297">
            <v>0.25</v>
          </cell>
          <cell r="AF1297">
            <v>0.25</v>
          </cell>
          <cell r="AG1297">
            <v>0.25</v>
          </cell>
          <cell r="AH1297">
            <v>0.25</v>
          </cell>
          <cell r="AI1297">
            <v>0.25</v>
          </cell>
          <cell r="AJ1297">
            <v>0.25</v>
          </cell>
          <cell r="AK1297">
            <v>0.25</v>
          </cell>
          <cell r="AL1297">
            <v>0.25</v>
          </cell>
          <cell r="AM1297">
            <v>0.25</v>
          </cell>
          <cell r="AN1297">
            <v>0.25</v>
          </cell>
          <cell r="AO1297">
            <v>0.25</v>
          </cell>
          <cell r="AP1297">
            <v>0.25</v>
          </cell>
          <cell r="AQ1297">
            <v>0.25</v>
          </cell>
          <cell r="AR1297">
            <v>0.25</v>
          </cell>
          <cell r="AS1297">
            <v>0.25</v>
          </cell>
          <cell r="AT1297">
            <v>-0.04</v>
          </cell>
          <cell r="AU1297">
            <v>0.92</v>
          </cell>
          <cell r="AV1297">
            <v>20</v>
          </cell>
          <cell r="AY1297" t="str">
            <v/>
          </cell>
          <cell r="AZ1297">
            <v>0.25</v>
          </cell>
          <cell r="BA1297">
            <v>0.25</v>
          </cell>
        </row>
        <row r="1298">
          <cell r="A1298" t="str">
            <v>IDEAL VETRO</v>
          </cell>
          <cell r="D1298" t="str">
            <v>C.DA TORRECANDELE 550</v>
          </cell>
          <cell r="E1298">
            <v>98076</v>
          </cell>
          <cell r="F1298" t="str">
            <v>S.AGATA MILITELLO</v>
          </cell>
          <cell r="G1298" t="str">
            <v>MS</v>
          </cell>
          <cell r="H1298" t="str">
            <v>ITALIA</v>
          </cell>
          <cell r="J1298" t="str">
            <v>02670110838</v>
          </cell>
          <cell r="M1298" t="str">
            <v>UFFICIO ACQUISTI</v>
          </cell>
          <cell r="N1298" t="str">
            <v>0941 702251</v>
          </cell>
          <cell r="P1298" t="str">
            <v>idealvetro@hotmail.it</v>
          </cell>
          <cell r="R1298" t="str">
            <v>BONIFICO BANCARIO, ALLA DATA DELLA NOSTRA CONFERMA D'ORDINE</v>
          </cell>
          <cell r="X1298">
            <v>0.25</v>
          </cell>
          <cell r="Y1298">
            <v>-0.04</v>
          </cell>
          <cell r="AB1298">
            <v>0.25</v>
          </cell>
          <cell r="AC1298">
            <v>0.25</v>
          </cell>
          <cell r="AD1298">
            <v>0.25</v>
          </cell>
          <cell r="AE1298">
            <v>0.25</v>
          </cell>
          <cell r="AF1298">
            <v>0.25</v>
          </cell>
          <cell r="AG1298">
            <v>0.25</v>
          </cell>
          <cell r="AH1298">
            <v>0.25</v>
          </cell>
          <cell r="AI1298">
            <v>0.25</v>
          </cell>
          <cell r="AJ1298">
            <v>0.25</v>
          </cell>
          <cell r="AK1298">
            <v>0.25</v>
          </cell>
          <cell r="AL1298">
            <v>0.25</v>
          </cell>
          <cell r="AM1298">
            <v>0.25</v>
          </cell>
          <cell r="AN1298">
            <v>0.25</v>
          </cell>
          <cell r="AO1298">
            <v>0.25</v>
          </cell>
          <cell r="AP1298">
            <v>0.25</v>
          </cell>
          <cell r="AQ1298">
            <v>0.25</v>
          </cell>
          <cell r="AR1298">
            <v>0.25</v>
          </cell>
          <cell r="AS1298">
            <v>0.25</v>
          </cell>
          <cell r="AT1298">
            <v>-0.04</v>
          </cell>
          <cell r="AU1298">
            <v>0.92</v>
          </cell>
          <cell r="AV1298">
            <v>20</v>
          </cell>
          <cell r="AY1298" t="str">
            <v/>
          </cell>
          <cell r="AZ1298">
            <v>0.25</v>
          </cell>
          <cell r="BA1298">
            <v>0.25</v>
          </cell>
        </row>
        <row r="1299">
          <cell r="A1299" t="str">
            <v xml:space="preserve">IDEALTENDA </v>
          </cell>
          <cell r="D1299" t="str">
            <v>VIA G.MARCONI, 4</v>
          </cell>
          <cell r="E1299" t="str">
            <v>42020</v>
          </cell>
          <cell r="F1299" t="str">
            <v>S.PAOLO D'ENZA</v>
          </cell>
          <cell r="G1299" t="str">
            <v>RE</v>
          </cell>
          <cell r="H1299" t="str">
            <v>ITALIA</v>
          </cell>
          <cell r="J1299" t="str">
            <v>02409890353</v>
          </cell>
          <cell r="M1299" t="str">
            <v>UFFICIO ACQUISTI</v>
          </cell>
          <cell r="N1299" t="str">
            <v>0522 873373</v>
          </cell>
          <cell r="P1299" t="str">
            <v>idealtenda@libero.it</v>
          </cell>
          <cell r="R1299" t="str">
            <v>BONIFICO BANCARIO, ALLA DATA DELLA NOSTRA CONFERMA D'ORDINE</v>
          </cell>
          <cell r="X1299">
            <v>0.25</v>
          </cell>
          <cell r="Y1299">
            <v>-0.04</v>
          </cell>
          <cell r="AB1299">
            <v>0.25</v>
          </cell>
          <cell r="AC1299">
            <v>0.25</v>
          </cell>
          <cell r="AD1299">
            <v>0.25</v>
          </cell>
          <cell r="AE1299">
            <v>0.25</v>
          </cell>
          <cell r="AF1299">
            <v>0.25</v>
          </cell>
          <cell r="AG1299">
            <v>0.25</v>
          </cell>
          <cell r="AH1299">
            <v>0.25</v>
          </cell>
          <cell r="AI1299">
            <v>0.25</v>
          </cell>
          <cell r="AJ1299">
            <v>0.25</v>
          </cell>
          <cell r="AK1299">
            <v>0.25</v>
          </cell>
          <cell r="AL1299">
            <v>0.25</v>
          </cell>
          <cell r="AM1299">
            <v>0.25</v>
          </cell>
          <cell r="AN1299">
            <v>0.25</v>
          </cell>
          <cell r="AO1299">
            <v>0.25</v>
          </cell>
          <cell r="AP1299">
            <v>0.25</v>
          </cell>
          <cell r="AQ1299">
            <v>0.25</v>
          </cell>
          <cell r="AR1299">
            <v>0.25</v>
          </cell>
          <cell r="AS1299">
            <v>0.25</v>
          </cell>
          <cell r="AT1299">
            <v>-0.04</v>
          </cell>
          <cell r="AU1299">
            <v>0.92</v>
          </cell>
          <cell r="AV1299">
            <v>20</v>
          </cell>
          <cell r="AY1299" t="str">
            <v/>
          </cell>
          <cell r="AZ1299">
            <v>0.25</v>
          </cell>
          <cell r="BA1299">
            <v>0.25</v>
          </cell>
        </row>
        <row r="1300">
          <cell r="A1300" t="str">
            <v>IDRO GEO CONSULT SRL UNIPERSONALE</v>
          </cell>
          <cell r="B1300" t="str">
            <v>14/02/23 NON SONO INTERESSATI</v>
          </cell>
          <cell r="D1300" t="str">
            <v>VIA PIRANDELLO, 3</v>
          </cell>
          <cell r="E1300" t="str">
            <v>95041</v>
          </cell>
          <cell r="F1300" t="str">
            <v>CALTAGIRONE</v>
          </cell>
          <cell r="G1300" t="str">
            <v>CT</v>
          </cell>
          <cell r="H1300" t="str">
            <v>ITALIA</v>
          </cell>
          <cell r="J1300" t="str">
            <v>01792200857</v>
          </cell>
          <cell r="M1300" t="str">
            <v>UFFICIO ACQUISTI</v>
          </cell>
          <cell r="O1300" t="str">
            <v>375 5894291 PIAZZA NUNZIO</v>
          </cell>
          <cell r="P1300" t="str">
            <v>idrogeoconsult@virgilio.it</v>
          </cell>
          <cell r="R1300" t="str">
            <v>BONIFICO BANCARIO, ALLA DATA DELLA NOSTRA CONFERMA D'ORDINE</v>
          </cell>
          <cell r="X1300">
            <v>0.2</v>
          </cell>
          <cell r="Y1300">
            <v>-0.04</v>
          </cell>
          <cell r="AB1300">
            <v>0.25</v>
          </cell>
          <cell r="AC1300">
            <v>0.25</v>
          </cell>
          <cell r="AD1300">
            <v>0.25</v>
          </cell>
          <cell r="AE1300">
            <v>0.25</v>
          </cell>
          <cell r="AF1300">
            <v>0.25</v>
          </cell>
          <cell r="AG1300">
            <v>0.25</v>
          </cell>
          <cell r="AH1300">
            <v>0.25</v>
          </cell>
          <cell r="AI1300">
            <v>0.25</v>
          </cell>
          <cell r="AJ1300">
            <v>0.25</v>
          </cell>
          <cell r="AK1300">
            <v>0.25</v>
          </cell>
          <cell r="AL1300">
            <v>0.25</v>
          </cell>
          <cell r="AM1300">
            <v>0.25</v>
          </cell>
          <cell r="AN1300">
            <v>0.25</v>
          </cell>
          <cell r="AO1300">
            <v>0.25</v>
          </cell>
          <cell r="AP1300">
            <v>0.25</v>
          </cell>
          <cell r="AQ1300">
            <v>0.25</v>
          </cell>
          <cell r="AR1300">
            <v>0.25</v>
          </cell>
          <cell r="AS1300">
            <v>0.25</v>
          </cell>
          <cell r="AT1300">
            <v>-0.04</v>
          </cell>
          <cell r="AU1300">
            <v>0.9</v>
          </cell>
          <cell r="AV1300">
            <v>20</v>
          </cell>
          <cell r="AZ1300">
            <v>0.25</v>
          </cell>
          <cell r="BA1300">
            <v>0.25</v>
          </cell>
        </row>
        <row r="1301">
          <cell r="A1301" t="str">
            <v xml:space="preserve">IENTILUCCI INFISSI </v>
          </cell>
          <cell r="B1301" t="str">
            <v>SERGIO SELVAGGIO</v>
          </cell>
          <cell r="D1301" t="str">
            <v>VIA ISOLE EOLIE 13</v>
          </cell>
          <cell r="E1301" t="str">
            <v>86039</v>
          </cell>
          <cell r="F1301" t="str">
            <v>TERMOLI</v>
          </cell>
          <cell r="G1301" t="str">
            <v>CB</v>
          </cell>
          <cell r="H1301" t="str">
            <v>ITALIA</v>
          </cell>
          <cell r="M1301" t="str">
            <v>UFFICIO ACQUISTI</v>
          </cell>
          <cell r="N1301" t="str">
            <v>0875 701295</v>
          </cell>
          <cell r="O1301" t="str">
            <v>328 9661820</v>
          </cell>
          <cell r="P1301" t="str">
            <v>info@ientiluccifinestre.com</v>
          </cell>
          <cell r="R1301" t="str">
            <v>BONIFICO BANCARIO, ALLA DATA DELLA NOSTRA CONFERMA D'ORDINE</v>
          </cell>
          <cell r="X1301">
            <v>0.25</v>
          </cell>
          <cell r="Y1301">
            <v>-0.04</v>
          </cell>
          <cell r="AB1301">
            <v>0.25</v>
          </cell>
          <cell r="AC1301">
            <v>0.25</v>
          </cell>
          <cell r="AD1301">
            <v>0.25</v>
          </cell>
          <cell r="AE1301">
            <v>0.25</v>
          </cell>
          <cell r="AF1301">
            <v>0.25</v>
          </cell>
          <cell r="AG1301">
            <v>0.25</v>
          </cell>
          <cell r="AH1301">
            <v>0.25</v>
          </cell>
          <cell r="AI1301">
            <v>0.25</v>
          </cell>
          <cell r="AJ1301">
            <v>0.25</v>
          </cell>
          <cell r="AK1301">
            <v>0.25</v>
          </cell>
          <cell r="AL1301">
            <v>0.25</v>
          </cell>
          <cell r="AM1301">
            <v>0.25</v>
          </cell>
          <cell r="AN1301">
            <v>0.25</v>
          </cell>
          <cell r="AO1301">
            <v>0.25</v>
          </cell>
          <cell r="AP1301">
            <v>0.25</v>
          </cell>
          <cell r="AQ1301">
            <v>0.25</v>
          </cell>
          <cell r="AR1301">
            <v>0.25</v>
          </cell>
          <cell r="AS1301">
            <v>0.25</v>
          </cell>
          <cell r="AT1301">
            <v>-0.04</v>
          </cell>
          <cell r="AU1301">
            <v>0.92</v>
          </cell>
          <cell r="AV1301">
            <v>20</v>
          </cell>
          <cell r="AY1301" t="str">
            <v/>
          </cell>
          <cell r="AZ1301">
            <v>0.25</v>
          </cell>
          <cell r="BA1301">
            <v>0.25</v>
          </cell>
        </row>
        <row r="1302">
          <cell r="A1302" t="str">
            <v>IGM SERRAMENTI SNC</v>
          </cell>
          <cell r="D1302" t="str">
            <v>CORSO ITALIA 24</v>
          </cell>
          <cell r="E1302" t="str">
            <v>15067</v>
          </cell>
          <cell r="F1302" t="str">
            <v>NOVI LIGURE</v>
          </cell>
          <cell r="G1302" t="str">
            <v>AL</v>
          </cell>
          <cell r="H1302" t="str">
            <v>ITALIA</v>
          </cell>
          <cell r="J1302" t="str">
            <v>02248110062</v>
          </cell>
          <cell r="M1302" t="str">
            <v>UFFICIO ACQUISTI</v>
          </cell>
          <cell r="N1302" t="str">
            <v>0143 1432904</v>
          </cell>
          <cell r="O1302" t="str">
            <v>329 81432904</v>
          </cell>
          <cell r="P1302" t="str">
            <v>igmserramenti@tiscali.it</v>
          </cell>
          <cell r="R1302" t="str">
            <v>BONIFICO BANCARIO, ALLA DATA DELLA NOSTRA CONFERMA D'ORDINE</v>
          </cell>
          <cell r="X1302">
            <v>0.25</v>
          </cell>
          <cell r="Y1302">
            <v>-0.04</v>
          </cell>
          <cell r="AB1302">
            <v>0.25</v>
          </cell>
          <cell r="AC1302">
            <v>0.25</v>
          </cell>
          <cell r="AD1302">
            <v>0.25</v>
          </cell>
          <cell r="AE1302">
            <v>0.25</v>
          </cell>
          <cell r="AF1302">
            <v>0.25</v>
          </cell>
          <cell r="AG1302">
            <v>0.25</v>
          </cell>
          <cell r="AH1302">
            <v>0.25</v>
          </cell>
          <cell r="AI1302">
            <v>0.25</v>
          </cell>
          <cell r="AJ1302">
            <v>0.25</v>
          </cell>
          <cell r="AK1302">
            <v>0.25</v>
          </cell>
          <cell r="AL1302">
            <v>0.25</v>
          </cell>
          <cell r="AM1302">
            <v>0.25</v>
          </cell>
          <cell r="AN1302">
            <v>0.25</v>
          </cell>
          <cell r="AO1302">
            <v>0.25</v>
          </cell>
          <cell r="AP1302">
            <v>0.25</v>
          </cell>
          <cell r="AQ1302">
            <v>0.25</v>
          </cell>
          <cell r="AR1302">
            <v>0.25</v>
          </cell>
          <cell r="AS1302">
            <v>0.25</v>
          </cell>
          <cell r="AT1302">
            <v>-0.04</v>
          </cell>
          <cell r="AU1302">
            <v>0.92</v>
          </cell>
          <cell r="AV1302">
            <v>20</v>
          </cell>
          <cell r="AY1302" t="str">
            <v/>
          </cell>
          <cell r="AZ1302">
            <v>0.25</v>
          </cell>
          <cell r="BA1302">
            <v>0.25</v>
          </cell>
        </row>
        <row r="1303">
          <cell r="A1303" t="str">
            <v>IHP GMBH</v>
          </cell>
          <cell r="D1303" t="str">
            <v>LEIPZIGER STR. 49</v>
          </cell>
          <cell r="E1303" t="str">
            <v>63526</v>
          </cell>
          <cell r="F1303" t="str">
            <v>ERLENSEE</v>
          </cell>
          <cell r="H1303" t="str">
            <v>GERMANIA</v>
          </cell>
          <cell r="J1303" t="str">
            <v>DE320749401</v>
          </cell>
          <cell r="K1303" t="str">
            <v>XXXXXXX</v>
          </cell>
          <cell r="M1303" t="str">
            <v>UFFICIO ACQUISTI</v>
          </cell>
          <cell r="O1303" t="str">
            <v>+49 176 20724513</v>
          </cell>
          <cell r="P1303" t="str">
            <v>allay@hochwasserschutz-profi.de</v>
          </cell>
          <cell r="R1303" t="str">
            <v>BANKÜBERWEISUNG, AM DATUM UNSERER AUFTRAGSBESTÄTIGUNG</v>
          </cell>
          <cell r="X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cell r="AO1303">
            <v>0</v>
          </cell>
          <cell r="AP1303">
            <v>0</v>
          </cell>
          <cell r="AQ1303">
            <v>0</v>
          </cell>
          <cell r="AR1303">
            <v>0</v>
          </cell>
          <cell r="AT1303">
            <v>0</v>
          </cell>
          <cell r="AU1303">
            <v>0.84</v>
          </cell>
          <cell r="AV1303">
            <v>20</v>
          </cell>
          <cell r="AZ1303">
            <v>0</v>
          </cell>
          <cell r="BA1303">
            <v>0</v>
          </cell>
        </row>
        <row r="1304">
          <cell r="A1304" t="str">
            <v>IL CASTORO SAS</v>
          </cell>
          <cell r="D1304" t="str">
            <v>VIA DEI MILLE, 195</v>
          </cell>
          <cell r="E1304">
            <v>17031</v>
          </cell>
          <cell r="F1304" t="str">
            <v>ALBENGA</v>
          </cell>
          <cell r="G1304" t="str">
            <v>SV</v>
          </cell>
          <cell r="H1304" t="str">
            <v>ITALIA</v>
          </cell>
          <cell r="J1304" t="str">
            <v>01414760098</v>
          </cell>
          <cell r="K1304" t="str">
            <v>SUBM70N</v>
          </cell>
          <cell r="M1304" t="str">
            <v>UFFICIO ACQUISTI</v>
          </cell>
          <cell r="N1304" t="str">
            <v>0182 53486</v>
          </cell>
          <cell r="O1304" t="str">
            <v>393 7512484 SILIVIO</v>
          </cell>
          <cell r="P1304" t="str">
            <v>ilcastorosas@libero.it</v>
          </cell>
          <cell r="R1304" t="str">
            <v>BONIFICO BANCARIO, ALLA DATA DELLA NOSTRA CONFERMA D'ORDINE</v>
          </cell>
          <cell r="X1304">
            <v>0.25</v>
          </cell>
          <cell r="Y1304">
            <v>-0.04</v>
          </cell>
          <cell r="AB1304">
            <v>0.25</v>
          </cell>
          <cell r="AC1304">
            <v>0.25</v>
          </cell>
          <cell r="AD1304">
            <v>0.25</v>
          </cell>
          <cell r="AE1304">
            <v>0.25</v>
          </cell>
          <cell r="AF1304">
            <v>0.25</v>
          </cell>
          <cell r="AG1304">
            <v>0.25</v>
          </cell>
          <cell r="AH1304">
            <v>0.25</v>
          </cell>
          <cell r="AI1304">
            <v>0.25</v>
          </cell>
          <cell r="AJ1304">
            <v>0.25</v>
          </cell>
          <cell r="AK1304">
            <v>0.25</v>
          </cell>
          <cell r="AL1304">
            <v>0.25</v>
          </cell>
          <cell r="AM1304">
            <v>0.25</v>
          </cell>
          <cell r="AN1304">
            <v>0.25</v>
          </cell>
          <cell r="AO1304">
            <v>0.25</v>
          </cell>
          <cell r="AP1304">
            <v>0.25</v>
          </cell>
          <cell r="AQ1304">
            <v>0.25</v>
          </cell>
          <cell r="AR1304">
            <v>0.25</v>
          </cell>
          <cell r="AS1304">
            <v>0.25</v>
          </cell>
          <cell r="AT1304">
            <v>-0.04</v>
          </cell>
          <cell r="AU1304">
            <v>0.92</v>
          </cell>
          <cell r="AV1304">
            <v>20</v>
          </cell>
          <cell r="AY1304" t="str">
            <v/>
          </cell>
          <cell r="AZ1304">
            <v>0.25</v>
          </cell>
          <cell r="BA1304">
            <v>0.25</v>
          </cell>
        </row>
        <row r="1305">
          <cell r="A1305" t="str">
            <v>IL CENTRO AULLUMINIO EUROPA s.a..s.</v>
          </cell>
          <cell r="D1305" t="str">
            <v>VIA E. DE AMICIS, 55</v>
          </cell>
          <cell r="E1305">
            <v>18039</v>
          </cell>
          <cell r="F1305" t="str">
            <v>PORRA FR. VENTIMIGLIA</v>
          </cell>
          <cell r="G1305" t="str">
            <v>IM</v>
          </cell>
          <cell r="H1305" t="str">
            <v>ITALIA</v>
          </cell>
          <cell r="J1305" t="str">
            <v>01237970080</v>
          </cell>
          <cell r="M1305" t="str">
            <v>UFFICIO ACQUISTI</v>
          </cell>
          <cell r="N1305" t="str">
            <v>0184 31155</v>
          </cell>
          <cell r="O1305" t="str">
            <v>06 15831587</v>
          </cell>
          <cell r="P1305" t="str">
            <v>alluminioeuropa@libero.it</v>
          </cell>
          <cell r="R1305" t="str">
            <v>BONIFICO BANCARIO, ALLA DATA DELLA NOSTRA CONFERMA D'ORDINE</v>
          </cell>
          <cell r="X1305">
            <v>0.25</v>
          </cell>
          <cell r="Y1305">
            <v>-0.04</v>
          </cell>
          <cell r="AB1305">
            <v>0.25</v>
          </cell>
          <cell r="AC1305">
            <v>0.25</v>
          </cell>
          <cell r="AD1305">
            <v>0.25</v>
          </cell>
          <cell r="AE1305">
            <v>0.25</v>
          </cell>
          <cell r="AF1305">
            <v>0.25</v>
          </cell>
          <cell r="AG1305">
            <v>0.25</v>
          </cell>
          <cell r="AH1305">
            <v>0.25</v>
          </cell>
          <cell r="AI1305">
            <v>0.25</v>
          </cell>
          <cell r="AJ1305">
            <v>0.25</v>
          </cell>
          <cell r="AK1305">
            <v>0.25</v>
          </cell>
          <cell r="AL1305">
            <v>0.25</v>
          </cell>
          <cell r="AM1305">
            <v>0.25</v>
          </cell>
          <cell r="AN1305">
            <v>0.25</v>
          </cell>
          <cell r="AO1305">
            <v>0.25</v>
          </cell>
          <cell r="AP1305">
            <v>0.25</v>
          </cell>
          <cell r="AQ1305">
            <v>0.25</v>
          </cell>
          <cell r="AR1305">
            <v>0.25</v>
          </cell>
          <cell r="AS1305">
            <v>0.25</v>
          </cell>
          <cell r="AT1305">
            <v>-0.04</v>
          </cell>
          <cell r="AU1305">
            <v>0.92</v>
          </cell>
          <cell r="AV1305">
            <v>20</v>
          </cell>
          <cell r="AY1305" t="str">
            <v/>
          </cell>
          <cell r="AZ1305">
            <v>0.25</v>
          </cell>
          <cell r="BA1305">
            <v>0.25</v>
          </cell>
        </row>
        <row r="1306">
          <cell r="A1306" t="str">
            <v>IL CENTRO SERRAMENTI MILANO</v>
          </cell>
          <cell r="D1306" t="str">
            <v>VIA DELLE LEGHE 21</v>
          </cell>
          <cell r="E1306" t="str">
            <v>20127</v>
          </cell>
          <cell r="F1306" t="str">
            <v>MILANO</v>
          </cell>
          <cell r="G1306" t="str">
            <v>MI</v>
          </cell>
          <cell r="H1306" t="str">
            <v>ITALIA</v>
          </cell>
          <cell r="M1306" t="str">
            <v>UFFICIO ACQUISTI</v>
          </cell>
          <cell r="N1306" t="str">
            <v>02 26820331</v>
          </cell>
          <cell r="R1306" t="str">
            <v>BONIFICO BANCARIO, ALLA DATA DELLA NOSTRA CONFERMA D'ORDINE</v>
          </cell>
          <cell r="X1306">
            <v>0.25</v>
          </cell>
          <cell r="Y1306">
            <v>-0.04</v>
          </cell>
          <cell r="AB1306">
            <v>0.25</v>
          </cell>
          <cell r="AC1306">
            <v>0.25</v>
          </cell>
          <cell r="AD1306">
            <v>0.25</v>
          </cell>
          <cell r="AE1306">
            <v>0.25</v>
          </cell>
          <cell r="AF1306">
            <v>0.25</v>
          </cell>
          <cell r="AG1306">
            <v>0.25</v>
          </cell>
          <cell r="AH1306">
            <v>0.25</v>
          </cell>
          <cell r="AI1306">
            <v>0.25</v>
          </cell>
          <cell r="AJ1306">
            <v>0.25</v>
          </cell>
          <cell r="AK1306">
            <v>0.25</v>
          </cell>
          <cell r="AL1306">
            <v>0.25</v>
          </cell>
          <cell r="AM1306">
            <v>0.25</v>
          </cell>
          <cell r="AN1306">
            <v>0.25</v>
          </cell>
          <cell r="AO1306">
            <v>0.25</v>
          </cell>
          <cell r="AP1306">
            <v>0.25</v>
          </cell>
          <cell r="AQ1306">
            <v>0.25</v>
          </cell>
          <cell r="AR1306">
            <v>0.25</v>
          </cell>
          <cell r="AS1306">
            <v>0.25</v>
          </cell>
          <cell r="AT1306">
            <v>-0.04</v>
          </cell>
          <cell r="AU1306">
            <v>0.92</v>
          </cell>
          <cell r="AV1306">
            <v>20</v>
          </cell>
          <cell r="AY1306" t="str">
            <v/>
          </cell>
          <cell r="AZ1306">
            <v>0.25</v>
          </cell>
          <cell r="BA1306">
            <v>0.25</v>
          </cell>
        </row>
        <row r="1307">
          <cell r="A1307" t="str">
            <v>IL DESIGN DI LISANTI ILENIA</v>
          </cell>
          <cell r="D1307" t="str">
            <v>VIA A. VOCHIERI 121</v>
          </cell>
          <cell r="E1307" t="str">
            <v>15121</v>
          </cell>
          <cell r="F1307" t="str">
            <v>ALESSANDRIA</v>
          </cell>
          <cell r="G1307" t="str">
            <v>AL</v>
          </cell>
          <cell r="H1307" t="str">
            <v>ITALIA</v>
          </cell>
          <cell r="J1307" t="str">
            <v>02337340067</v>
          </cell>
          <cell r="M1307" t="str">
            <v>UFFICIO ACQUISTI</v>
          </cell>
          <cell r="N1307" t="str">
            <v>340 3047886</v>
          </cell>
          <cell r="R1307" t="str">
            <v>BONIFICO BANCARIO, ALLA DATA DELLA NOSTRA CONFERMA D'ORDINE</v>
          </cell>
          <cell r="X1307">
            <v>0.25</v>
          </cell>
          <cell r="Y1307">
            <v>-0.04</v>
          </cell>
          <cell r="AB1307">
            <v>0.25</v>
          </cell>
          <cell r="AC1307">
            <v>0.25</v>
          </cell>
          <cell r="AD1307">
            <v>0.25</v>
          </cell>
          <cell r="AE1307">
            <v>0.25</v>
          </cell>
          <cell r="AF1307">
            <v>0.25</v>
          </cell>
          <cell r="AG1307">
            <v>0.25</v>
          </cell>
          <cell r="AH1307">
            <v>0.25</v>
          </cell>
          <cell r="AI1307">
            <v>0.25</v>
          </cell>
          <cell r="AJ1307">
            <v>0.25</v>
          </cell>
          <cell r="AK1307">
            <v>0.25</v>
          </cell>
          <cell r="AL1307">
            <v>0.25</v>
          </cell>
          <cell r="AM1307">
            <v>0.25</v>
          </cell>
          <cell r="AN1307">
            <v>0.25</v>
          </cell>
          <cell r="AO1307">
            <v>0.25</v>
          </cell>
          <cell r="AP1307">
            <v>0.25</v>
          </cell>
          <cell r="AQ1307">
            <v>0.25</v>
          </cell>
          <cell r="AR1307">
            <v>0.25</v>
          </cell>
          <cell r="AS1307">
            <v>0.25</v>
          </cell>
          <cell r="AT1307">
            <v>-0.04</v>
          </cell>
          <cell r="AU1307">
            <v>0.92</v>
          </cell>
          <cell r="AV1307">
            <v>20</v>
          </cell>
          <cell r="AY1307" t="str">
            <v>CONTRASSEGNO corriere espresso GLS 3% (minimo 3 euro)</v>
          </cell>
          <cell r="AZ1307">
            <v>0.25</v>
          </cell>
          <cell r="BA1307">
            <v>0.25</v>
          </cell>
        </row>
        <row r="1308">
          <cell r="A1308" t="str">
            <v>IL FABBRO DI DI PESO ANTONIETTA SAS</v>
          </cell>
          <cell r="D1308" t="str">
            <v>VIA TOSCO ROMAGNOLO SUD, 35</v>
          </cell>
          <cell r="E1308" t="str">
            <v>50056</v>
          </cell>
          <cell r="F1308" t="str">
            <v>MONTELUPPO FIORENTINO</v>
          </cell>
          <cell r="G1308" t="str">
            <v>FI</v>
          </cell>
          <cell r="H1308" t="str">
            <v>ITALIA</v>
          </cell>
          <cell r="J1308" t="str">
            <v>06707740483</v>
          </cell>
          <cell r="K1308" t="str">
            <v>M5UXCR1</v>
          </cell>
          <cell r="M1308" t="str">
            <v>UFFICIO ACQUISTI</v>
          </cell>
          <cell r="N1308" t="str">
            <v>0571 913785</v>
          </cell>
          <cell r="O1308" t="str">
            <v>338 9021758 MASSIMO</v>
          </cell>
          <cell r="P1308" t="str">
            <v>info@ilfabbrosas.com</v>
          </cell>
          <cell r="R1308" t="str">
            <v>BONIFICO BANCARIO, ALLA DATA DELLA NOSTRA CONFERMA D'ORDINE</v>
          </cell>
          <cell r="X1308">
            <v>0.25</v>
          </cell>
          <cell r="Y1308">
            <v>-0.04</v>
          </cell>
          <cell r="AB1308">
            <v>0.25</v>
          </cell>
          <cell r="AC1308">
            <v>0.25</v>
          </cell>
          <cell r="AD1308">
            <v>0.25</v>
          </cell>
          <cell r="AE1308">
            <v>0.25</v>
          </cell>
          <cell r="AF1308">
            <v>0.25</v>
          </cell>
          <cell r="AG1308">
            <v>0.25</v>
          </cell>
          <cell r="AH1308">
            <v>0.25</v>
          </cell>
          <cell r="AI1308">
            <v>0.25</v>
          </cell>
          <cell r="AJ1308">
            <v>0.25</v>
          </cell>
          <cell r="AK1308">
            <v>0.25</v>
          </cell>
          <cell r="AL1308">
            <v>0.25</v>
          </cell>
          <cell r="AM1308">
            <v>0.25</v>
          </cell>
          <cell r="AN1308">
            <v>0.25</v>
          </cell>
          <cell r="AO1308">
            <v>0.25</v>
          </cell>
          <cell r="AP1308">
            <v>0.25</v>
          </cell>
          <cell r="AQ1308">
            <v>0.25</v>
          </cell>
          <cell r="AR1308">
            <v>0.25</v>
          </cell>
          <cell r="AS1308">
            <v>0.25</v>
          </cell>
          <cell r="AT1308">
            <v>-0.04</v>
          </cell>
          <cell r="AU1308">
            <v>0.92</v>
          </cell>
          <cell r="AV1308">
            <v>20</v>
          </cell>
          <cell r="AY1308" t="str">
            <v/>
          </cell>
          <cell r="AZ1308">
            <v>0.25</v>
          </cell>
          <cell r="BA1308">
            <v>0.25</v>
          </cell>
        </row>
        <row r="1309">
          <cell r="A1309" t="str">
            <v xml:space="preserve">IL MONDO DEGLI INFISSI </v>
          </cell>
          <cell r="D1309" t="str">
            <v>VIA MARCO PERENNIO, 24 E</v>
          </cell>
          <cell r="E1309" t="str">
            <v>52100</v>
          </cell>
          <cell r="G1309" t="str">
            <v>AR</v>
          </cell>
          <cell r="H1309" t="str">
            <v>ITALIA</v>
          </cell>
          <cell r="M1309" t="str">
            <v>UFFICIO ACQUISTI</v>
          </cell>
          <cell r="N1309" t="str">
            <v>0575 1654814</v>
          </cell>
          <cell r="O1309" t="str">
            <v>345 9122662</v>
          </cell>
          <cell r="P1309" t="str">
            <v>ilmondodegliinfissi@gmail.com</v>
          </cell>
          <cell r="R1309" t="str">
            <v>BONIFICO BANCARIO, ALLA DATA DELLA NOSTRA CONFERMA D'ORDINE</v>
          </cell>
          <cell r="X1309">
            <v>0.25</v>
          </cell>
          <cell r="Y1309">
            <v>-0.04</v>
          </cell>
          <cell r="AB1309">
            <v>0.25</v>
          </cell>
          <cell r="AC1309">
            <v>0.25</v>
          </cell>
          <cell r="AD1309">
            <v>0.25</v>
          </cell>
          <cell r="AE1309">
            <v>0.25</v>
          </cell>
          <cell r="AF1309">
            <v>0.25</v>
          </cell>
          <cell r="AG1309">
            <v>0.25</v>
          </cell>
          <cell r="AH1309">
            <v>0.25</v>
          </cell>
          <cell r="AI1309">
            <v>0.25</v>
          </cell>
          <cell r="AJ1309">
            <v>0.25</v>
          </cell>
          <cell r="AK1309">
            <v>0.25</v>
          </cell>
          <cell r="AL1309">
            <v>0.25</v>
          </cell>
          <cell r="AM1309">
            <v>0.25</v>
          </cell>
          <cell r="AN1309">
            <v>0.25</v>
          </cell>
          <cell r="AO1309">
            <v>0.25</v>
          </cell>
          <cell r="AP1309">
            <v>0.25</v>
          </cell>
          <cell r="AQ1309">
            <v>0.25</v>
          </cell>
          <cell r="AR1309">
            <v>0.25</v>
          </cell>
          <cell r="AS1309">
            <v>0.25</v>
          </cell>
          <cell r="AT1309">
            <v>-0.04</v>
          </cell>
          <cell r="AU1309">
            <v>0.92</v>
          </cell>
          <cell r="AV1309">
            <v>20</v>
          </cell>
          <cell r="AY1309" t="str">
            <v/>
          </cell>
          <cell r="AZ1309">
            <v>0.25</v>
          </cell>
          <cell r="BA1309">
            <v>0.25</v>
          </cell>
        </row>
        <row r="1310">
          <cell r="A1310" t="str">
            <v>IL QUADRIFOGLIO DI BRINA C. E M. SNC</v>
          </cell>
          <cell r="B1310" t="str">
            <v>LASCIATO LISTINO IL 28/10/2020</v>
          </cell>
          <cell r="D1310" t="str">
            <v>VIA PIAVE, 88</v>
          </cell>
          <cell r="F1310" t="str">
            <v>VADO LIGURE</v>
          </cell>
          <cell r="G1310" t="str">
            <v>SV</v>
          </cell>
          <cell r="H1310" t="str">
            <v>ITALIA</v>
          </cell>
          <cell r="M1310" t="str">
            <v>UFFICIO ACQUISTI</v>
          </cell>
          <cell r="N1310" t="str">
            <v>0197 47082</v>
          </cell>
          <cell r="R1310" t="str">
            <v>BONIFICO BANCARIO, ALLA DATA DELLA NOSTRA CONFERMA D'ORDINE</v>
          </cell>
          <cell r="X1310">
            <v>0.25</v>
          </cell>
          <cell r="Y1310">
            <v>-0.04</v>
          </cell>
          <cell r="AB1310">
            <v>0.25</v>
          </cell>
          <cell r="AC1310">
            <v>0.25</v>
          </cell>
          <cell r="AD1310">
            <v>0.25</v>
          </cell>
          <cell r="AE1310">
            <v>0.25</v>
          </cell>
          <cell r="AF1310">
            <v>0.25</v>
          </cell>
          <cell r="AG1310">
            <v>0.25</v>
          </cell>
          <cell r="AH1310">
            <v>0.25</v>
          </cell>
          <cell r="AI1310">
            <v>0.25</v>
          </cell>
          <cell r="AJ1310">
            <v>0.25</v>
          </cell>
          <cell r="AK1310">
            <v>0.25</v>
          </cell>
          <cell r="AL1310">
            <v>0.25</v>
          </cell>
          <cell r="AM1310">
            <v>0.25</v>
          </cell>
          <cell r="AN1310">
            <v>0.25</v>
          </cell>
          <cell r="AO1310">
            <v>0.25</v>
          </cell>
          <cell r="AP1310">
            <v>0.25</v>
          </cell>
          <cell r="AQ1310">
            <v>0.25</v>
          </cell>
          <cell r="AR1310">
            <v>0.25</v>
          </cell>
          <cell r="AS1310">
            <v>0.25</v>
          </cell>
          <cell r="AT1310">
            <v>-0.04</v>
          </cell>
          <cell r="AU1310">
            <v>0.92</v>
          </cell>
          <cell r="AV1310">
            <v>20</v>
          </cell>
          <cell r="AZ1310">
            <v>0.25</v>
          </cell>
          <cell r="BA1310">
            <v>0.25</v>
          </cell>
        </row>
        <row r="1311">
          <cell r="A1311" t="str">
            <v>IL QUADRIFOGLIO SNC</v>
          </cell>
          <cell r="D1311" t="str">
            <v>CANNREGLIO, 1516</v>
          </cell>
          <cell r="E1311" t="str">
            <v>30121</v>
          </cell>
          <cell r="F1311" t="str">
            <v>VENEZIA</v>
          </cell>
          <cell r="G1311" t="str">
            <v>VE</v>
          </cell>
          <cell r="H1311" t="str">
            <v>ITALIA</v>
          </cell>
          <cell r="J1311" t="str">
            <v>02088550278</v>
          </cell>
          <cell r="K1311" t="str">
            <v>M5UXCR1</v>
          </cell>
          <cell r="M1311" t="str">
            <v>UFFICIO ACQUISTI</v>
          </cell>
          <cell r="N1311" t="str">
            <v>041 717875</v>
          </cell>
          <cell r="P1311" t="str">
            <v>mauro14581@gmail.com</v>
          </cell>
          <cell r="R1311" t="str">
            <v>BONIFICO BANCARIO, ALLA DATA DELLA NOSTRA CONFERMA D'ORDINE</v>
          </cell>
          <cell r="W1311" t="str">
            <v>ACQUA SALATA</v>
          </cell>
          <cell r="X1311">
            <v>0.25</v>
          </cell>
          <cell r="Y1311">
            <v>-0.04</v>
          </cell>
          <cell r="AB1311">
            <v>0.25</v>
          </cell>
          <cell r="AC1311">
            <v>0.25</v>
          </cell>
          <cell r="AD1311">
            <v>0.25</v>
          </cell>
          <cell r="AE1311">
            <v>0.25</v>
          </cell>
          <cell r="AF1311">
            <v>0.25</v>
          </cell>
          <cell r="AG1311">
            <v>0.25</v>
          </cell>
          <cell r="AH1311">
            <v>0.25</v>
          </cell>
          <cell r="AI1311">
            <v>0.25</v>
          </cell>
          <cell r="AJ1311">
            <v>0.25</v>
          </cell>
          <cell r="AK1311">
            <v>0.25</v>
          </cell>
          <cell r="AL1311">
            <v>0.25</v>
          </cell>
          <cell r="AM1311">
            <v>0.25</v>
          </cell>
          <cell r="AN1311">
            <v>0.25</v>
          </cell>
          <cell r="AO1311">
            <v>0.25</v>
          </cell>
          <cell r="AP1311">
            <v>0.25</v>
          </cell>
          <cell r="AQ1311">
            <v>0.25</v>
          </cell>
          <cell r="AR1311">
            <v>0.25</v>
          </cell>
          <cell r="AS1311">
            <v>0.25</v>
          </cell>
          <cell r="AT1311">
            <v>-0.04</v>
          </cell>
          <cell r="AU1311">
            <v>0.92</v>
          </cell>
          <cell r="AV1311">
            <v>20</v>
          </cell>
          <cell r="AY1311" t="str">
            <v/>
          </cell>
          <cell r="AZ1311">
            <v>0.25</v>
          </cell>
          <cell r="BA1311">
            <v>0.25</v>
          </cell>
        </row>
        <row r="1312">
          <cell r="A1312" t="str">
            <v>IL SERRAMENTO</v>
          </cell>
          <cell r="D1312" t="str">
            <v>VIA PIERA 33</v>
          </cell>
          <cell r="F1312" t="str">
            <v xml:space="preserve">CAMPOLONGO MAGGIORE </v>
          </cell>
          <cell r="G1312" t="str">
            <v>VE</v>
          </cell>
          <cell r="H1312" t="str">
            <v>ITALIA</v>
          </cell>
          <cell r="M1312" t="str">
            <v>UFFICIO ACQUISTI</v>
          </cell>
          <cell r="N1312" t="str">
            <v>049 9740365</v>
          </cell>
          <cell r="O1312" t="str">
            <v>320 0605700</v>
          </cell>
          <cell r="P1312" t="str">
            <v>il_serramento@virgilio.it</v>
          </cell>
          <cell r="R1312" t="str">
            <v>BONIFICO BANCARIO, ALLA DATA DELLA NOSTRA CONFERMA D'ORDINE</v>
          </cell>
          <cell r="X1312">
            <v>0.25</v>
          </cell>
          <cell r="Y1312">
            <v>-0.04</v>
          </cell>
          <cell r="AB1312">
            <v>0.25</v>
          </cell>
          <cell r="AC1312">
            <v>0.25</v>
          </cell>
          <cell r="AD1312">
            <v>0.25</v>
          </cell>
          <cell r="AE1312">
            <v>0.25</v>
          </cell>
          <cell r="AF1312">
            <v>0.25</v>
          </cell>
          <cell r="AG1312">
            <v>0.25</v>
          </cell>
          <cell r="AH1312">
            <v>0.25</v>
          </cell>
          <cell r="AI1312">
            <v>0.25</v>
          </cell>
          <cell r="AJ1312">
            <v>0.25</v>
          </cell>
          <cell r="AK1312">
            <v>0.25</v>
          </cell>
          <cell r="AL1312">
            <v>0.25</v>
          </cell>
          <cell r="AM1312">
            <v>0.25</v>
          </cell>
          <cell r="AN1312">
            <v>0.25</v>
          </cell>
          <cell r="AO1312">
            <v>0.25</v>
          </cell>
          <cell r="AP1312">
            <v>0.25</v>
          </cell>
          <cell r="AQ1312">
            <v>0.25</v>
          </cell>
          <cell r="AR1312">
            <v>0.25</v>
          </cell>
          <cell r="AS1312">
            <v>0.25</v>
          </cell>
          <cell r="AT1312">
            <v>-0.04</v>
          </cell>
          <cell r="AU1312">
            <v>0.92</v>
          </cell>
          <cell r="AV1312">
            <v>20</v>
          </cell>
          <cell r="AY1312" t="str">
            <v/>
          </cell>
          <cell r="AZ1312">
            <v>0.25</v>
          </cell>
          <cell r="BA1312">
            <v>0.25</v>
          </cell>
        </row>
        <row r="1313">
          <cell r="A1313" t="str">
            <v>IL SERRAMENTO 2 DI SARTORE KATIA</v>
          </cell>
          <cell r="D1313" t="str">
            <v>VIA NAZIONALE 249</v>
          </cell>
          <cell r="E1313" t="str">
            <v>30034</v>
          </cell>
          <cell r="F1313" t="str">
            <v>MIRA</v>
          </cell>
          <cell r="G1313" t="str">
            <v>VE</v>
          </cell>
          <cell r="H1313" t="str">
            <v>ITALIA</v>
          </cell>
          <cell r="J1313" t="str">
            <v>04375100288</v>
          </cell>
          <cell r="M1313" t="str">
            <v>UFFICIO ACQUISTI</v>
          </cell>
          <cell r="N1313" t="str">
            <v>041 4266735</v>
          </cell>
          <cell r="R1313" t="str">
            <v>BONIFICO BANCARIO, ALLA DATA DELLA NOSTRA CONFERMA D'ORDINE</v>
          </cell>
          <cell r="X1313">
            <v>0.25</v>
          </cell>
          <cell r="Y1313">
            <v>-0.04</v>
          </cell>
          <cell r="AB1313">
            <v>0.25</v>
          </cell>
          <cell r="AC1313">
            <v>0.25</v>
          </cell>
          <cell r="AD1313">
            <v>0.25</v>
          </cell>
          <cell r="AE1313">
            <v>0.25</v>
          </cell>
          <cell r="AF1313">
            <v>0.25</v>
          </cell>
          <cell r="AG1313">
            <v>0.25</v>
          </cell>
          <cell r="AH1313">
            <v>0.25</v>
          </cell>
          <cell r="AI1313">
            <v>0.25</v>
          </cell>
          <cell r="AJ1313">
            <v>0.25</v>
          </cell>
          <cell r="AK1313">
            <v>0.25</v>
          </cell>
          <cell r="AL1313">
            <v>0.25</v>
          </cell>
          <cell r="AM1313">
            <v>0.25</v>
          </cell>
          <cell r="AN1313">
            <v>0.25</v>
          </cell>
          <cell r="AO1313">
            <v>0.25</v>
          </cell>
          <cell r="AP1313">
            <v>0.25</v>
          </cell>
          <cell r="AQ1313">
            <v>0.25</v>
          </cell>
          <cell r="AR1313">
            <v>0.25</v>
          </cell>
          <cell r="AS1313">
            <v>0.25</v>
          </cell>
          <cell r="AT1313">
            <v>-0.04</v>
          </cell>
          <cell r="AU1313">
            <v>0.92</v>
          </cell>
          <cell r="AV1313">
            <v>20</v>
          </cell>
          <cell r="AY1313" t="str">
            <v/>
          </cell>
          <cell r="AZ1313">
            <v>0.25</v>
          </cell>
          <cell r="BA1313">
            <v>0.25</v>
          </cell>
        </row>
        <row r="1314">
          <cell r="A1314" t="str">
            <v>IL SERRAMENTO DI BARDELLA LUCIO</v>
          </cell>
          <cell r="D1314" t="str">
            <v>VIA DELLE SALINE 2° RAMO 7</v>
          </cell>
          <cell r="E1314" t="str">
            <v>30013</v>
          </cell>
          <cell r="F1314" t="str">
            <v>CAVALLINO-TREPORTI</v>
          </cell>
          <cell r="G1314" t="str">
            <v>VE</v>
          </cell>
          <cell r="H1314" t="str">
            <v>ITALIA</v>
          </cell>
          <cell r="J1314" t="str">
            <v>03305800272</v>
          </cell>
          <cell r="M1314" t="str">
            <v>UFFICIO ACQUISTI</v>
          </cell>
          <cell r="N1314" t="str">
            <v>041 5371035</v>
          </cell>
          <cell r="O1314" t="str">
            <v>348 7457411</v>
          </cell>
          <cell r="P1314" t="str">
            <v>lucio.bardella@tiscali.it</v>
          </cell>
          <cell r="R1314" t="str">
            <v>BONIFICO BANCARIO, ALLA DATA DELLA NOSTRA CONFERMA D'ORDINE</v>
          </cell>
          <cell r="X1314">
            <v>0.25</v>
          </cell>
          <cell r="Y1314">
            <v>-0.04</v>
          </cell>
          <cell r="AB1314">
            <v>0.25</v>
          </cell>
          <cell r="AC1314">
            <v>0.25</v>
          </cell>
          <cell r="AD1314">
            <v>0.25</v>
          </cell>
          <cell r="AE1314">
            <v>0.25</v>
          </cell>
          <cell r="AF1314">
            <v>0.25</v>
          </cell>
          <cell r="AG1314">
            <v>0.25</v>
          </cell>
          <cell r="AH1314">
            <v>0.25</v>
          </cell>
          <cell r="AI1314">
            <v>0.25</v>
          </cell>
          <cell r="AJ1314">
            <v>0.25</v>
          </cell>
          <cell r="AK1314">
            <v>0.25</v>
          </cell>
          <cell r="AL1314">
            <v>0.25</v>
          </cell>
          <cell r="AM1314">
            <v>0.25</v>
          </cell>
          <cell r="AN1314">
            <v>0.25</v>
          </cell>
          <cell r="AO1314">
            <v>0.25</v>
          </cell>
          <cell r="AP1314">
            <v>0.25</v>
          </cell>
          <cell r="AQ1314">
            <v>0.25</v>
          </cell>
          <cell r="AR1314">
            <v>0.25</v>
          </cell>
          <cell r="AS1314">
            <v>0.25</v>
          </cell>
          <cell r="AT1314">
            <v>-0.04</v>
          </cell>
          <cell r="AU1314">
            <v>0.92</v>
          </cell>
          <cell r="AV1314">
            <v>20</v>
          </cell>
          <cell r="AY1314" t="str">
            <v/>
          </cell>
          <cell r="AZ1314">
            <v>0.25</v>
          </cell>
          <cell r="BA1314">
            <v>0.25</v>
          </cell>
        </row>
        <row r="1315">
          <cell r="A1315" t="str">
            <v>IL SERRAMENTO IN PVC</v>
          </cell>
          <cell r="D1315" t="str">
            <v>VIA MIRANESE 323</v>
          </cell>
          <cell r="F1315" t="str">
            <v>CHIRIGNAGO</v>
          </cell>
          <cell r="G1315" t="str">
            <v>VE</v>
          </cell>
          <cell r="H1315" t="str">
            <v>ITALIA</v>
          </cell>
          <cell r="M1315" t="str">
            <v>UFFICIO ACQUISTI</v>
          </cell>
          <cell r="N1315" t="str">
            <v>041 4800335</v>
          </cell>
          <cell r="P1315" t="str">
            <v>info@n-go.it</v>
          </cell>
          <cell r="R1315" t="str">
            <v>BONIFICO BANCARIO, ALLA DATA DELLA NOSTRA CONFERMA D'ORDINE</v>
          </cell>
          <cell r="X1315">
            <v>0.25</v>
          </cell>
          <cell r="Y1315">
            <v>-0.04</v>
          </cell>
          <cell r="AB1315">
            <v>0.25</v>
          </cell>
          <cell r="AC1315">
            <v>0.25</v>
          </cell>
          <cell r="AD1315">
            <v>0.25</v>
          </cell>
          <cell r="AE1315">
            <v>0.25</v>
          </cell>
          <cell r="AF1315">
            <v>0.25</v>
          </cell>
          <cell r="AG1315">
            <v>0.25</v>
          </cell>
          <cell r="AH1315">
            <v>0.25</v>
          </cell>
          <cell r="AI1315">
            <v>0.25</v>
          </cell>
          <cell r="AJ1315">
            <v>0.25</v>
          </cell>
          <cell r="AK1315">
            <v>0.25</v>
          </cell>
          <cell r="AL1315">
            <v>0.25</v>
          </cell>
          <cell r="AM1315">
            <v>0.25</v>
          </cell>
          <cell r="AN1315">
            <v>0.25</v>
          </cell>
          <cell r="AO1315">
            <v>0.25</v>
          </cell>
          <cell r="AP1315">
            <v>0.25</v>
          </cell>
          <cell r="AQ1315">
            <v>0.25</v>
          </cell>
          <cell r="AR1315">
            <v>0.25</v>
          </cell>
          <cell r="AS1315">
            <v>0.25</v>
          </cell>
          <cell r="AT1315">
            <v>-0.04</v>
          </cell>
          <cell r="AU1315">
            <v>0.92</v>
          </cell>
          <cell r="AV1315">
            <v>20</v>
          </cell>
          <cell r="AY1315" t="str">
            <v/>
          </cell>
          <cell r="AZ1315">
            <v>0.25</v>
          </cell>
          <cell r="BA1315">
            <v>0.25</v>
          </cell>
        </row>
        <row r="1316">
          <cell r="A1316" t="str">
            <v>ILMA SNC</v>
          </cell>
          <cell r="D1316" t="str">
            <v>VIA TRINO 29</v>
          </cell>
          <cell r="E1316" t="str">
            <v>13100</v>
          </cell>
          <cell r="F1316" t="str">
            <v>VERCELLI</v>
          </cell>
          <cell r="G1316" t="str">
            <v>VC</v>
          </cell>
          <cell r="H1316" t="str">
            <v>ITALIA</v>
          </cell>
          <cell r="M1316" t="str">
            <v>UFFICIO ACQUISTI</v>
          </cell>
          <cell r="N1316" t="str">
            <v>0161 392272</v>
          </cell>
          <cell r="P1316" t="str">
            <v>info@ilmaonline.it</v>
          </cell>
          <cell r="R1316" t="str">
            <v>BONIFICO BANCARIO, ALLA DATA DELLA NOSTRA CONFERMA D'ORDINE</v>
          </cell>
          <cell r="X1316">
            <v>0.25</v>
          </cell>
          <cell r="Y1316">
            <v>-0.04</v>
          </cell>
          <cell r="AB1316">
            <v>0.25</v>
          </cell>
          <cell r="AC1316">
            <v>0.25</v>
          </cell>
          <cell r="AD1316">
            <v>0.25</v>
          </cell>
          <cell r="AE1316">
            <v>0.25</v>
          </cell>
          <cell r="AF1316">
            <v>0.25</v>
          </cell>
          <cell r="AG1316">
            <v>0.25</v>
          </cell>
          <cell r="AH1316">
            <v>0.25</v>
          </cell>
          <cell r="AI1316">
            <v>0.25</v>
          </cell>
          <cell r="AJ1316">
            <v>0.25</v>
          </cell>
          <cell r="AK1316">
            <v>0.25</v>
          </cell>
          <cell r="AL1316">
            <v>0.25</v>
          </cell>
          <cell r="AM1316">
            <v>0.25</v>
          </cell>
          <cell r="AN1316">
            <v>0.25</v>
          </cell>
          <cell r="AO1316">
            <v>0.25</v>
          </cell>
          <cell r="AP1316">
            <v>0.25</v>
          </cell>
          <cell r="AQ1316">
            <v>0.25</v>
          </cell>
          <cell r="AR1316">
            <v>0.25</v>
          </cell>
          <cell r="AS1316">
            <v>0.25</v>
          </cell>
          <cell r="AT1316">
            <v>-0.04</v>
          </cell>
          <cell r="AU1316">
            <v>0.92</v>
          </cell>
          <cell r="AV1316">
            <v>20</v>
          </cell>
          <cell r="AY1316" t="str">
            <v/>
          </cell>
          <cell r="AZ1316">
            <v>0.25</v>
          </cell>
          <cell r="BA1316">
            <v>0.25</v>
          </cell>
        </row>
        <row r="1317">
          <cell r="A1317" t="str">
            <v>ILSERRAMENTOINPVC.COM</v>
          </cell>
          <cell r="D1317" t="str">
            <v>VIALE TRICESIMO 81</v>
          </cell>
          <cell r="E1317" t="str">
            <v>33100</v>
          </cell>
          <cell r="F1317" t="str">
            <v>UDINE</v>
          </cell>
          <cell r="G1317" t="str">
            <v>UD</v>
          </cell>
          <cell r="H1317" t="str">
            <v>ITALIA</v>
          </cell>
          <cell r="M1317" t="str">
            <v>UFFICIO ACQUISTI</v>
          </cell>
          <cell r="R1317" t="str">
            <v>BONIFICO BANCARIO, ALLA DATA DELLA NOSTRA CONFERMA D'ORDINE</v>
          </cell>
          <cell r="X1317">
            <v>0.25</v>
          </cell>
          <cell r="Y1317">
            <v>-0.04</v>
          </cell>
          <cell r="AB1317">
            <v>0.25</v>
          </cell>
          <cell r="AC1317">
            <v>0.25</v>
          </cell>
          <cell r="AD1317">
            <v>0.25</v>
          </cell>
          <cell r="AE1317">
            <v>0.25</v>
          </cell>
          <cell r="AF1317">
            <v>0.25</v>
          </cell>
          <cell r="AG1317">
            <v>0.25</v>
          </cell>
          <cell r="AH1317">
            <v>0.25</v>
          </cell>
          <cell r="AI1317">
            <v>0.25</v>
          </cell>
          <cell r="AJ1317">
            <v>0.25</v>
          </cell>
          <cell r="AK1317">
            <v>0.25</v>
          </cell>
          <cell r="AL1317">
            <v>0.25</v>
          </cell>
          <cell r="AM1317">
            <v>0.25</v>
          </cell>
          <cell r="AN1317">
            <v>0.25</v>
          </cell>
          <cell r="AO1317">
            <v>0.25</v>
          </cell>
          <cell r="AP1317">
            <v>0.25</v>
          </cell>
          <cell r="AQ1317">
            <v>0.25</v>
          </cell>
          <cell r="AR1317">
            <v>0.25</v>
          </cell>
          <cell r="AS1317">
            <v>0.25</v>
          </cell>
          <cell r="AT1317">
            <v>-0.04</v>
          </cell>
          <cell r="AU1317">
            <v>0.92</v>
          </cell>
          <cell r="AV1317">
            <v>20</v>
          </cell>
          <cell r="AY1317" t="str">
            <v/>
          </cell>
          <cell r="AZ1317">
            <v>0.25</v>
          </cell>
          <cell r="BA1317">
            <v>0.25</v>
          </cell>
        </row>
        <row r="1318">
          <cell r="A1318" t="str">
            <v>IMA SNC DI M. BARITI E V. TARANTOLA</v>
          </cell>
          <cell r="D1318" t="str">
            <v>VIA ROSSETTI 10</v>
          </cell>
          <cell r="E1318" t="str">
            <v>19123</v>
          </cell>
          <cell r="F1318" t="str">
            <v>LA SPEZIA</v>
          </cell>
          <cell r="G1318" t="str">
            <v>SP</v>
          </cell>
          <cell r="H1318" t="str">
            <v>ITALIA</v>
          </cell>
          <cell r="M1318" t="str">
            <v>UFFICIO ACQUISTI</v>
          </cell>
          <cell r="N1318" t="str">
            <v>0187 713594</v>
          </cell>
          <cell r="R1318" t="str">
            <v>BONIFICO BANCARIO, ALLA DATA DELLA NOSTRA CONFERMA D'ORDINE</v>
          </cell>
          <cell r="X1318">
            <v>0.25</v>
          </cell>
          <cell r="Y1318">
            <v>-0.04</v>
          </cell>
          <cell r="AB1318">
            <v>0.25</v>
          </cell>
          <cell r="AC1318">
            <v>0.25</v>
          </cell>
          <cell r="AD1318">
            <v>0.25</v>
          </cell>
          <cell r="AE1318">
            <v>0.25</v>
          </cell>
          <cell r="AF1318">
            <v>0.25</v>
          </cell>
          <cell r="AG1318">
            <v>0.25</v>
          </cell>
          <cell r="AH1318">
            <v>0.25</v>
          </cell>
          <cell r="AI1318">
            <v>0.25</v>
          </cell>
          <cell r="AJ1318">
            <v>0.25</v>
          </cell>
          <cell r="AK1318">
            <v>0.25</v>
          </cell>
          <cell r="AL1318">
            <v>0.25</v>
          </cell>
          <cell r="AM1318">
            <v>0.25</v>
          </cell>
          <cell r="AN1318">
            <v>0.25</v>
          </cell>
          <cell r="AO1318">
            <v>0.25</v>
          </cell>
          <cell r="AP1318">
            <v>0.25</v>
          </cell>
          <cell r="AQ1318">
            <v>0.25</v>
          </cell>
          <cell r="AR1318">
            <v>0.25</v>
          </cell>
          <cell r="AS1318">
            <v>0.25</v>
          </cell>
          <cell r="AT1318">
            <v>-0.04</v>
          </cell>
          <cell r="AU1318">
            <v>0.92</v>
          </cell>
          <cell r="AV1318">
            <v>20</v>
          </cell>
          <cell r="AY1318" t="str">
            <v/>
          </cell>
          <cell r="AZ1318">
            <v>0.25</v>
          </cell>
          <cell r="BA1318">
            <v>0.25</v>
          </cell>
        </row>
        <row r="1319">
          <cell r="A1319" t="str">
            <v>IMAG DI ALESSANDRO IVANO (I.M.A.G.)</v>
          </cell>
          <cell r="B1319" t="str">
            <v>ACQUASTOP</v>
          </cell>
          <cell r="D1319" t="str">
            <v>VIA G.BRUNO 19</v>
          </cell>
          <cell r="E1319" t="str">
            <v>60019</v>
          </cell>
          <cell r="F1319" t="str">
            <v>SENIGALLIA</v>
          </cell>
          <cell r="G1319" t="str">
            <v>AN</v>
          </cell>
          <cell r="H1319" t="str">
            <v>ITALIA</v>
          </cell>
          <cell r="J1319" t="str">
            <v>01196700411</v>
          </cell>
          <cell r="M1319" t="str">
            <v>UFFICIO ACQUISTI</v>
          </cell>
          <cell r="N1319" t="str">
            <v>071 7924911</v>
          </cell>
          <cell r="O1319" t="str">
            <v>336 426831</v>
          </cell>
          <cell r="R1319" t="str">
            <v>BONIFICO BANCARIO, ALLA DATA DELLA NOSTRA CONFERMA D'ORDINE</v>
          </cell>
          <cell r="X1319">
            <v>0.25</v>
          </cell>
          <cell r="Y1319">
            <v>-0.04</v>
          </cell>
          <cell r="AB1319">
            <v>0.25</v>
          </cell>
          <cell r="AC1319">
            <v>0.25</v>
          </cell>
          <cell r="AD1319">
            <v>0.25</v>
          </cell>
          <cell r="AE1319">
            <v>0.25</v>
          </cell>
          <cell r="AF1319">
            <v>0.25</v>
          </cell>
          <cell r="AG1319">
            <v>0.25</v>
          </cell>
          <cell r="AH1319">
            <v>0.25</v>
          </cell>
          <cell r="AI1319">
            <v>0.25</v>
          </cell>
          <cell r="AJ1319">
            <v>0.25</v>
          </cell>
          <cell r="AK1319">
            <v>0.25</v>
          </cell>
          <cell r="AL1319">
            <v>0.25</v>
          </cell>
          <cell r="AM1319">
            <v>0.25</v>
          </cell>
          <cell r="AN1319">
            <v>0.25</v>
          </cell>
          <cell r="AO1319">
            <v>0.25</v>
          </cell>
          <cell r="AP1319">
            <v>0.25</v>
          </cell>
          <cell r="AQ1319">
            <v>0.25</v>
          </cell>
          <cell r="AR1319">
            <v>0.25</v>
          </cell>
          <cell r="AS1319">
            <v>0.25</v>
          </cell>
          <cell r="AT1319">
            <v>-0.04</v>
          </cell>
          <cell r="AU1319">
            <v>0.92</v>
          </cell>
          <cell r="AV1319">
            <v>20</v>
          </cell>
          <cell r="AY1319" t="str">
            <v/>
          </cell>
          <cell r="AZ1319">
            <v>0.25</v>
          </cell>
          <cell r="BA1319">
            <v>0.25</v>
          </cell>
        </row>
        <row r="1320">
          <cell r="A1320" t="str">
            <v>IMEA  SRL</v>
          </cell>
          <cell r="B1320" t="str">
            <v xml:space="preserve">AZIENDA CHE FA INFISSI E LAVORA SOLO PER LUXOTTICA/SAFILO E UN PAIO DI  OSPEDALI LOCALI CI TIENE IN CONSIDERAZIONE </v>
          </cell>
          <cell r="D1320" t="str">
            <v>VIA DELL'ARTIGIANATO, 9</v>
          </cell>
          <cell r="E1320" t="str">
            <v>32016</v>
          </cell>
          <cell r="F1320" t="str">
            <v>ALPAGO</v>
          </cell>
          <cell r="G1320" t="str">
            <v>BL</v>
          </cell>
          <cell r="H1320" t="str">
            <v>ITALIA</v>
          </cell>
          <cell r="I1320" t="str">
            <v>00253190250</v>
          </cell>
          <cell r="J1320" t="str">
            <v>00253190250</v>
          </cell>
          <cell r="M1320" t="str">
            <v>UFFICIO ACQUISTI</v>
          </cell>
          <cell r="N1320" t="str">
            <v>0437 989251</v>
          </cell>
          <cell r="R1320" t="str">
            <v>BONIFICO BANCARIO, ALLA DATA DELLA NOSTRA CONFERMA D'ORDINE</v>
          </cell>
          <cell r="X1320">
            <v>0.2</v>
          </cell>
          <cell r="Y1320">
            <v>-0.04</v>
          </cell>
          <cell r="AB1320">
            <v>0.2</v>
          </cell>
          <cell r="AC1320">
            <v>0.2</v>
          </cell>
          <cell r="AD1320">
            <v>0.2</v>
          </cell>
          <cell r="AE1320">
            <v>0.2</v>
          </cell>
          <cell r="AF1320">
            <v>0.2</v>
          </cell>
          <cell r="AG1320">
            <v>0.2</v>
          </cell>
          <cell r="AH1320">
            <v>0.2</v>
          </cell>
          <cell r="AI1320">
            <v>0.2</v>
          </cell>
          <cell r="AJ1320">
            <v>0.2</v>
          </cell>
          <cell r="AK1320">
            <v>0.2</v>
          </cell>
          <cell r="AL1320">
            <v>0.2</v>
          </cell>
          <cell r="AM1320">
            <v>0.2</v>
          </cell>
          <cell r="AN1320">
            <v>0.2</v>
          </cell>
          <cell r="AO1320">
            <v>0.2</v>
          </cell>
          <cell r="AP1320">
            <v>0.2</v>
          </cell>
          <cell r="AQ1320">
            <v>0.2</v>
          </cell>
          <cell r="AR1320">
            <v>0.2</v>
          </cell>
          <cell r="AS1320">
            <v>0.2</v>
          </cell>
          <cell r="AT1320">
            <v>-0.04</v>
          </cell>
          <cell r="AU1320">
            <v>0.92</v>
          </cell>
          <cell r="AV1320">
            <v>20</v>
          </cell>
          <cell r="AZ1320">
            <v>0.2</v>
          </cell>
          <cell r="BA1320">
            <v>0.2</v>
          </cell>
        </row>
        <row r="1321">
          <cell r="A1321" t="str">
            <v>IMPRESA EDILE DECOKAT di KECANI FATMIR</v>
          </cell>
          <cell r="D1321" t="str">
            <v>VIA DEI MIRTILLI, 10</v>
          </cell>
          <cell r="E1321">
            <v>30100</v>
          </cell>
          <cell r="F1321" t="str">
            <v>CAMPALTO</v>
          </cell>
          <cell r="G1321" t="str">
            <v>VE</v>
          </cell>
          <cell r="H1321" t="str">
            <v>ITALIA</v>
          </cell>
          <cell r="I1321" t="str">
            <v>KCNFMR78A24Z100X</v>
          </cell>
          <cell r="J1321" t="str">
            <v>03537450276</v>
          </cell>
          <cell r="K1321" t="str">
            <v>X2PH38J</v>
          </cell>
          <cell r="M1321" t="str">
            <v>UFFICIO ACQUISTI</v>
          </cell>
          <cell r="O1321" t="str">
            <v>328 1929745</v>
          </cell>
          <cell r="P1321" t="str">
            <v>f_mir@hotmail.it</v>
          </cell>
          <cell r="R1321" t="str">
            <v>BONIFICO BANCARIO, ALLA DATA DELLA NOSTRA CONFERMA D'ORDINE</v>
          </cell>
          <cell r="X1321">
            <v>0.25</v>
          </cell>
          <cell r="Y1321">
            <v>-0.04</v>
          </cell>
          <cell r="AB1321">
            <v>0.25</v>
          </cell>
          <cell r="AC1321">
            <v>0.25</v>
          </cell>
          <cell r="AD1321">
            <v>0.25</v>
          </cell>
          <cell r="AE1321">
            <v>0.25</v>
          </cell>
          <cell r="AF1321">
            <v>0.25</v>
          </cell>
          <cell r="AG1321">
            <v>0.25</v>
          </cell>
          <cell r="AH1321">
            <v>0.25</v>
          </cell>
          <cell r="AI1321">
            <v>0.25</v>
          </cell>
          <cell r="AJ1321">
            <v>0.25</v>
          </cell>
          <cell r="AK1321">
            <v>0.25</v>
          </cell>
          <cell r="AL1321">
            <v>0.25</v>
          </cell>
          <cell r="AM1321">
            <v>0.25</v>
          </cell>
          <cell r="AN1321">
            <v>0.25</v>
          </cell>
          <cell r="AO1321">
            <v>0.25</v>
          </cell>
          <cell r="AP1321">
            <v>0.25</v>
          </cell>
          <cell r="AQ1321">
            <v>0.25</v>
          </cell>
          <cell r="AR1321">
            <v>0.25</v>
          </cell>
          <cell r="AS1321">
            <v>0.25</v>
          </cell>
          <cell r="AT1321">
            <v>-0.04</v>
          </cell>
          <cell r="AU1321">
            <v>0.92</v>
          </cell>
          <cell r="AV1321">
            <v>20</v>
          </cell>
          <cell r="AY1321" t="str">
            <v/>
          </cell>
          <cell r="AZ1321">
            <v>0.25</v>
          </cell>
          <cell r="BA1321">
            <v>0.25</v>
          </cell>
        </row>
        <row r="1322">
          <cell r="A1322" t="str">
            <v>IMPRESA EDILE GEOM. NEGRI MARCO</v>
          </cell>
          <cell r="D1322" t="str">
            <v>VIA PROVINCIALE, 14/b</v>
          </cell>
          <cell r="E1322">
            <v>20080</v>
          </cell>
          <cell r="F1322" t="str">
            <v>CARPIANO</v>
          </cell>
          <cell r="G1322" t="str">
            <v>MI</v>
          </cell>
          <cell r="H1322" t="str">
            <v>ITALIA</v>
          </cell>
          <cell r="J1322" t="str">
            <v>11096020158</v>
          </cell>
          <cell r="M1322" t="str">
            <v>UFFICIO ACQUISTI</v>
          </cell>
          <cell r="O1322" t="str">
            <v>335 6787074</v>
          </cell>
          <cell r="P1322" t="str">
            <v>m.negri1965@alice.it</v>
          </cell>
          <cell r="R1322" t="str">
            <v>BONIFICO BANCARIO, ALLA DATA DELLA NOSTRA CONFERMA D'ORDINE</v>
          </cell>
          <cell r="X1322">
            <v>0.25</v>
          </cell>
          <cell r="Y1322">
            <v>-0.04</v>
          </cell>
          <cell r="AB1322">
            <v>0.25</v>
          </cell>
          <cell r="AC1322">
            <v>0.25</v>
          </cell>
          <cell r="AD1322">
            <v>0.25</v>
          </cell>
          <cell r="AE1322">
            <v>0.25</v>
          </cell>
          <cell r="AF1322">
            <v>0.25</v>
          </cell>
          <cell r="AG1322">
            <v>0.25</v>
          </cell>
          <cell r="AH1322">
            <v>0.25</v>
          </cell>
          <cell r="AI1322">
            <v>0.25</v>
          </cell>
          <cell r="AJ1322">
            <v>0.25</v>
          </cell>
          <cell r="AK1322">
            <v>0.25</v>
          </cell>
          <cell r="AL1322">
            <v>0.25</v>
          </cell>
          <cell r="AM1322">
            <v>0.25</v>
          </cell>
          <cell r="AN1322">
            <v>0.25</v>
          </cell>
          <cell r="AO1322">
            <v>0.25</v>
          </cell>
          <cell r="AP1322">
            <v>0.25</v>
          </cell>
          <cell r="AQ1322">
            <v>0.25</v>
          </cell>
          <cell r="AR1322">
            <v>0.25</v>
          </cell>
          <cell r="AS1322">
            <v>0.25</v>
          </cell>
          <cell r="AT1322">
            <v>-0.04</v>
          </cell>
          <cell r="AU1322">
            <v>0.92</v>
          </cell>
          <cell r="AV1322">
            <v>20</v>
          </cell>
          <cell r="AY1322" t="str">
            <v/>
          </cell>
          <cell r="AZ1322">
            <v>0.25</v>
          </cell>
          <cell r="BA1322">
            <v>0.25</v>
          </cell>
        </row>
        <row r="1323">
          <cell r="A1323" t="str">
            <v xml:space="preserve">IMSA </v>
          </cell>
          <cell r="D1323" t="str">
            <v>VIA STATALE, 717</v>
          </cell>
          <cell r="E1323">
            <v>23852</v>
          </cell>
          <cell r="F1323" t="str">
            <v>GARLATE</v>
          </cell>
          <cell r="G1323" t="str">
            <v>LC</v>
          </cell>
          <cell r="H1323" t="str">
            <v>ITALIA</v>
          </cell>
          <cell r="I1323" t="str">
            <v>01827690130</v>
          </cell>
          <cell r="J1323" t="str">
            <v>01827690130</v>
          </cell>
          <cell r="M1323" t="str">
            <v>UFFICIO ACQUISTI</v>
          </cell>
          <cell r="N1323" t="str">
            <v>0341 682000</v>
          </cell>
          <cell r="P1323" t="str">
            <v>info@imsasrl.it</v>
          </cell>
          <cell r="R1323" t="str">
            <v>BONIFICO BANCARIO, ALLA DATA DELLA NOSTRA CONFERMA D'ORDINE</v>
          </cell>
          <cell r="X1323">
            <v>0.25</v>
          </cell>
          <cell r="Y1323">
            <v>-0.04</v>
          </cell>
          <cell r="AB1323">
            <v>0.25</v>
          </cell>
          <cell r="AC1323">
            <v>0.25</v>
          </cell>
          <cell r="AD1323">
            <v>0.25</v>
          </cell>
          <cell r="AE1323">
            <v>0.25</v>
          </cell>
          <cell r="AF1323">
            <v>0.25</v>
          </cell>
          <cell r="AG1323">
            <v>0.25</v>
          </cell>
          <cell r="AH1323">
            <v>0.25</v>
          </cell>
          <cell r="AI1323">
            <v>0.25</v>
          </cell>
          <cell r="AJ1323">
            <v>0.25</v>
          </cell>
          <cell r="AK1323">
            <v>0.25</v>
          </cell>
          <cell r="AL1323">
            <v>0.25</v>
          </cell>
          <cell r="AM1323">
            <v>0.25</v>
          </cell>
          <cell r="AN1323">
            <v>0.25</v>
          </cell>
          <cell r="AO1323">
            <v>0.25</v>
          </cell>
          <cell r="AP1323">
            <v>0.25</v>
          </cell>
          <cell r="AQ1323">
            <v>0.25</v>
          </cell>
          <cell r="AR1323">
            <v>0.25</v>
          </cell>
          <cell r="AS1323">
            <v>0.25</v>
          </cell>
          <cell r="AT1323">
            <v>-0.04</v>
          </cell>
          <cell r="AU1323">
            <v>0.92</v>
          </cell>
          <cell r="AV1323">
            <v>20</v>
          </cell>
          <cell r="AY1323" t="str">
            <v/>
          </cell>
          <cell r="AZ1323">
            <v>0.25</v>
          </cell>
          <cell r="BA1323">
            <v>0.25</v>
          </cell>
        </row>
        <row r="1324">
          <cell r="A1324" t="str">
            <v>IMT GMBH</v>
          </cell>
          <cell r="D1324" t="str">
            <v>ALT DEBANT, 21</v>
          </cell>
          <cell r="E1324" t="str">
            <v>9990</v>
          </cell>
          <cell r="F1324" t="str">
            <v>NUSSDORF-DEBANT</v>
          </cell>
          <cell r="H1324" t="str">
            <v>AUSTRIA</v>
          </cell>
          <cell r="J1324" t="str">
            <v>ATU57122857</v>
          </cell>
          <cell r="K1324" t="str">
            <v>XXXXXXX</v>
          </cell>
          <cell r="M1324" t="str">
            <v>UFFICIO ACQUISTI</v>
          </cell>
          <cell r="N1324" t="str">
            <v>+436764140646</v>
          </cell>
          <cell r="P1324" t="str">
            <v>info@imt-hochwasserschutz.at</v>
          </cell>
          <cell r="R1324" t="str">
            <v>BANKÜBERWEISUNG, AM DATUM UNSERER AUFTRAGSBESTÄTIGUNG</v>
          </cell>
          <cell r="X1324">
            <v>0.2</v>
          </cell>
          <cell r="AB1324">
            <v>0.2</v>
          </cell>
          <cell r="AC1324">
            <v>0.2</v>
          </cell>
          <cell r="AD1324">
            <v>0.2</v>
          </cell>
          <cell r="AE1324">
            <v>0.2</v>
          </cell>
          <cell r="AF1324">
            <v>0.2</v>
          </cell>
          <cell r="AG1324">
            <v>0.2</v>
          </cell>
          <cell r="AH1324">
            <v>0.2</v>
          </cell>
          <cell r="AI1324">
            <v>0.2</v>
          </cell>
          <cell r="AJ1324">
            <v>0.2</v>
          </cell>
          <cell r="AK1324">
            <v>0.2</v>
          </cell>
          <cell r="AL1324">
            <v>0.2</v>
          </cell>
          <cell r="AM1324">
            <v>0.2</v>
          </cell>
          <cell r="AN1324">
            <v>0.2</v>
          </cell>
          <cell r="AO1324">
            <v>0.2</v>
          </cell>
          <cell r="AP1324">
            <v>0.2</v>
          </cell>
          <cell r="AQ1324">
            <v>0.2</v>
          </cell>
          <cell r="AR1324">
            <v>0.2</v>
          </cell>
          <cell r="AS1324">
            <v>0.2</v>
          </cell>
          <cell r="AU1324">
            <v>0.84</v>
          </cell>
          <cell r="AV1324">
            <v>20</v>
          </cell>
          <cell r="AZ1324">
            <v>0.2</v>
          </cell>
          <cell r="BA1324">
            <v>0.2</v>
          </cell>
          <cell r="BF1324" t="str">
            <v>CLICK RAPID con espositore 25/02/2022 - MODERNA con espositore 25/02/2022</v>
          </cell>
        </row>
        <row r="1325">
          <cell r="A1325" t="str">
            <v>IN &amp; OUT SERVICE DI STAGNI STEFANO</v>
          </cell>
          <cell r="D1325" t="str">
            <v>VIA A. RIGHI, 22/24</v>
          </cell>
          <cell r="E1325" t="str">
            <v>40062</v>
          </cell>
          <cell r="F1325" t="str">
            <v>MOLINELLA</v>
          </cell>
          <cell r="G1325" t="str">
            <v>BO</v>
          </cell>
          <cell r="H1325" t="str">
            <v>ITALIA</v>
          </cell>
          <cell r="J1325" t="str">
            <v>03587671201</v>
          </cell>
          <cell r="M1325" t="str">
            <v>UFFICIO ACQUISTI</v>
          </cell>
          <cell r="N1325" t="str">
            <v>051 0220131</v>
          </cell>
          <cell r="O1325" t="str">
            <v>333 2761574</v>
          </cell>
          <cell r="P1325" t="str">
            <v>in-outservice@libero.it</v>
          </cell>
          <cell r="R1325" t="str">
            <v>BONIFICO BANCARIO, ALLA DATA DELLA NOSTRA CONFERMA D'ORDINE</v>
          </cell>
          <cell r="X1325">
            <v>0.25</v>
          </cell>
          <cell r="Y1325">
            <v>-0.04</v>
          </cell>
          <cell r="AB1325">
            <v>0.25</v>
          </cell>
          <cell r="AC1325">
            <v>0.25</v>
          </cell>
          <cell r="AD1325">
            <v>0.25</v>
          </cell>
          <cell r="AE1325">
            <v>0.25</v>
          </cell>
          <cell r="AF1325">
            <v>0.25</v>
          </cell>
          <cell r="AG1325">
            <v>0.25</v>
          </cell>
          <cell r="AH1325">
            <v>0.25</v>
          </cell>
          <cell r="AI1325">
            <v>0.25</v>
          </cell>
          <cell r="AJ1325">
            <v>0.25</v>
          </cell>
          <cell r="AK1325">
            <v>0.25</v>
          </cell>
          <cell r="AL1325">
            <v>0.25</v>
          </cell>
          <cell r="AM1325">
            <v>0.25</v>
          </cell>
          <cell r="AN1325">
            <v>0.25</v>
          </cell>
          <cell r="AO1325">
            <v>0.25</v>
          </cell>
          <cell r="AP1325">
            <v>0.25</v>
          </cell>
          <cell r="AQ1325">
            <v>0.25</v>
          </cell>
          <cell r="AR1325">
            <v>0.25</v>
          </cell>
          <cell r="AS1325">
            <v>0.25</v>
          </cell>
          <cell r="AT1325">
            <v>-0.04</v>
          </cell>
          <cell r="AU1325">
            <v>0.92</v>
          </cell>
          <cell r="AV1325">
            <v>20</v>
          </cell>
          <cell r="AZ1325">
            <v>0.25</v>
          </cell>
          <cell r="BA1325">
            <v>0.25</v>
          </cell>
        </row>
        <row r="1326">
          <cell r="A1326" t="str">
            <v>IN FUNE</v>
          </cell>
          <cell r="D1326" t="str">
            <v>VIA DANTE 2</v>
          </cell>
          <cell r="E1326" t="str">
            <v>20886</v>
          </cell>
          <cell r="F1326" t="str">
            <v>CARNATE</v>
          </cell>
          <cell r="G1326" t="str">
            <v>MB</v>
          </cell>
          <cell r="H1326" t="str">
            <v>ITALIA</v>
          </cell>
          <cell r="M1326" t="str">
            <v>UFFICIO ACQUISTI</v>
          </cell>
          <cell r="N1326" t="str">
            <v>347 4147644</v>
          </cell>
          <cell r="P1326" t="str">
            <v>infune@pecditta.com</v>
          </cell>
          <cell r="R1326" t="str">
            <v>BONIFICO BANCARIO, ALLA DATA DELLA NOSTRA CONFERMA D'ORDINE</v>
          </cell>
          <cell r="X1326">
            <v>0.25</v>
          </cell>
          <cell r="Y1326">
            <v>-0.04</v>
          </cell>
          <cell r="AB1326">
            <v>0.25</v>
          </cell>
          <cell r="AC1326">
            <v>0.25</v>
          </cell>
          <cell r="AD1326">
            <v>0.25</v>
          </cell>
          <cell r="AE1326">
            <v>0.25</v>
          </cell>
          <cell r="AF1326">
            <v>0.25</v>
          </cell>
          <cell r="AG1326">
            <v>0.25</v>
          </cell>
          <cell r="AH1326">
            <v>0.25</v>
          </cell>
          <cell r="AI1326">
            <v>0.25</v>
          </cell>
          <cell r="AJ1326">
            <v>0.25</v>
          </cell>
          <cell r="AK1326">
            <v>0.25</v>
          </cell>
          <cell r="AL1326">
            <v>0.25</v>
          </cell>
          <cell r="AM1326">
            <v>0.25</v>
          </cell>
          <cell r="AN1326">
            <v>0.25</v>
          </cell>
          <cell r="AO1326">
            <v>0.25</v>
          </cell>
          <cell r="AP1326">
            <v>0.25</v>
          </cell>
          <cell r="AQ1326">
            <v>0.25</v>
          </cell>
          <cell r="AR1326">
            <v>0.25</v>
          </cell>
          <cell r="AS1326">
            <v>0.25</v>
          </cell>
          <cell r="AT1326">
            <v>-0.04</v>
          </cell>
          <cell r="AU1326">
            <v>0.92</v>
          </cell>
          <cell r="AV1326">
            <v>20</v>
          </cell>
          <cell r="AY1326" t="str">
            <v/>
          </cell>
          <cell r="AZ1326">
            <v>0.25</v>
          </cell>
          <cell r="BA1326">
            <v>0.25</v>
          </cell>
        </row>
        <row r="1327">
          <cell r="A1327" t="str">
            <v>IN HOME SRLS</v>
          </cell>
          <cell r="D1327" t="str">
            <v>V.LE S.DOMENICO</v>
          </cell>
          <cell r="E1327" t="str">
            <v>03039</v>
          </cell>
          <cell r="F1327" t="str">
            <v>SORA</v>
          </cell>
          <cell r="G1327" t="str">
            <v>FR</v>
          </cell>
          <cell r="H1327" t="str">
            <v>ITALIA</v>
          </cell>
          <cell r="J1327" t="str">
            <v>03042880603</v>
          </cell>
          <cell r="M1327" t="str">
            <v>UFFICIO ACQUISTI</v>
          </cell>
          <cell r="O1327" t="str">
            <v>329 0522990</v>
          </cell>
          <cell r="P1327" t="str">
            <v>inhomesrls@gmail.com</v>
          </cell>
          <cell r="R1327" t="str">
            <v>BONIFICO BANCARIO, ALLA DATA DELLA NOSTRA CONFERMA D'ORDINE</v>
          </cell>
          <cell r="X1327">
            <v>0.25</v>
          </cell>
          <cell r="Y1327">
            <v>-0.04</v>
          </cell>
          <cell r="AB1327">
            <v>0.25</v>
          </cell>
          <cell r="AC1327">
            <v>0.25</v>
          </cell>
          <cell r="AD1327">
            <v>0.25</v>
          </cell>
          <cell r="AE1327">
            <v>0.25</v>
          </cell>
          <cell r="AF1327">
            <v>0.25</v>
          </cell>
          <cell r="AG1327">
            <v>0.25</v>
          </cell>
          <cell r="AH1327">
            <v>0.25</v>
          </cell>
          <cell r="AI1327">
            <v>0.25</v>
          </cell>
          <cell r="AJ1327">
            <v>0.25</v>
          </cell>
          <cell r="AK1327">
            <v>0.25</v>
          </cell>
          <cell r="AL1327">
            <v>0.25</v>
          </cell>
          <cell r="AM1327">
            <v>0.25</v>
          </cell>
          <cell r="AN1327">
            <v>0.25</v>
          </cell>
          <cell r="AO1327">
            <v>0.25</v>
          </cell>
          <cell r="AP1327">
            <v>0.25</v>
          </cell>
          <cell r="AQ1327">
            <v>0.25</v>
          </cell>
          <cell r="AR1327">
            <v>0.25</v>
          </cell>
          <cell r="AS1327">
            <v>0.25</v>
          </cell>
          <cell r="AT1327">
            <v>-0.04</v>
          </cell>
          <cell r="AU1327">
            <v>0.92</v>
          </cell>
          <cell r="AV1327">
            <v>20</v>
          </cell>
          <cell r="AY1327" t="str">
            <v/>
          </cell>
          <cell r="AZ1327">
            <v>0.25</v>
          </cell>
          <cell r="BA1327">
            <v>0.25</v>
          </cell>
        </row>
        <row r="1328">
          <cell r="A1328" t="str">
            <v>INA FRANZISKA KAUFMANN ARCHITETTO</v>
          </cell>
          <cell r="M1328" t="str">
            <v>UFFICIO ACQUISTI</v>
          </cell>
          <cell r="O1328" t="str">
            <v>347 1916400</v>
          </cell>
          <cell r="P1328" t="str">
            <v>f.kaufmann@vespierarchitects.com</v>
          </cell>
          <cell r="R1328" t="str">
            <v>BONIFICO BANCARIO, ALLA DATA DELLA NOSTRA CONFERMA D'ORDINE</v>
          </cell>
          <cell r="X1328">
            <v>0.25</v>
          </cell>
          <cell r="Y1328">
            <v>-0.04</v>
          </cell>
          <cell r="AB1328">
            <v>0.25</v>
          </cell>
          <cell r="AC1328">
            <v>0.25</v>
          </cell>
          <cell r="AD1328">
            <v>0.25</v>
          </cell>
          <cell r="AE1328">
            <v>0.25</v>
          </cell>
          <cell r="AF1328">
            <v>0.25</v>
          </cell>
          <cell r="AG1328">
            <v>0.25</v>
          </cell>
          <cell r="AH1328">
            <v>0.25</v>
          </cell>
          <cell r="AI1328">
            <v>0.25</v>
          </cell>
          <cell r="AJ1328">
            <v>0.25</v>
          </cell>
          <cell r="AK1328">
            <v>0.25</v>
          </cell>
          <cell r="AL1328">
            <v>0.25</v>
          </cell>
          <cell r="AM1328">
            <v>0.25</v>
          </cell>
          <cell r="AN1328">
            <v>0.25</v>
          </cell>
          <cell r="AO1328">
            <v>0.25</v>
          </cell>
          <cell r="AP1328">
            <v>0.25</v>
          </cell>
          <cell r="AQ1328">
            <v>0.25</v>
          </cell>
          <cell r="AR1328">
            <v>0.25</v>
          </cell>
          <cell r="AS1328">
            <v>0.25</v>
          </cell>
          <cell r="AT1328">
            <v>-0.04</v>
          </cell>
          <cell r="AU1328">
            <v>0.92</v>
          </cell>
          <cell r="AV1328">
            <v>20</v>
          </cell>
          <cell r="AY1328" t="str">
            <v/>
          </cell>
          <cell r="AZ1328">
            <v>0.25</v>
          </cell>
          <cell r="BA1328">
            <v>0.25</v>
          </cell>
        </row>
        <row r="1329">
          <cell r="A1329" t="str">
            <v>INALFER</v>
          </cell>
          <cell r="D1329" t="str">
            <v>VIA NUOVA SAVIANO</v>
          </cell>
          <cell r="E1329" t="str">
            <v>80040</v>
          </cell>
          <cell r="F1329" t="str">
            <v>NAPOLI</v>
          </cell>
          <cell r="G1329" t="str">
            <v>NA</v>
          </cell>
          <cell r="H1329" t="str">
            <v>ITALIA</v>
          </cell>
          <cell r="M1329" t="str">
            <v>UFFICIO ACQUISTI</v>
          </cell>
          <cell r="N1329" t="str">
            <v>081 8286486</v>
          </cell>
          <cell r="P1329" t="str">
            <v>info@inalfer.it</v>
          </cell>
          <cell r="R1329" t="str">
            <v>BONIFICO BANCARIO, ALLA DATA DELLA NOSTRA CONFERMA D'ORDINE</v>
          </cell>
          <cell r="X1329">
            <v>0.25</v>
          </cell>
          <cell r="Y1329">
            <v>-0.04</v>
          </cell>
          <cell r="AB1329">
            <v>0.25</v>
          </cell>
          <cell r="AC1329">
            <v>0.25</v>
          </cell>
          <cell r="AD1329">
            <v>0.25</v>
          </cell>
          <cell r="AE1329">
            <v>0.25</v>
          </cell>
          <cell r="AF1329">
            <v>0.25</v>
          </cell>
          <cell r="AG1329">
            <v>0.25</v>
          </cell>
          <cell r="AH1329">
            <v>0.25</v>
          </cell>
          <cell r="AI1329">
            <v>0.25</v>
          </cell>
          <cell r="AJ1329">
            <v>0.25</v>
          </cell>
          <cell r="AK1329">
            <v>0.25</v>
          </cell>
          <cell r="AL1329">
            <v>0.25</v>
          </cell>
          <cell r="AM1329">
            <v>0.25</v>
          </cell>
          <cell r="AN1329">
            <v>0.25</v>
          </cell>
          <cell r="AO1329">
            <v>0.25</v>
          </cell>
          <cell r="AP1329">
            <v>0.25</v>
          </cell>
          <cell r="AQ1329">
            <v>0.25</v>
          </cell>
          <cell r="AR1329">
            <v>0.25</v>
          </cell>
          <cell r="AS1329">
            <v>0.25</v>
          </cell>
          <cell r="AT1329">
            <v>-0.04</v>
          </cell>
          <cell r="AU1329">
            <v>0.92</v>
          </cell>
          <cell r="AV1329">
            <v>20</v>
          </cell>
          <cell r="AY1329" t="str">
            <v/>
          </cell>
          <cell r="AZ1329">
            <v>0.25</v>
          </cell>
          <cell r="BA1329">
            <v>0.25</v>
          </cell>
        </row>
        <row r="1330">
          <cell r="A1330" t="str">
            <v>INDOOR SRL</v>
          </cell>
          <cell r="B1330" t="str">
            <v>21/12/22 NON HANNO RICHIESTE E NON VOGLIONO INSERIRLE NELLA LORO GAMMA PRODOTTI</v>
          </cell>
          <cell r="D1330" t="str">
            <v>VIALE DEL LAVORO, 15A</v>
          </cell>
          <cell r="E1330">
            <v>37036</v>
          </cell>
          <cell r="F1330" t="str">
            <v>SAN MARTINO BUON ALBERGO</v>
          </cell>
          <cell r="G1330" t="str">
            <v>VR</v>
          </cell>
          <cell r="H1330" t="str">
            <v>ITALIA</v>
          </cell>
          <cell r="I1330" t="str">
            <v>03667370237</v>
          </cell>
          <cell r="J1330" t="str">
            <v>03667370237</v>
          </cell>
          <cell r="M1330" t="str">
            <v>UFFICIO ACQUISTI</v>
          </cell>
          <cell r="N1330" t="str">
            <v>0458 780847</v>
          </cell>
          <cell r="O1330" t="str">
            <v>328 0037250</v>
          </cell>
          <cell r="P1330" t="str">
            <v>indoorsrl@hotmail.it</v>
          </cell>
          <cell r="R1330" t="str">
            <v>BONIFICO BANCARIO, ALLA DATA DELLA NOSTRA CONFERMA D'ORDINE</v>
          </cell>
          <cell r="X1330">
            <v>0.25</v>
          </cell>
          <cell r="Y1330">
            <v>-0.04</v>
          </cell>
          <cell r="AB1330">
            <v>0.25</v>
          </cell>
          <cell r="AC1330">
            <v>0.25</v>
          </cell>
          <cell r="AD1330">
            <v>0.25</v>
          </cell>
          <cell r="AE1330">
            <v>0.25</v>
          </cell>
          <cell r="AF1330">
            <v>0.25</v>
          </cell>
          <cell r="AG1330">
            <v>0.25</v>
          </cell>
          <cell r="AH1330">
            <v>0.25</v>
          </cell>
          <cell r="AI1330">
            <v>0.25</v>
          </cell>
          <cell r="AJ1330">
            <v>0.25</v>
          </cell>
          <cell r="AK1330">
            <v>0.25</v>
          </cell>
          <cell r="AL1330">
            <v>0.25</v>
          </cell>
          <cell r="AM1330">
            <v>0.25</v>
          </cell>
          <cell r="AN1330">
            <v>0.25</v>
          </cell>
          <cell r="AO1330">
            <v>0.25</v>
          </cell>
          <cell r="AP1330">
            <v>0.25</v>
          </cell>
          <cell r="AQ1330">
            <v>0.25</v>
          </cell>
          <cell r="AR1330">
            <v>0.25</v>
          </cell>
          <cell r="AS1330">
            <v>0.25</v>
          </cell>
          <cell r="AT1330">
            <v>-0.04</v>
          </cell>
          <cell r="AU1330">
            <v>0.92</v>
          </cell>
          <cell r="AV1330">
            <v>20</v>
          </cell>
          <cell r="AY1330" t="str">
            <v/>
          </cell>
          <cell r="AZ1330">
            <v>0.25</v>
          </cell>
          <cell r="BA1330">
            <v>0.25</v>
          </cell>
        </row>
        <row r="1331">
          <cell r="A1331" t="str">
            <v>INF.ALL.2.1</v>
          </cell>
          <cell r="D1331" t="str">
            <v>Z.A.LOC.LI LUCIANEDDI</v>
          </cell>
          <cell r="E1331" t="str">
            <v>07028</v>
          </cell>
          <cell r="F1331" t="str">
            <v>SANTA TERESA DI GALLURA</v>
          </cell>
          <cell r="G1331" t="str">
            <v>SS</v>
          </cell>
          <cell r="H1331" t="str">
            <v>ITALIA</v>
          </cell>
          <cell r="J1331" t="str">
            <v>02849280900</v>
          </cell>
          <cell r="K1331" t="str">
            <v>KRRH6B9</v>
          </cell>
          <cell r="M1331" t="str">
            <v>UFFICIO ACQUISTI</v>
          </cell>
          <cell r="N1331" t="str">
            <v>078 91834524</v>
          </cell>
          <cell r="O1331" t="str">
            <v>345 5728504 FRANCESCA  331 3865605 ALESSANDRO</v>
          </cell>
          <cell r="P1331" t="str">
            <v>infall2.1srls@gmail.com</v>
          </cell>
          <cell r="R1331" t="str">
            <v>BONIFICO BANCARIO, ALLA DATA DELLA NOSTRA CONFERMA D'ORDINE</v>
          </cell>
          <cell r="X1331">
            <v>0.2</v>
          </cell>
          <cell r="Y1331">
            <v>-0.04</v>
          </cell>
          <cell r="AB1331">
            <v>0.2</v>
          </cell>
          <cell r="AC1331">
            <v>0.2</v>
          </cell>
          <cell r="AD1331">
            <v>0.2</v>
          </cell>
          <cell r="AE1331">
            <v>0.2</v>
          </cell>
          <cell r="AF1331">
            <v>0.2</v>
          </cell>
          <cell r="AG1331">
            <v>0.2</v>
          </cell>
          <cell r="AH1331">
            <v>0.2</v>
          </cell>
          <cell r="AI1331">
            <v>0.2</v>
          </cell>
          <cell r="AJ1331">
            <v>0.2</v>
          </cell>
          <cell r="AK1331">
            <v>0.2</v>
          </cell>
          <cell r="AL1331">
            <v>0.2</v>
          </cell>
          <cell r="AM1331">
            <v>0.2</v>
          </cell>
          <cell r="AN1331">
            <v>0.2</v>
          </cell>
          <cell r="AO1331">
            <v>0.2</v>
          </cell>
          <cell r="AP1331">
            <v>0.2</v>
          </cell>
          <cell r="AQ1331">
            <v>0.2</v>
          </cell>
          <cell r="AR1331">
            <v>0.2</v>
          </cell>
          <cell r="AS1331">
            <v>0.2</v>
          </cell>
          <cell r="AT1331">
            <v>-0.04</v>
          </cell>
          <cell r="AU1331">
            <v>0.92</v>
          </cell>
          <cell r="AV1331">
            <v>20</v>
          </cell>
          <cell r="AZ1331">
            <v>0.2</v>
          </cell>
          <cell r="BA1331">
            <v>0.2</v>
          </cell>
        </row>
        <row r="1332">
          <cell r="A1332" t="str">
            <v>INFA DI VITO GILBERTO</v>
          </cell>
          <cell r="D1332" t="str">
            <v>VIA DANTE, 227</v>
          </cell>
          <cell r="E1332">
            <v>60044</v>
          </cell>
          <cell r="F1332" t="str">
            <v>FABRIANO</v>
          </cell>
          <cell r="G1332" t="str">
            <v>AN</v>
          </cell>
          <cell r="H1332" t="str">
            <v>ITALIA</v>
          </cell>
          <cell r="M1332" t="str">
            <v>UFFICIO ACQUISTI</v>
          </cell>
          <cell r="N1332" t="str">
            <v>0732 626668</v>
          </cell>
          <cell r="O1332" t="str">
            <v>340 4781184</v>
          </cell>
          <cell r="P1332" t="str">
            <v>infadivitogilberto@gmail.com</v>
          </cell>
          <cell r="R1332" t="str">
            <v>BONIFICO BANCARIO, ALLA DATA DELLA NOSTRA CONFERMA D'ORDINE</v>
          </cell>
          <cell r="X1332">
            <v>0.25</v>
          </cell>
          <cell r="Y1332">
            <v>-0.04</v>
          </cell>
          <cell r="AB1332">
            <v>0.25</v>
          </cell>
          <cell r="AC1332">
            <v>0.25</v>
          </cell>
          <cell r="AD1332">
            <v>0.25</v>
          </cell>
          <cell r="AE1332">
            <v>0.25</v>
          </cell>
          <cell r="AF1332">
            <v>0.25</v>
          </cell>
          <cell r="AG1332">
            <v>0.25</v>
          </cell>
          <cell r="AH1332">
            <v>0.25</v>
          </cell>
          <cell r="AI1332">
            <v>0.25</v>
          </cell>
          <cell r="AJ1332">
            <v>0.25</v>
          </cell>
          <cell r="AK1332">
            <v>0.25</v>
          </cell>
          <cell r="AL1332">
            <v>0.25</v>
          </cell>
          <cell r="AM1332">
            <v>0.25</v>
          </cell>
          <cell r="AN1332">
            <v>0.25</v>
          </cell>
          <cell r="AO1332">
            <v>0.25</v>
          </cell>
          <cell r="AP1332">
            <v>0.25</v>
          </cell>
          <cell r="AQ1332">
            <v>0.25</v>
          </cell>
          <cell r="AR1332">
            <v>0.25</v>
          </cell>
          <cell r="AS1332">
            <v>0.25</v>
          </cell>
          <cell r="AT1332">
            <v>-0.04</v>
          </cell>
          <cell r="AU1332">
            <v>0.92</v>
          </cell>
          <cell r="AV1332">
            <v>20</v>
          </cell>
          <cell r="AY1332" t="str">
            <v/>
          </cell>
          <cell r="AZ1332">
            <v>0.25</v>
          </cell>
          <cell r="BA1332">
            <v>0.25</v>
          </cell>
        </row>
        <row r="1333">
          <cell r="A1333" t="str">
            <v>INFA SERRAMENTI</v>
          </cell>
          <cell r="D1333" t="str">
            <v>VIA SALE, 15</v>
          </cell>
          <cell r="E1333" t="str">
            <v>80025</v>
          </cell>
          <cell r="F1333" t="str">
            <v>CASANDRINO</v>
          </cell>
          <cell r="G1333" t="str">
            <v>NA</v>
          </cell>
          <cell r="H1333" t="str">
            <v>ITALIA</v>
          </cell>
          <cell r="I1333" t="str">
            <v>CRRCRL58T141293V</v>
          </cell>
          <cell r="J1333" t="str">
            <v>03091661219</v>
          </cell>
          <cell r="M1333" t="str">
            <v>UFFICIO ACQUISTI</v>
          </cell>
          <cell r="N1333" t="str">
            <v>081 8304616</v>
          </cell>
          <cell r="P1333" t="str">
            <v>info@infaserramenti.it</v>
          </cell>
          <cell r="R1333" t="str">
            <v>BONIFICO BANCARIO, ALLA DATA DELLA NOSTRA CONFERMA D'ORDINE</v>
          </cell>
          <cell r="X1333">
            <v>0.25</v>
          </cell>
          <cell r="Y1333">
            <v>-0.04</v>
          </cell>
          <cell r="AB1333">
            <v>0.25</v>
          </cell>
          <cell r="AC1333">
            <v>0.25</v>
          </cell>
          <cell r="AD1333">
            <v>0.25</v>
          </cell>
          <cell r="AE1333">
            <v>0.25</v>
          </cell>
          <cell r="AF1333">
            <v>0.25</v>
          </cell>
          <cell r="AG1333">
            <v>0.25</v>
          </cell>
          <cell r="AH1333">
            <v>0.25</v>
          </cell>
          <cell r="AI1333">
            <v>0.25</v>
          </cell>
          <cell r="AJ1333">
            <v>0.25</v>
          </cell>
          <cell r="AK1333">
            <v>0.25</v>
          </cell>
          <cell r="AL1333">
            <v>0.25</v>
          </cell>
          <cell r="AM1333">
            <v>0.25</v>
          </cell>
          <cell r="AN1333">
            <v>0.25</v>
          </cell>
          <cell r="AO1333">
            <v>0.25</v>
          </cell>
          <cell r="AP1333">
            <v>0.25</v>
          </cell>
          <cell r="AQ1333">
            <v>0.25</v>
          </cell>
          <cell r="AR1333">
            <v>0.25</v>
          </cell>
          <cell r="AS1333">
            <v>0.25</v>
          </cell>
          <cell r="AT1333">
            <v>-0.04</v>
          </cell>
          <cell r="AU1333">
            <v>0.92</v>
          </cell>
          <cell r="AV1333">
            <v>20</v>
          </cell>
          <cell r="AZ1333">
            <v>0.25</v>
          </cell>
          <cell r="BA1333">
            <v>0.25</v>
          </cell>
        </row>
        <row r="1334">
          <cell r="A1334" t="str">
            <v>INFERRIATE &amp; INFISSI SRL</v>
          </cell>
          <cell r="D1334" t="str">
            <v>VIA CASSINO SCANASIO, 61</v>
          </cell>
          <cell r="E1334">
            <v>20089</v>
          </cell>
          <cell r="F1334" t="str">
            <v>ROZZANO</v>
          </cell>
          <cell r="G1334" t="str">
            <v>MI</v>
          </cell>
          <cell r="H1334" t="str">
            <v>ITALIA</v>
          </cell>
          <cell r="J1334" t="str">
            <v>07384500968</v>
          </cell>
          <cell r="M1334" t="str">
            <v>UFFICIO ACQUISTI</v>
          </cell>
          <cell r="N1334" t="str">
            <v>02 39465854</v>
          </cell>
          <cell r="O1334" t="str">
            <v>Antonio Schiavello 333 6949541</v>
          </cell>
          <cell r="P1334" t="str">
            <v>antonio.schiavello@inferriateinfissi.it</v>
          </cell>
          <cell r="R1334" t="str">
            <v>BONIFICO BANCARIO, ALLA DATA DELLA NOSTRA CONFERMA D'ORDINE</v>
          </cell>
          <cell r="X1334">
            <v>0.25</v>
          </cell>
          <cell r="Y1334">
            <v>-0.04</v>
          </cell>
          <cell r="AB1334">
            <v>0.25</v>
          </cell>
          <cell r="AC1334">
            <v>0.25</v>
          </cell>
          <cell r="AD1334">
            <v>0.25</v>
          </cell>
          <cell r="AE1334">
            <v>0.25</v>
          </cell>
          <cell r="AF1334">
            <v>0.25</v>
          </cell>
          <cell r="AG1334">
            <v>0.25</v>
          </cell>
          <cell r="AH1334">
            <v>0.25</v>
          </cell>
          <cell r="AI1334">
            <v>0.25</v>
          </cell>
          <cell r="AJ1334">
            <v>0.25</v>
          </cell>
          <cell r="AK1334">
            <v>0.25</v>
          </cell>
          <cell r="AL1334">
            <v>0.25</v>
          </cell>
          <cell r="AM1334">
            <v>0.25</v>
          </cell>
          <cell r="AN1334">
            <v>0.25</v>
          </cell>
          <cell r="AO1334">
            <v>0.25</v>
          </cell>
          <cell r="AP1334">
            <v>0.25</v>
          </cell>
          <cell r="AQ1334">
            <v>0.25</v>
          </cell>
          <cell r="AR1334">
            <v>0.25</v>
          </cell>
          <cell r="AS1334">
            <v>0.25</v>
          </cell>
          <cell r="AT1334">
            <v>-0.04</v>
          </cell>
          <cell r="AU1334">
            <v>0.92</v>
          </cell>
          <cell r="AV1334">
            <v>20</v>
          </cell>
          <cell r="AY1334" t="str">
            <v/>
          </cell>
          <cell r="AZ1334">
            <v>0.25</v>
          </cell>
          <cell r="BA1334">
            <v>0.25</v>
          </cell>
        </row>
        <row r="1335">
          <cell r="A1335" t="str">
            <v>INFISS.ART SERRAMENTI DI COLETTI ALESSIO</v>
          </cell>
          <cell r="D1335" t="str">
            <v>VIA A. BARTOCCI, 1 I</v>
          </cell>
          <cell r="E1335" t="str">
            <v>05100</v>
          </cell>
          <cell r="F1335" t="str">
            <v>TERNI</v>
          </cell>
          <cell r="G1335" t="str">
            <v>TR</v>
          </cell>
          <cell r="H1335" t="str">
            <v>ITALIA</v>
          </cell>
          <cell r="M1335" t="str">
            <v>UFFICIO ACQUISTI</v>
          </cell>
          <cell r="N1335" t="str">
            <v>0744 302556</v>
          </cell>
          <cell r="O1335" t="str">
            <v>340 9407519 ALESSIO</v>
          </cell>
          <cell r="P1335" t="str">
            <v>infissartsnc@libero.it</v>
          </cell>
          <cell r="R1335" t="str">
            <v>BONIFICO BANCARIO, ALLA DATA DELLA NOSTRA CONFERMA D'ORDINE</v>
          </cell>
          <cell r="Y1335">
            <v>-0.04</v>
          </cell>
          <cell r="AT1335">
            <v>-0.04</v>
          </cell>
          <cell r="AV1335">
            <v>20</v>
          </cell>
          <cell r="AZ1335">
            <v>0</v>
          </cell>
          <cell r="BA1335">
            <v>0</v>
          </cell>
        </row>
        <row r="1336">
          <cell r="A1336" t="str">
            <v>INFISSI &amp; PORTE</v>
          </cell>
          <cell r="D1336" t="str">
            <v>VIA NAZIONALE, 53 F</v>
          </cell>
          <cell r="E1336">
            <v>62029</v>
          </cell>
          <cell r="F1336" t="str">
            <v>TOLENTINO</v>
          </cell>
          <cell r="G1336" t="str">
            <v>MC</v>
          </cell>
          <cell r="H1336" t="str">
            <v>ITALIA</v>
          </cell>
          <cell r="I1336" t="str">
            <v>LMBGCM95R21L191R</v>
          </cell>
          <cell r="J1336" t="str">
            <v>01879130431</v>
          </cell>
          <cell r="M1336" t="str">
            <v>UFFICIO ACQUISTI</v>
          </cell>
          <cell r="N1336" t="str">
            <v>0733 1871779</v>
          </cell>
          <cell r="O1336" t="str">
            <v>347 1751672</v>
          </cell>
          <cell r="P1336" t="str">
            <v>commerciale@infissieportetolentino.it - info@infissieportetolentino.it</v>
          </cell>
          <cell r="R1336" t="str">
            <v>BONIFICO BANCARIO, ALLA DATA DELLA NOSTRA CONFERMA D'ORDINE</v>
          </cell>
          <cell r="X1336">
            <v>0.25</v>
          </cell>
          <cell r="Y1336">
            <v>-0.04</v>
          </cell>
          <cell r="AB1336">
            <v>0.25</v>
          </cell>
          <cell r="AC1336">
            <v>0.25</v>
          </cell>
          <cell r="AD1336">
            <v>0.25</v>
          </cell>
          <cell r="AE1336">
            <v>0.25</v>
          </cell>
          <cell r="AF1336">
            <v>0.25</v>
          </cell>
          <cell r="AG1336">
            <v>0.25</v>
          </cell>
          <cell r="AH1336">
            <v>0.25</v>
          </cell>
          <cell r="AI1336">
            <v>0.25</v>
          </cell>
          <cell r="AJ1336">
            <v>0.25</v>
          </cell>
          <cell r="AK1336">
            <v>0.25</v>
          </cell>
          <cell r="AL1336">
            <v>0.25</v>
          </cell>
          <cell r="AM1336">
            <v>0.25</v>
          </cell>
          <cell r="AN1336">
            <v>0.25</v>
          </cell>
          <cell r="AO1336">
            <v>0.25</v>
          </cell>
          <cell r="AP1336">
            <v>0.25</v>
          </cell>
          <cell r="AQ1336">
            <v>0.25</v>
          </cell>
          <cell r="AR1336">
            <v>0.25</v>
          </cell>
          <cell r="AS1336">
            <v>0.25</v>
          </cell>
          <cell r="AT1336">
            <v>-0.04</v>
          </cell>
          <cell r="AU1336">
            <v>0.92</v>
          </cell>
          <cell r="AV1336">
            <v>20</v>
          </cell>
          <cell r="AY1336" t="str">
            <v/>
          </cell>
          <cell r="AZ1336">
            <v>0.25</v>
          </cell>
          <cell r="BA1336">
            <v>0.25</v>
          </cell>
        </row>
        <row r="1337">
          <cell r="A1337" t="str">
            <v>INFISSI &amp; SERVICE S.A.S. DI HOWHA ADRIATIK</v>
          </cell>
          <cell r="D1337" t="str">
            <v>VIA CARSO, 36</v>
          </cell>
          <cell r="E1337" t="str">
            <v>48121</v>
          </cell>
          <cell r="F1337" t="str">
            <v>RAVENNA</v>
          </cell>
          <cell r="G1337" t="str">
            <v>RA</v>
          </cell>
          <cell r="H1337" t="str">
            <v>ITALIA</v>
          </cell>
          <cell r="J1337" t="str">
            <v>02678700390</v>
          </cell>
          <cell r="M1337" t="str">
            <v>UFFICIO ACQUISTI</v>
          </cell>
          <cell r="O1337" t="str">
            <v>344 1204183</v>
          </cell>
          <cell r="P1337" t="str">
            <v>infissiandservice@gmail.com</v>
          </cell>
          <cell r="R1337" t="str">
            <v>BONIFICO BANCARIO, ALLA DATA DELLA NOSTRA CONFERMA D'ORDINE</v>
          </cell>
          <cell r="X1337">
            <v>0.2</v>
          </cell>
          <cell r="Y1337">
            <v>-0.04</v>
          </cell>
          <cell r="AB1337">
            <v>0.2</v>
          </cell>
          <cell r="AC1337">
            <v>0.2</v>
          </cell>
          <cell r="AD1337">
            <v>0.2</v>
          </cell>
          <cell r="AE1337">
            <v>0.2</v>
          </cell>
          <cell r="AF1337">
            <v>0.2</v>
          </cell>
          <cell r="AG1337">
            <v>0.2</v>
          </cell>
          <cell r="AH1337">
            <v>0.2</v>
          </cell>
          <cell r="AI1337">
            <v>0.2</v>
          </cell>
          <cell r="AJ1337">
            <v>0.2</v>
          </cell>
          <cell r="AK1337">
            <v>0.2</v>
          </cell>
          <cell r="AL1337">
            <v>0.2</v>
          </cell>
          <cell r="AM1337">
            <v>0.2</v>
          </cell>
          <cell r="AN1337">
            <v>0.2</v>
          </cell>
          <cell r="AO1337">
            <v>0.2</v>
          </cell>
          <cell r="AP1337">
            <v>0.2</v>
          </cell>
          <cell r="AQ1337">
            <v>0.2</v>
          </cell>
          <cell r="AR1337">
            <v>0.2</v>
          </cell>
          <cell r="AS1337">
            <v>0.2</v>
          </cell>
          <cell r="AT1337">
            <v>-0.04</v>
          </cell>
          <cell r="AV1337">
            <v>20</v>
          </cell>
          <cell r="AZ1337">
            <v>0.2</v>
          </cell>
          <cell r="BA1337">
            <v>0.2</v>
          </cell>
        </row>
        <row r="1338">
          <cell r="A1338" t="str">
            <v>INFISSI 2000 DI BONSANTI</v>
          </cell>
          <cell r="D1338" t="str">
            <v>PIAZZA CECCHERINI - LOC. SPIAGGETTA</v>
          </cell>
          <cell r="E1338" t="str">
            <v>58015</v>
          </cell>
          <cell r="F1338" t="str">
            <v>ORBETELLO</v>
          </cell>
          <cell r="G1338" t="str">
            <v>GR</v>
          </cell>
          <cell r="H1338" t="str">
            <v>ITALIA</v>
          </cell>
          <cell r="J1338" t="str">
            <v>01208980530</v>
          </cell>
          <cell r="M1338" t="str">
            <v>UFFICIO ACQUISTI</v>
          </cell>
          <cell r="N1338" t="str">
            <v>0564 865624</v>
          </cell>
          <cell r="O1338" t="str">
            <v>339 6583703</v>
          </cell>
          <cell r="P1338" t="str">
            <v>infissiduemila@interfree.it</v>
          </cell>
          <cell r="R1338" t="str">
            <v>BONIFICO BANCARIO, ALLA DATA DELLA NOSTRA CONFERMA D'ORDINE</v>
          </cell>
          <cell r="X1338">
            <v>0.25</v>
          </cell>
          <cell r="Y1338">
            <v>-0.04</v>
          </cell>
          <cell r="AB1338">
            <v>0.25</v>
          </cell>
          <cell r="AC1338">
            <v>0.25</v>
          </cell>
          <cell r="AD1338">
            <v>0.25</v>
          </cell>
          <cell r="AE1338">
            <v>0.25</v>
          </cell>
          <cell r="AF1338">
            <v>0.25</v>
          </cell>
          <cell r="AG1338">
            <v>0.25</v>
          </cell>
          <cell r="AH1338">
            <v>0.25</v>
          </cell>
          <cell r="AI1338">
            <v>0.25</v>
          </cell>
          <cell r="AJ1338">
            <v>0.25</v>
          </cell>
          <cell r="AK1338">
            <v>0.25</v>
          </cell>
          <cell r="AL1338">
            <v>0.25</v>
          </cell>
          <cell r="AM1338">
            <v>0.25</v>
          </cell>
          <cell r="AN1338">
            <v>0.25</v>
          </cell>
          <cell r="AO1338">
            <v>0.25</v>
          </cell>
          <cell r="AP1338">
            <v>0.25</v>
          </cell>
          <cell r="AQ1338">
            <v>0.25</v>
          </cell>
          <cell r="AR1338">
            <v>0.25</v>
          </cell>
          <cell r="AS1338">
            <v>0.25</v>
          </cell>
          <cell r="AT1338">
            <v>-0.04</v>
          </cell>
          <cell r="AU1338">
            <v>0.92</v>
          </cell>
          <cell r="AV1338">
            <v>20</v>
          </cell>
          <cell r="AY1338" t="str">
            <v/>
          </cell>
          <cell r="AZ1338">
            <v>0.25</v>
          </cell>
          <cell r="BA1338">
            <v>0.25</v>
          </cell>
        </row>
        <row r="1339">
          <cell r="A1339" t="str">
            <v>INFISSI ALLUMINIO F.LLI COLI SNC</v>
          </cell>
          <cell r="D1339" t="str">
            <v xml:space="preserve">VIA P.GORI, 15 A </v>
          </cell>
          <cell r="E1339">
            <v>57124</v>
          </cell>
          <cell r="F1339" t="str">
            <v>LIVORNO</v>
          </cell>
          <cell r="G1339" t="str">
            <v>LI</v>
          </cell>
          <cell r="H1339" t="str">
            <v>ITALIA</v>
          </cell>
          <cell r="J1339" t="str">
            <v>00050630490</v>
          </cell>
          <cell r="M1339" t="str">
            <v>UFFICIO ACQUISTI</v>
          </cell>
          <cell r="N1339" t="str">
            <v>0586 862202</v>
          </cell>
          <cell r="R1339" t="str">
            <v>BONIFICO BANCARIO, ALLA DATA DELLA NOSTRA CONFERMA D'ORDINE</v>
          </cell>
          <cell r="X1339">
            <v>0.25</v>
          </cell>
          <cell r="Y1339">
            <v>-0.04</v>
          </cell>
          <cell r="AB1339">
            <v>0.25</v>
          </cell>
          <cell r="AC1339">
            <v>0.25</v>
          </cell>
          <cell r="AD1339">
            <v>0.25</v>
          </cell>
          <cell r="AE1339">
            <v>0.25</v>
          </cell>
          <cell r="AF1339">
            <v>0.25</v>
          </cell>
          <cell r="AG1339">
            <v>0.25</v>
          </cell>
          <cell r="AH1339">
            <v>0.25</v>
          </cell>
          <cell r="AI1339">
            <v>0.25</v>
          </cell>
          <cell r="AJ1339">
            <v>0.25</v>
          </cell>
          <cell r="AK1339">
            <v>0.25</v>
          </cell>
          <cell r="AL1339">
            <v>0.25</v>
          </cell>
          <cell r="AM1339">
            <v>0.25</v>
          </cell>
          <cell r="AN1339">
            <v>0.25</v>
          </cell>
          <cell r="AO1339">
            <v>0.25</v>
          </cell>
          <cell r="AP1339">
            <v>0.25</v>
          </cell>
          <cell r="AQ1339">
            <v>0.25</v>
          </cell>
          <cell r="AR1339">
            <v>0.25</v>
          </cell>
          <cell r="AS1339">
            <v>0.25</v>
          </cell>
          <cell r="AT1339">
            <v>-0.04</v>
          </cell>
          <cell r="AU1339">
            <v>0.92</v>
          </cell>
          <cell r="AV1339">
            <v>20</v>
          </cell>
          <cell r="AY1339" t="str">
            <v/>
          </cell>
          <cell r="AZ1339">
            <v>0.25</v>
          </cell>
          <cell r="BA1339">
            <v>0.25</v>
          </cell>
        </row>
        <row r="1340">
          <cell r="A1340" t="str">
            <v>INFISSI ARREDO DI FUSARI GIACINTO E C. SNC</v>
          </cell>
          <cell r="D1340" t="str">
            <v>VIA PIEMONTE 17</v>
          </cell>
          <cell r="E1340" t="str">
            <v>27028</v>
          </cell>
          <cell r="F1340" t="str">
            <v>SAN MARTINO SICCOMARIO</v>
          </cell>
          <cell r="G1340" t="str">
            <v>PV</v>
          </cell>
          <cell r="H1340" t="str">
            <v>ITALIA</v>
          </cell>
          <cell r="J1340" t="str">
            <v>02483450181</v>
          </cell>
          <cell r="M1340" t="str">
            <v>UFFICIO ACQUISTI</v>
          </cell>
          <cell r="N1340" t="str">
            <v>0382 556387</v>
          </cell>
          <cell r="R1340" t="str">
            <v>BONIFICO BANCARIO, ALLA DATA DELLA NOSTRA CONFERMA D'ORDINE</v>
          </cell>
          <cell r="X1340">
            <v>0.25</v>
          </cell>
          <cell r="Y1340">
            <v>-0.04</v>
          </cell>
          <cell r="AB1340">
            <v>0.25</v>
          </cell>
          <cell r="AC1340">
            <v>0.25</v>
          </cell>
          <cell r="AD1340">
            <v>0.25</v>
          </cell>
          <cell r="AE1340">
            <v>0.25</v>
          </cell>
          <cell r="AF1340">
            <v>0.25</v>
          </cell>
          <cell r="AG1340">
            <v>0.25</v>
          </cell>
          <cell r="AH1340">
            <v>0.25</v>
          </cell>
          <cell r="AI1340">
            <v>0.25</v>
          </cell>
          <cell r="AJ1340">
            <v>0.25</v>
          </cell>
          <cell r="AK1340">
            <v>0.25</v>
          </cell>
          <cell r="AL1340">
            <v>0.25</v>
          </cell>
          <cell r="AM1340">
            <v>0.25</v>
          </cell>
          <cell r="AN1340">
            <v>0.25</v>
          </cell>
          <cell r="AO1340">
            <v>0.25</v>
          </cell>
          <cell r="AP1340">
            <v>0.25</v>
          </cell>
          <cell r="AQ1340">
            <v>0.25</v>
          </cell>
          <cell r="AR1340">
            <v>0.25</v>
          </cell>
          <cell r="AS1340">
            <v>0.25</v>
          </cell>
          <cell r="AT1340">
            <v>-0.04</v>
          </cell>
          <cell r="AU1340">
            <v>0.92</v>
          </cell>
          <cell r="AV1340">
            <v>20</v>
          </cell>
          <cell r="AZ1340">
            <v>0.25</v>
          </cell>
          <cell r="BA1340">
            <v>0.25</v>
          </cell>
        </row>
        <row r="1341">
          <cell r="A1341" t="str">
            <v>INFISSI BELLIFEMINE</v>
          </cell>
          <cell r="B1341" t="str">
            <v>DARIO BELLIFEMINE</v>
          </cell>
          <cell r="D1341" t="str">
            <v>VIA DE LUCA 29</v>
          </cell>
          <cell r="F1341" t="str">
            <v>MOLFETTA</v>
          </cell>
          <cell r="G1341" t="str">
            <v>BA</v>
          </cell>
          <cell r="H1341" t="str">
            <v>ITALIA</v>
          </cell>
          <cell r="J1341" t="str">
            <v>07733690726</v>
          </cell>
          <cell r="M1341" t="str">
            <v>UFFICIO ACQUISTI</v>
          </cell>
          <cell r="O1341" t="str">
            <v>349 4540829</v>
          </cell>
          <cell r="P1341" t="str">
            <v>infissibellifemine@gmail.com</v>
          </cell>
          <cell r="R1341" t="str">
            <v>BONIFICO BANCARIO, ALLA DATA DELLA NOSTRA CONFERMA D'ORDINE</v>
          </cell>
          <cell r="X1341">
            <v>0.25</v>
          </cell>
          <cell r="Y1341">
            <v>-0.04</v>
          </cell>
          <cell r="AB1341">
            <v>0.25</v>
          </cell>
          <cell r="AC1341">
            <v>0.25</v>
          </cell>
          <cell r="AD1341">
            <v>0.25</v>
          </cell>
          <cell r="AE1341">
            <v>0.25</v>
          </cell>
          <cell r="AF1341">
            <v>0.25</v>
          </cell>
          <cell r="AG1341">
            <v>0.25</v>
          </cell>
          <cell r="AH1341">
            <v>0.25</v>
          </cell>
          <cell r="AI1341">
            <v>0.25</v>
          </cell>
          <cell r="AJ1341">
            <v>0.25</v>
          </cell>
          <cell r="AK1341">
            <v>0.25</v>
          </cell>
          <cell r="AL1341">
            <v>0.25</v>
          </cell>
          <cell r="AM1341">
            <v>0.25</v>
          </cell>
          <cell r="AN1341">
            <v>0.25</v>
          </cell>
          <cell r="AO1341">
            <v>0.25</v>
          </cell>
          <cell r="AP1341">
            <v>0.25</v>
          </cell>
          <cell r="AQ1341">
            <v>0.25</v>
          </cell>
          <cell r="AR1341">
            <v>0.25</v>
          </cell>
          <cell r="AS1341">
            <v>0.25</v>
          </cell>
          <cell r="AT1341">
            <v>-0.04</v>
          </cell>
          <cell r="AU1341">
            <v>0.92</v>
          </cell>
          <cell r="AV1341">
            <v>20</v>
          </cell>
          <cell r="AY1341" t="str">
            <v/>
          </cell>
          <cell r="AZ1341">
            <v>0.25</v>
          </cell>
          <cell r="BA1341">
            <v>0.25</v>
          </cell>
        </row>
        <row r="1342">
          <cell r="A1342" t="str">
            <v xml:space="preserve">INFISSI C.G.S.R.L. </v>
          </cell>
          <cell r="D1342" t="str">
            <v>VIALE ISONZO, SNC</v>
          </cell>
          <cell r="E1342" t="str">
            <v>88100</v>
          </cell>
          <cell r="F1342" t="str">
            <v>CATANZATO</v>
          </cell>
          <cell r="G1342" t="str">
            <v>CZ</v>
          </cell>
          <cell r="H1342" t="str">
            <v>ITALIA</v>
          </cell>
          <cell r="J1342" t="str">
            <v>03539370795</v>
          </cell>
          <cell r="K1342" t="str">
            <v>M5UXCR1</v>
          </cell>
          <cell r="M1342" t="str">
            <v>UFFICIO ACQUISTI</v>
          </cell>
          <cell r="O1342" t="str">
            <v>331 2349961</v>
          </cell>
          <cell r="P1342" t="str">
            <v>teamcost@libero.it</v>
          </cell>
          <cell r="R1342" t="str">
            <v>BONIFICO BANCARIO, ALLA DATA DELLA NOSTRA CONFERMA D'ORDINE</v>
          </cell>
          <cell r="X1342">
            <v>0.25</v>
          </cell>
          <cell r="Y1342">
            <v>-0.04</v>
          </cell>
          <cell r="AB1342">
            <v>0.25</v>
          </cell>
          <cell r="AC1342">
            <v>0.25</v>
          </cell>
          <cell r="AD1342">
            <v>0.25</v>
          </cell>
          <cell r="AE1342">
            <v>0.25</v>
          </cell>
          <cell r="AF1342">
            <v>0.25</v>
          </cell>
          <cell r="AG1342">
            <v>0.25</v>
          </cell>
          <cell r="AH1342">
            <v>0.25</v>
          </cell>
          <cell r="AI1342">
            <v>0.25</v>
          </cell>
          <cell r="AJ1342">
            <v>0.25</v>
          </cell>
          <cell r="AK1342">
            <v>0.25</v>
          </cell>
          <cell r="AL1342">
            <v>0.25</v>
          </cell>
          <cell r="AM1342">
            <v>0.25</v>
          </cell>
          <cell r="AN1342">
            <v>0.25</v>
          </cell>
          <cell r="AO1342">
            <v>0.25</v>
          </cell>
          <cell r="AP1342">
            <v>0.25</v>
          </cell>
          <cell r="AQ1342">
            <v>0.25</v>
          </cell>
          <cell r="AR1342">
            <v>0.25</v>
          </cell>
          <cell r="AS1342">
            <v>0.25</v>
          </cell>
          <cell r="AT1342">
            <v>-0.04</v>
          </cell>
          <cell r="AU1342">
            <v>0.92</v>
          </cell>
          <cell r="AV1342">
            <v>20</v>
          </cell>
          <cell r="AW1342" t="str">
            <v>PIETRO OLIVADOTI</v>
          </cell>
          <cell r="AX1342">
            <v>0.95</v>
          </cell>
          <cell r="AZ1342">
            <v>0.25</v>
          </cell>
          <cell r="BA1342">
            <v>0.25</v>
          </cell>
        </row>
        <row r="1343">
          <cell r="A1343" t="str">
            <v>INFISSI CANTAFIO</v>
          </cell>
          <cell r="D1343" t="str">
            <v>VIA DEL PROGRESSO, 559</v>
          </cell>
          <cell r="E1343">
            <v>88046</v>
          </cell>
          <cell r="F1343" t="str">
            <v>LAMEZIA TERME</v>
          </cell>
          <cell r="G1343" t="str">
            <v>CZ</v>
          </cell>
          <cell r="H1343" t="str">
            <v>ITALIA</v>
          </cell>
          <cell r="J1343" t="str">
            <v>03094620790</v>
          </cell>
          <cell r="M1343" t="str">
            <v>UFFICIO ACQUISTI</v>
          </cell>
          <cell r="N1343" t="str">
            <v>0968 453224</v>
          </cell>
          <cell r="P1343" t="str">
            <v>zeusinfissi@gmail.com</v>
          </cell>
          <cell r="R1343" t="str">
            <v>BONIFICO BANCARIO, ALLA DATA DELLA NOSTRA CONFERMA D'ORDINE</v>
          </cell>
          <cell r="X1343">
            <v>0.25</v>
          </cell>
          <cell r="Y1343">
            <v>-0.04</v>
          </cell>
          <cell r="AB1343">
            <v>0.25</v>
          </cell>
          <cell r="AC1343">
            <v>0.25</v>
          </cell>
          <cell r="AD1343">
            <v>0.25</v>
          </cell>
          <cell r="AE1343">
            <v>0.25</v>
          </cell>
          <cell r="AF1343">
            <v>0.25</v>
          </cell>
          <cell r="AG1343">
            <v>0.25</v>
          </cell>
          <cell r="AH1343">
            <v>0.25</v>
          </cell>
          <cell r="AI1343">
            <v>0.25</v>
          </cell>
          <cell r="AJ1343">
            <v>0.25</v>
          </cell>
          <cell r="AK1343">
            <v>0.25</v>
          </cell>
          <cell r="AL1343">
            <v>0.25</v>
          </cell>
          <cell r="AM1343">
            <v>0.25</v>
          </cell>
          <cell r="AN1343">
            <v>0.25</v>
          </cell>
          <cell r="AO1343">
            <v>0.25</v>
          </cell>
          <cell r="AP1343">
            <v>0.25</v>
          </cell>
          <cell r="AQ1343">
            <v>0.25</v>
          </cell>
          <cell r="AR1343">
            <v>0.25</v>
          </cell>
          <cell r="AS1343">
            <v>0.25</v>
          </cell>
          <cell r="AT1343">
            <v>-0.04</v>
          </cell>
          <cell r="AU1343">
            <v>0.92</v>
          </cell>
          <cell r="AV1343">
            <v>20</v>
          </cell>
          <cell r="AW1343" t="str">
            <v>PIETRO OLIVADOTI</v>
          </cell>
          <cell r="AX1343">
            <v>0.95</v>
          </cell>
          <cell r="AZ1343">
            <v>0.25</v>
          </cell>
          <cell r="BA1343">
            <v>0.25</v>
          </cell>
        </row>
        <row r="1344">
          <cell r="A1344" t="str">
            <v xml:space="preserve">INFISSI D'AUTORE </v>
          </cell>
          <cell r="D1344" t="str">
            <v>VIA GENOVA, 17</v>
          </cell>
          <cell r="E1344">
            <v>88100</v>
          </cell>
          <cell r="F1344" t="str">
            <v>MARINA DI CATANZARO</v>
          </cell>
          <cell r="G1344" t="str">
            <v>CZ</v>
          </cell>
          <cell r="H1344" t="str">
            <v>ITALIA</v>
          </cell>
          <cell r="M1344" t="str">
            <v>UFFICIO ACQUISTI</v>
          </cell>
          <cell r="O1344" t="str">
            <v>333 3135685</v>
          </cell>
          <cell r="R1344" t="str">
            <v>BONIFICO BANCARIO, ALLA DATA DELLA NOSTRA CONFERMA D'ORDINE</v>
          </cell>
          <cell r="X1344">
            <v>0.25</v>
          </cell>
          <cell r="Y1344">
            <v>-0.04</v>
          </cell>
          <cell r="AB1344">
            <v>0.25</v>
          </cell>
          <cell r="AC1344">
            <v>0.25</v>
          </cell>
          <cell r="AD1344">
            <v>0.25</v>
          </cell>
          <cell r="AE1344">
            <v>0.25</v>
          </cell>
          <cell r="AF1344">
            <v>0.25</v>
          </cell>
          <cell r="AG1344">
            <v>0.25</v>
          </cell>
          <cell r="AH1344">
            <v>0.25</v>
          </cell>
          <cell r="AI1344">
            <v>0.25</v>
          </cell>
          <cell r="AJ1344">
            <v>0.25</v>
          </cell>
          <cell r="AK1344">
            <v>0.25</v>
          </cell>
          <cell r="AL1344">
            <v>0.25</v>
          </cell>
          <cell r="AM1344">
            <v>0.25</v>
          </cell>
          <cell r="AN1344">
            <v>0.25</v>
          </cell>
          <cell r="AO1344">
            <v>0.25</v>
          </cell>
          <cell r="AP1344">
            <v>0.25</v>
          </cell>
          <cell r="AQ1344">
            <v>0.25</v>
          </cell>
          <cell r="AR1344">
            <v>0.25</v>
          </cell>
          <cell r="AS1344">
            <v>0.25</v>
          </cell>
          <cell r="AT1344">
            <v>-0.04</v>
          </cell>
          <cell r="AU1344">
            <v>0.92</v>
          </cell>
          <cell r="AV1344">
            <v>20</v>
          </cell>
          <cell r="AW1344" t="str">
            <v>PIETRO OLIVADOTI</v>
          </cell>
          <cell r="AX1344">
            <v>0.95</v>
          </cell>
          <cell r="AY1344" t="str">
            <v/>
          </cell>
          <cell r="AZ1344">
            <v>0.25</v>
          </cell>
          <cell r="BA1344">
            <v>0.25</v>
          </cell>
        </row>
        <row r="1345">
          <cell r="A1345" t="str">
            <v>INFISSI DESIGN</v>
          </cell>
          <cell r="D1345" t="str">
            <v>LOC.PONT SUAZ, 105</v>
          </cell>
          <cell r="E1345">
            <v>11020</v>
          </cell>
          <cell r="F1345" t="str">
            <v>CHARVENSOD</v>
          </cell>
          <cell r="G1345" t="str">
            <v>AO</v>
          </cell>
          <cell r="H1345" t="str">
            <v>ITALIA</v>
          </cell>
          <cell r="I1345" t="str">
            <v>GRDRKE80B49A326A</v>
          </cell>
          <cell r="J1345" t="str">
            <v>01193130075</v>
          </cell>
          <cell r="M1345" t="str">
            <v>UFFICIO ACQUISTI</v>
          </cell>
          <cell r="N1345" t="str">
            <v>0165 45770</v>
          </cell>
          <cell r="P1345" t="str">
            <v>infissidesign@email.it</v>
          </cell>
          <cell r="R1345" t="str">
            <v>BONIFICO BANCARIO, ALLA DATA DELLA NOSTRA CONFERMA D'ORDINE</v>
          </cell>
          <cell r="X1345">
            <v>0.25</v>
          </cell>
          <cell r="Y1345">
            <v>-0.04</v>
          </cell>
          <cell r="AB1345">
            <v>0.25</v>
          </cell>
          <cell r="AC1345">
            <v>0.25</v>
          </cell>
          <cell r="AD1345">
            <v>0.25</v>
          </cell>
          <cell r="AE1345">
            <v>0.25</v>
          </cell>
          <cell r="AF1345">
            <v>0.25</v>
          </cell>
          <cell r="AG1345">
            <v>0.25</v>
          </cell>
          <cell r="AH1345">
            <v>0.25</v>
          </cell>
          <cell r="AI1345">
            <v>0.25</v>
          </cell>
          <cell r="AJ1345">
            <v>0.25</v>
          </cell>
          <cell r="AK1345">
            <v>0.25</v>
          </cell>
          <cell r="AL1345">
            <v>0.25</v>
          </cell>
          <cell r="AM1345">
            <v>0.25</v>
          </cell>
          <cell r="AN1345">
            <v>0.25</v>
          </cell>
          <cell r="AO1345">
            <v>0.25</v>
          </cell>
          <cell r="AP1345">
            <v>0.25</v>
          </cell>
          <cell r="AQ1345">
            <v>0.25</v>
          </cell>
          <cell r="AR1345">
            <v>0.25</v>
          </cell>
          <cell r="AS1345">
            <v>0.25</v>
          </cell>
          <cell r="AT1345">
            <v>-0.04</v>
          </cell>
          <cell r="AU1345">
            <v>0.92</v>
          </cell>
          <cell r="AV1345">
            <v>20</v>
          </cell>
          <cell r="AZ1345">
            <v>0.25</v>
          </cell>
          <cell r="BA1345">
            <v>0.25</v>
          </cell>
        </row>
        <row r="1346">
          <cell r="A1346" t="str">
            <v xml:space="preserve">INFISSI DESIGN </v>
          </cell>
          <cell r="D1346" t="str">
            <v>C.DA CHIARAVALLE, 25 C</v>
          </cell>
          <cell r="E1346">
            <v>62010</v>
          </cell>
          <cell r="F1346" t="str">
            <v>TREIA</v>
          </cell>
          <cell r="G1346" t="str">
            <v>MC</v>
          </cell>
          <cell r="H1346" t="str">
            <v>ITALIA</v>
          </cell>
          <cell r="M1346" t="str">
            <v>UFFICIO ACQUISTI</v>
          </cell>
          <cell r="N1346" t="str">
            <v>0733 215808</v>
          </cell>
          <cell r="P1346" t="str">
            <v>info@infissidesign.com</v>
          </cell>
          <cell r="R1346" t="str">
            <v>BONIFICO BANCARIO, ALLA DATA DELLA NOSTRA CONFERMA D'ORDINE</v>
          </cell>
          <cell r="X1346">
            <v>0.25</v>
          </cell>
          <cell r="Y1346">
            <v>-0.04</v>
          </cell>
          <cell r="AB1346">
            <v>0.25</v>
          </cell>
          <cell r="AC1346">
            <v>0.25</v>
          </cell>
          <cell r="AD1346">
            <v>0.25</v>
          </cell>
          <cell r="AE1346">
            <v>0.25</v>
          </cell>
          <cell r="AF1346">
            <v>0.25</v>
          </cell>
          <cell r="AG1346">
            <v>0.25</v>
          </cell>
          <cell r="AH1346">
            <v>0.25</v>
          </cell>
          <cell r="AI1346">
            <v>0.25</v>
          </cell>
          <cell r="AJ1346">
            <v>0.25</v>
          </cell>
          <cell r="AK1346">
            <v>0.25</v>
          </cell>
          <cell r="AL1346">
            <v>0.25</v>
          </cell>
          <cell r="AM1346">
            <v>0.25</v>
          </cell>
          <cell r="AN1346">
            <v>0.25</v>
          </cell>
          <cell r="AO1346">
            <v>0.25</v>
          </cell>
          <cell r="AP1346">
            <v>0.25</v>
          </cell>
          <cell r="AQ1346">
            <v>0.25</v>
          </cell>
          <cell r="AR1346">
            <v>0.25</v>
          </cell>
          <cell r="AS1346">
            <v>0.25</v>
          </cell>
          <cell r="AT1346">
            <v>-0.04</v>
          </cell>
          <cell r="AU1346">
            <v>0.92</v>
          </cell>
          <cell r="AV1346">
            <v>20</v>
          </cell>
          <cell r="AZ1346">
            <v>0.25</v>
          </cell>
          <cell r="BA1346">
            <v>0.25</v>
          </cell>
        </row>
        <row r="1347">
          <cell r="A1347" t="str">
            <v xml:space="preserve">INFISSI DI COGNINI SIMONE </v>
          </cell>
          <cell r="B1347" t="str">
            <v>21/04/23 CI E' PASSATO RIZZOLI. E' UN SOGGETTO. TRATTA TUTTO E NIENTE. HA CATALOGO E LISTINO DI TUTTI I COMPETITOR SOPRA IL BANCO. SECONDO LUI LE BARRIERE NON SERVONO A NIENTE PERCHE' I CLIENTI POI NON LE MONTANO O PERDONO I PEZZI O O O… LASCIARE PERDERE. NON VENDERGLI PIU' I TAPPI AD ESPANSIONE</v>
          </cell>
          <cell r="D1347" t="str">
            <v>VIA MODIGLIANI 5/A</v>
          </cell>
          <cell r="E1347" t="str">
            <v xml:space="preserve">60019 </v>
          </cell>
          <cell r="F1347" t="str">
            <v>SENIGALLIA</v>
          </cell>
          <cell r="G1347" t="str">
            <v>AN</v>
          </cell>
          <cell r="H1347" t="str">
            <v>ITALIA</v>
          </cell>
          <cell r="J1347" t="str">
            <v>02493010421</v>
          </cell>
          <cell r="K1347" t="str">
            <v>DXEBYTP</v>
          </cell>
          <cell r="M1347" t="str">
            <v>UFFICIO ACQUISTI</v>
          </cell>
          <cell r="N1347" t="str">
            <v>071 6608304</v>
          </cell>
          <cell r="O1347" t="str">
            <v>338 7225979</v>
          </cell>
          <cell r="P1347" t="str">
            <v>segreteria@infissicognini.it</v>
          </cell>
          <cell r="R1347" t="str">
            <v>BONIFICO BANCARIO, ALLA DATA DELLA NOSTRA CONFERMA D'ORDINE</v>
          </cell>
          <cell r="X1347">
            <v>0.25</v>
          </cell>
          <cell r="Y1347">
            <v>-0.04</v>
          </cell>
          <cell r="AB1347">
            <v>0.25</v>
          </cell>
          <cell r="AC1347">
            <v>0.25</v>
          </cell>
          <cell r="AD1347">
            <v>0.25</v>
          </cell>
          <cell r="AE1347">
            <v>0.25</v>
          </cell>
          <cell r="AF1347">
            <v>0.25</v>
          </cell>
          <cell r="AG1347">
            <v>0.25</v>
          </cell>
          <cell r="AH1347">
            <v>0.25</v>
          </cell>
          <cell r="AI1347">
            <v>0.25</v>
          </cell>
          <cell r="AJ1347">
            <v>0.25</v>
          </cell>
          <cell r="AK1347">
            <v>0.25</v>
          </cell>
          <cell r="AL1347">
            <v>0.25</v>
          </cell>
          <cell r="AM1347">
            <v>0.25</v>
          </cell>
          <cell r="AN1347">
            <v>0.25</v>
          </cell>
          <cell r="AO1347">
            <v>0.25</v>
          </cell>
          <cell r="AP1347">
            <v>0.25</v>
          </cell>
          <cell r="AQ1347">
            <v>0.25</v>
          </cell>
          <cell r="AR1347">
            <v>0.25</v>
          </cell>
          <cell r="AS1347">
            <v>0.25</v>
          </cell>
          <cell r="AT1347">
            <v>-0.04</v>
          </cell>
          <cell r="AU1347">
            <v>0.92</v>
          </cell>
          <cell r="AV1347">
            <v>20</v>
          </cell>
          <cell r="AY1347" t="str">
            <v/>
          </cell>
          <cell r="AZ1347">
            <v>0.25</v>
          </cell>
          <cell r="BA1347">
            <v>0.25</v>
          </cell>
        </row>
        <row r="1348">
          <cell r="A1348" t="str">
            <v>INFISSI DI DANESE MARCO E C. s.a.s.</v>
          </cell>
          <cell r="D1348" t="str">
            <v>VIA PROVINCIALE PIANA, 7</v>
          </cell>
          <cell r="E1348">
            <v>19020</v>
          </cell>
          <cell r="F1348" t="str">
            <v xml:space="preserve">VEZZANO LIGURE </v>
          </cell>
          <cell r="G1348" t="str">
            <v>SP</v>
          </cell>
          <cell r="H1348" t="str">
            <v>iTALIA</v>
          </cell>
          <cell r="J1348" t="str">
            <v>01351300114</v>
          </cell>
          <cell r="K1348" t="str">
            <v>W7YVJK9</v>
          </cell>
          <cell r="M1348" t="str">
            <v>UFFICIO ACQUISTI</v>
          </cell>
          <cell r="N1348" t="str">
            <v>0187 991207</v>
          </cell>
          <cell r="P1348" t="str">
            <v>info@dinfissi.it</v>
          </cell>
          <cell r="R1348" t="str">
            <v>BONIFICO BANCARIO, ALLA DATA DELLA NOSTRA CONFERMA D'ORDINE</v>
          </cell>
          <cell r="X1348">
            <v>0.25</v>
          </cell>
          <cell r="Y1348">
            <v>-0.04</v>
          </cell>
          <cell r="AB1348">
            <v>0.25</v>
          </cell>
          <cell r="AC1348">
            <v>0.25</v>
          </cell>
          <cell r="AD1348">
            <v>0.25</v>
          </cell>
          <cell r="AE1348">
            <v>0.25</v>
          </cell>
          <cell r="AF1348">
            <v>0.25</v>
          </cell>
          <cell r="AG1348">
            <v>0.25</v>
          </cell>
          <cell r="AH1348">
            <v>0.25</v>
          </cell>
          <cell r="AI1348">
            <v>0.25</v>
          </cell>
          <cell r="AJ1348">
            <v>0.25</v>
          </cell>
          <cell r="AK1348">
            <v>0.25</v>
          </cell>
          <cell r="AL1348">
            <v>0.25</v>
          </cell>
          <cell r="AM1348">
            <v>0.25</v>
          </cell>
          <cell r="AN1348">
            <v>0.25</v>
          </cell>
          <cell r="AO1348">
            <v>0.25</v>
          </cell>
          <cell r="AP1348">
            <v>0.25</v>
          </cell>
          <cell r="AQ1348">
            <v>0.25</v>
          </cell>
          <cell r="AR1348">
            <v>0.25</v>
          </cell>
          <cell r="AS1348">
            <v>0.25</v>
          </cell>
          <cell r="AT1348">
            <v>-0.04</v>
          </cell>
          <cell r="AU1348">
            <v>0.87</v>
          </cell>
          <cell r="AV1348">
            <v>20</v>
          </cell>
          <cell r="AY1348" t="str">
            <v/>
          </cell>
          <cell r="AZ1348">
            <v>0.25</v>
          </cell>
          <cell r="BA1348">
            <v>0.25</v>
          </cell>
        </row>
        <row r="1349">
          <cell r="A1349" t="str">
            <v>INFISSI DI GIANLUCA LADU</v>
          </cell>
          <cell r="D1349" t="str">
            <v>VIA FLEMING, 0</v>
          </cell>
          <cell r="E1349">
            <v>91014</v>
          </cell>
          <cell r="F1349" t="str">
            <v>CASTELLAMM. DEL G.</v>
          </cell>
          <cell r="G1349" t="str">
            <v>TP</v>
          </cell>
          <cell r="H1349" t="str">
            <v>ITALIA</v>
          </cell>
          <cell r="I1349" t="str">
            <v>LDAGLC71A09H700H</v>
          </cell>
          <cell r="J1349">
            <v>2378130815</v>
          </cell>
          <cell r="M1349" t="str">
            <v>UFFICIO ACQUISTI</v>
          </cell>
          <cell r="N1349" t="str">
            <v>924 1910423</v>
          </cell>
          <cell r="O1349" t="str">
            <v>392 0084101</v>
          </cell>
          <cell r="P1349" t="str">
            <v>g.infissi@hotmail.it</v>
          </cell>
          <cell r="R1349" t="str">
            <v>BONIFICO BANCARIO, ALLA DATA DELLA NOSTRA CONFERMA D'ORDINE</v>
          </cell>
          <cell r="X1349">
            <v>0.25</v>
          </cell>
          <cell r="Y1349">
            <v>-0.04</v>
          </cell>
          <cell r="AB1349">
            <v>0.25</v>
          </cell>
          <cell r="AC1349">
            <v>0.25</v>
          </cell>
          <cell r="AD1349">
            <v>0.25</v>
          </cell>
          <cell r="AE1349">
            <v>0.25</v>
          </cell>
          <cell r="AF1349">
            <v>0.25</v>
          </cell>
          <cell r="AG1349">
            <v>0.25</v>
          </cell>
          <cell r="AH1349">
            <v>0.25</v>
          </cell>
          <cell r="AI1349">
            <v>0.25</v>
          </cell>
          <cell r="AJ1349">
            <v>0.25</v>
          </cell>
          <cell r="AK1349">
            <v>0.25</v>
          </cell>
          <cell r="AL1349">
            <v>0.25</v>
          </cell>
          <cell r="AM1349">
            <v>0.25</v>
          </cell>
          <cell r="AN1349">
            <v>0.25</v>
          </cell>
          <cell r="AO1349">
            <v>0.25</v>
          </cell>
          <cell r="AP1349">
            <v>0.25</v>
          </cell>
          <cell r="AQ1349">
            <v>0.25</v>
          </cell>
          <cell r="AR1349">
            <v>0.25</v>
          </cell>
          <cell r="AS1349">
            <v>0.25</v>
          </cell>
          <cell r="AT1349">
            <v>-0.04</v>
          </cell>
          <cell r="AU1349">
            <v>0.92</v>
          </cell>
          <cell r="AV1349">
            <v>20</v>
          </cell>
          <cell r="AY1349" t="str">
            <v/>
          </cell>
          <cell r="AZ1349">
            <v>0.25</v>
          </cell>
          <cell r="BA1349">
            <v>0.25</v>
          </cell>
        </row>
        <row r="1350">
          <cell r="A1350" t="str">
            <v>INFISSI di Siro Tommaso</v>
          </cell>
          <cell r="D1350" t="str">
            <v>VIA VARESE, 10</v>
          </cell>
          <cell r="E1350">
            <v>20093</v>
          </cell>
          <cell r="F1350" t="str">
            <v>COLOGNO M.</v>
          </cell>
          <cell r="G1350" t="str">
            <v>MI</v>
          </cell>
          <cell r="H1350" t="str">
            <v>ITALIA</v>
          </cell>
          <cell r="I1350" t="str">
            <v>RSITMS62E25C895F</v>
          </cell>
          <cell r="J1350" t="str">
            <v>07100200968</v>
          </cell>
          <cell r="M1350" t="str">
            <v>UFFICIO ACQUISTI</v>
          </cell>
          <cell r="O1350" t="str">
            <v>338 2313329</v>
          </cell>
          <cell r="P1350" t="str">
            <v>st.infissi@live.it</v>
          </cell>
          <cell r="R1350" t="str">
            <v>BONIFICO BANCARIO, ALLA DATA DELLA NOSTRA CONFERMA D'ORDINE</v>
          </cell>
          <cell r="X1350">
            <v>0.25</v>
          </cell>
          <cell r="Y1350">
            <v>-0.04</v>
          </cell>
          <cell r="AB1350">
            <v>0.25</v>
          </cell>
          <cell r="AC1350">
            <v>0.25</v>
          </cell>
          <cell r="AD1350">
            <v>0.25</v>
          </cell>
          <cell r="AE1350">
            <v>0.25</v>
          </cell>
          <cell r="AF1350">
            <v>0.25</v>
          </cell>
          <cell r="AG1350">
            <v>0.25</v>
          </cell>
          <cell r="AH1350">
            <v>0.25</v>
          </cell>
          <cell r="AI1350">
            <v>0.25</v>
          </cell>
          <cell r="AJ1350">
            <v>0.25</v>
          </cell>
          <cell r="AK1350">
            <v>0.25</v>
          </cell>
          <cell r="AL1350">
            <v>0.25</v>
          </cell>
          <cell r="AM1350">
            <v>0.25</v>
          </cell>
          <cell r="AN1350">
            <v>0.25</v>
          </cell>
          <cell r="AO1350">
            <v>0.25</v>
          </cell>
          <cell r="AP1350">
            <v>0.25</v>
          </cell>
          <cell r="AQ1350">
            <v>0.25</v>
          </cell>
          <cell r="AR1350">
            <v>0.25</v>
          </cell>
          <cell r="AS1350">
            <v>0.25</v>
          </cell>
          <cell r="AT1350">
            <v>-0.04</v>
          </cell>
          <cell r="AU1350">
            <v>0.92</v>
          </cell>
          <cell r="AV1350">
            <v>20</v>
          </cell>
          <cell r="AY1350" t="str">
            <v/>
          </cell>
          <cell r="AZ1350">
            <v>0.25</v>
          </cell>
          <cell r="BA1350">
            <v>0.25</v>
          </cell>
        </row>
        <row r="1351">
          <cell r="A1351" t="str">
            <v>INFISSI FARRIS</v>
          </cell>
          <cell r="D1351" t="str">
            <v>VIA E. BERLINGUER 9</v>
          </cell>
          <cell r="F1351" t="str">
            <v>LADISPOLI</v>
          </cell>
          <cell r="G1351" t="str">
            <v>RM</v>
          </cell>
          <cell r="H1351" t="str">
            <v>ITALIA</v>
          </cell>
          <cell r="M1351" t="str">
            <v>UFFICIO ACQUISTI</v>
          </cell>
          <cell r="N1351" t="str">
            <v>393 6048193</v>
          </cell>
          <cell r="O1351" t="str">
            <v>339 3922921</v>
          </cell>
          <cell r="P1351" t="str">
            <v>infissifarris@gmail.com</v>
          </cell>
          <cell r="R1351" t="str">
            <v>BONIFICO BANCARIO, ALLA DATA DELLA NOSTRA CONFERMA D'ORDINE</v>
          </cell>
          <cell r="X1351">
            <v>0.25</v>
          </cell>
          <cell r="Y1351">
            <v>-0.04</v>
          </cell>
          <cell r="AB1351">
            <v>0.25</v>
          </cell>
          <cell r="AC1351">
            <v>0.25</v>
          </cell>
          <cell r="AD1351">
            <v>0.25</v>
          </cell>
          <cell r="AE1351">
            <v>0.25</v>
          </cell>
          <cell r="AF1351">
            <v>0.25</v>
          </cell>
          <cell r="AG1351">
            <v>0.25</v>
          </cell>
          <cell r="AH1351">
            <v>0.25</v>
          </cell>
          <cell r="AI1351">
            <v>0.25</v>
          </cell>
          <cell r="AJ1351">
            <v>0.25</v>
          </cell>
          <cell r="AK1351">
            <v>0.25</v>
          </cell>
          <cell r="AL1351">
            <v>0.25</v>
          </cell>
          <cell r="AM1351">
            <v>0.25</v>
          </cell>
          <cell r="AN1351">
            <v>0.25</v>
          </cell>
          <cell r="AO1351">
            <v>0.25</v>
          </cell>
          <cell r="AP1351">
            <v>0.25</v>
          </cell>
          <cell r="AQ1351">
            <v>0.25</v>
          </cell>
          <cell r="AR1351">
            <v>0.25</v>
          </cell>
          <cell r="AS1351">
            <v>0.25</v>
          </cell>
          <cell r="AT1351">
            <v>-0.04</v>
          </cell>
          <cell r="AU1351">
            <v>0.92</v>
          </cell>
          <cell r="AV1351">
            <v>20</v>
          </cell>
          <cell r="AY1351" t="str">
            <v/>
          </cell>
          <cell r="AZ1351">
            <v>0.25</v>
          </cell>
          <cell r="BA1351">
            <v>0.25</v>
          </cell>
        </row>
        <row r="1352">
          <cell r="A1352" t="str">
            <v>INFISSI FERRARI   DI FERRARI FRANCESCO</v>
          </cell>
          <cell r="D1352" t="str">
            <v>VIA DE AMICIS, 94</v>
          </cell>
          <cell r="E1352">
            <v>21050</v>
          </cell>
          <cell r="F1352" t="str">
            <v>CAIRATE FRAZ. BOLLADELLO</v>
          </cell>
          <cell r="G1352" t="str">
            <v>VA</v>
          </cell>
          <cell r="H1352" t="str">
            <v>ITALIA</v>
          </cell>
          <cell r="M1352" t="str">
            <v>UFFICIO ACQUISTI</v>
          </cell>
          <cell r="N1352" t="str">
            <v>0331 310786</v>
          </cell>
          <cell r="O1352" t="str">
            <v>347 4928558</v>
          </cell>
          <cell r="P1352" t="str">
            <v>infissi.ferrari@libero.it</v>
          </cell>
          <cell r="R1352" t="str">
            <v>BONIFICO BANCARIO, ALLA DATA DELLA NOSTRA CONFERMA D'ORDINE</v>
          </cell>
          <cell r="X1352">
            <v>0.25</v>
          </cell>
          <cell r="Y1352">
            <v>-0.04</v>
          </cell>
          <cell r="AB1352">
            <v>0.25</v>
          </cell>
          <cell r="AC1352">
            <v>0.25</v>
          </cell>
          <cell r="AD1352">
            <v>0.25</v>
          </cell>
          <cell r="AE1352">
            <v>0.25</v>
          </cell>
          <cell r="AF1352">
            <v>0.25</v>
          </cell>
          <cell r="AG1352">
            <v>0.25</v>
          </cell>
          <cell r="AH1352">
            <v>0.25</v>
          </cell>
          <cell r="AI1352">
            <v>0.25</v>
          </cell>
          <cell r="AJ1352">
            <v>0.25</v>
          </cell>
          <cell r="AK1352">
            <v>0.25</v>
          </cell>
          <cell r="AL1352">
            <v>0.25</v>
          </cell>
          <cell r="AM1352">
            <v>0.25</v>
          </cell>
          <cell r="AN1352">
            <v>0.25</v>
          </cell>
          <cell r="AO1352">
            <v>0.25</v>
          </cell>
          <cell r="AP1352">
            <v>0.25</v>
          </cell>
          <cell r="AQ1352">
            <v>0.25</v>
          </cell>
          <cell r="AR1352">
            <v>0.25</v>
          </cell>
          <cell r="AS1352">
            <v>0.25</v>
          </cell>
          <cell r="AT1352">
            <v>-0.04</v>
          </cell>
          <cell r="AU1352">
            <v>0.92</v>
          </cell>
          <cell r="AV1352">
            <v>20</v>
          </cell>
          <cell r="AY1352" t="str">
            <v/>
          </cell>
          <cell r="AZ1352">
            <v>0.25</v>
          </cell>
          <cell r="BA1352">
            <v>0.25</v>
          </cell>
        </row>
        <row r="1353">
          <cell r="A1353" t="str">
            <v>INFISSI GIANNANDREA GIANCARLO</v>
          </cell>
          <cell r="D1353" t="str">
            <v>VIA DEL MANDRIONE 89 B</v>
          </cell>
          <cell r="E1353" t="str">
            <v>00181</v>
          </cell>
          <cell r="F1353" t="str">
            <v>ROMA</v>
          </cell>
          <cell r="G1353" t="str">
            <v>RM</v>
          </cell>
          <cell r="H1353" t="str">
            <v>ITALIA</v>
          </cell>
          <cell r="M1353" t="str">
            <v>UFFICIO ACQUISTI</v>
          </cell>
          <cell r="O1353" t="str">
            <v>333 5238425 - 328 3711441</v>
          </cell>
          <cell r="P1353" t="str">
            <v>infissigiannandrea@libero.it</v>
          </cell>
          <cell r="R1353" t="str">
            <v>BONIFICO BANCARIO, ALLA DATA DELLA NOSTRA CONFERMA D'ORDINE</v>
          </cell>
          <cell r="X1353">
            <v>0.25</v>
          </cell>
          <cell r="Y1353">
            <v>-0.04</v>
          </cell>
          <cell r="AB1353">
            <v>0.25</v>
          </cell>
          <cell r="AC1353">
            <v>0.25</v>
          </cell>
          <cell r="AD1353">
            <v>0.25</v>
          </cell>
          <cell r="AE1353">
            <v>0.25</v>
          </cell>
          <cell r="AF1353">
            <v>0.25</v>
          </cell>
          <cell r="AG1353">
            <v>0.25</v>
          </cell>
          <cell r="AH1353">
            <v>0.25</v>
          </cell>
          <cell r="AI1353">
            <v>0.25</v>
          </cell>
          <cell r="AJ1353">
            <v>0.25</v>
          </cell>
          <cell r="AK1353">
            <v>0.25</v>
          </cell>
          <cell r="AL1353">
            <v>0.25</v>
          </cell>
          <cell r="AM1353">
            <v>0.25</v>
          </cell>
          <cell r="AN1353">
            <v>0.25</v>
          </cell>
          <cell r="AO1353">
            <v>0.25</v>
          </cell>
          <cell r="AP1353">
            <v>0.25</v>
          </cell>
          <cell r="AQ1353">
            <v>0.25</v>
          </cell>
          <cell r="AR1353">
            <v>0.25</v>
          </cell>
          <cell r="AS1353">
            <v>0.25</v>
          </cell>
          <cell r="AT1353">
            <v>-0.04</v>
          </cell>
          <cell r="AU1353">
            <v>0.92</v>
          </cell>
          <cell r="AV1353">
            <v>20</v>
          </cell>
          <cell r="AY1353" t="str">
            <v/>
          </cell>
          <cell r="AZ1353">
            <v>0.25</v>
          </cell>
          <cell r="BA1353">
            <v>0.25</v>
          </cell>
        </row>
        <row r="1354">
          <cell r="A1354" t="str">
            <v>INFISSI GIGLIA SAS</v>
          </cell>
          <cell r="D1354" t="str">
            <v>VIA NAZIONALE, 182</v>
          </cell>
          <cell r="F1354" t="str">
            <v>CAPO D'ORLANDO</v>
          </cell>
          <cell r="G1354" t="str">
            <v>ME</v>
          </cell>
          <cell r="H1354" t="str">
            <v>ITALIA</v>
          </cell>
          <cell r="J1354" t="str">
            <v>03132500830</v>
          </cell>
          <cell r="M1354" t="str">
            <v>UFFICIO ACQUISTI</v>
          </cell>
          <cell r="N1354" t="str">
            <v>0941 957937</v>
          </cell>
          <cell r="O1354" t="str">
            <v>339 8068569</v>
          </cell>
          <cell r="P1354" t="str">
            <v>infissigiglia@gmail.com</v>
          </cell>
          <cell r="R1354" t="str">
            <v>BONIFICO BANCARIO, ALLA DATA DELLA NOSTRA CONFERMA D'ORDINE</v>
          </cell>
          <cell r="X1354">
            <v>0.25</v>
          </cell>
          <cell r="Y1354">
            <v>-0.04</v>
          </cell>
          <cell r="AB1354">
            <v>0.25</v>
          </cell>
          <cell r="AC1354">
            <v>0.25</v>
          </cell>
          <cell r="AD1354">
            <v>0.25</v>
          </cell>
          <cell r="AE1354">
            <v>0.25</v>
          </cell>
          <cell r="AF1354">
            <v>0.25</v>
          </cell>
          <cell r="AG1354">
            <v>0.25</v>
          </cell>
          <cell r="AH1354">
            <v>0.25</v>
          </cell>
          <cell r="AI1354">
            <v>0.25</v>
          </cell>
          <cell r="AJ1354">
            <v>0.25</v>
          </cell>
          <cell r="AK1354">
            <v>0.25</v>
          </cell>
          <cell r="AL1354">
            <v>0.25</v>
          </cell>
          <cell r="AM1354">
            <v>0.25</v>
          </cell>
          <cell r="AN1354">
            <v>0.25</v>
          </cell>
          <cell r="AO1354">
            <v>0.25</v>
          </cell>
          <cell r="AP1354">
            <v>0.25</v>
          </cell>
          <cell r="AQ1354">
            <v>0.25</v>
          </cell>
          <cell r="AR1354">
            <v>0.25</v>
          </cell>
          <cell r="AS1354">
            <v>0.25</v>
          </cell>
          <cell r="AT1354">
            <v>-0.04</v>
          </cell>
          <cell r="AU1354">
            <v>0.92</v>
          </cell>
          <cell r="AV1354">
            <v>20</v>
          </cell>
          <cell r="AY1354" t="str">
            <v/>
          </cell>
          <cell r="AZ1354">
            <v>0.25</v>
          </cell>
          <cell r="BA1354">
            <v>0.25</v>
          </cell>
        </row>
        <row r="1355">
          <cell r="A1355" t="str">
            <v>INFISSI GOLDONI  S.R.L.</v>
          </cell>
          <cell r="B1355" t="str">
            <v>POTREBBE</v>
          </cell>
          <cell r="D1355" t="str">
            <v>VIALE GRAMSCI, 140</v>
          </cell>
          <cell r="E1355">
            <v>41037</v>
          </cell>
          <cell r="F1355" t="str">
            <v>MIRANDOLA</v>
          </cell>
          <cell r="G1355" t="str">
            <v>MO</v>
          </cell>
          <cell r="H1355" t="str">
            <v>ITALIA</v>
          </cell>
          <cell r="I1355" t="str">
            <v>02189730365</v>
          </cell>
          <cell r="J1355" t="str">
            <v>02189730365</v>
          </cell>
          <cell r="M1355" t="str">
            <v>UFFICIO ACQUISTI</v>
          </cell>
          <cell r="N1355" t="str">
            <v>0535 20352</v>
          </cell>
          <cell r="P1355" t="str">
            <v xml:space="preserve">amministrazione@infissigoldoni.com    </v>
          </cell>
          <cell r="R1355" t="str">
            <v>BONIFICO BANCARIO, ALLA DATA DELLA NOSTRA CONFERMA D'ORDINE</v>
          </cell>
          <cell r="X1355">
            <v>0.25</v>
          </cell>
          <cell r="Y1355">
            <v>-0.04</v>
          </cell>
          <cell r="AB1355">
            <v>0.25</v>
          </cell>
          <cell r="AC1355">
            <v>0.25</v>
          </cell>
          <cell r="AD1355">
            <v>0.25</v>
          </cell>
          <cell r="AE1355">
            <v>0.25</v>
          </cell>
          <cell r="AF1355">
            <v>0.25</v>
          </cell>
          <cell r="AG1355">
            <v>0.25</v>
          </cell>
          <cell r="AH1355">
            <v>0.25</v>
          </cell>
          <cell r="AI1355">
            <v>0.25</v>
          </cell>
          <cell r="AJ1355">
            <v>0.25</v>
          </cell>
          <cell r="AK1355">
            <v>0.25</v>
          </cell>
          <cell r="AL1355">
            <v>0.25</v>
          </cell>
          <cell r="AM1355">
            <v>0.25</v>
          </cell>
          <cell r="AN1355">
            <v>0.25</v>
          </cell>
          <cell r="AO1355">
            <v>0.25</v>
          </cell>
          <cell r="AP1355">
            <v>0.25</v>
          </cell>
          <cell r="AQ1355">
            <v>0.25</v>
          </cell>
          <cell r="AR1355">
            <v>0.25</v>
          </cell>
          <cell r="AS1355">
            <v>0.25</v>
          </cell>
          <cell r="AT1355">
            <v>-0.04</v>
          </cell>
          <cell r="AU1355">
            <v>0.92</v>
          </cell>
          <cell r="AV1355">
            <v>20</v>
          </cell>
          <cell r="AY1355" t="str">
            <v/>
          </cell>
          <cell r="AZ1355">
            <v>0.25</v>
          </cell>
          <cell r="BA1355">
            <v>0.25</v>
          </cell>
        </row>
        <row r="1356">
          <cell r="A1356" t="str">
            <v>INFISSI GROUP BOLOGNA SRL</v>
          </cell>
          <cell r="D1356" t="str">
            <v>VIA B. TOSARELLI 342/G</v>
          </cell>
          <cell r="E1356" t="str">
            <v>40050</v>
          </cell>
          <cell r="F1356" t="str">
            <v>VILLANOVA DI CASTENASO</v>
          </cell>
          <cell r="G1356" t="str">
            <v>BO</v>
          </cell>
          <cell r="H1356" t="str">
            <v>ITALIA</v>
          </cell>
          <cell r="J1356" t="str">
            <v>03577311206</v>
          </cell>
          <cell r="M1356" t="str">
            <v>UFFICIO ACQUISTI</v>
          </cell>
          <cell r="P1356" t="str">
            <v>info@infissigroup.com</v>
          </cell>
          <cell r="R1356" t="str">
            <v>BONIFICO BANCARIO, ALLA DATA DELLA NOSTRA CONFERMA D'ORDINE</v>
          </cell>
          <cell r="X1356">
            <v>0.25</v>
          </cell>
          <cell r="Y1356">
            <v>-0.04</v>
          </cell>
          <cell r="AB1356">
            <v>0.25</v>
          </cell>
          <cell r="AC1356">
            <v>0.25</v>
          </cell>
          <cell r="AD1356">
            <v>0.25</v>
          </cell>
          <cell r="AE1356">
            <v>0.25</v>
          </cell>
          <cell r="AF1356">
            <v>0.25</v>
          </cell>
          <cell r="AG1356">
            <v>0.25</v>
          </cell>
          <cell r="AH1356">
            <v>0.25</v>
          </cell>
          <cell r="AI1356">
            <v>0.25</v>
          </cell>
          <cell r="AJ1356">
            <v>0.25</v>
          </cell>
          <cell r="AK1356">
            <v>0.25</v>
          </cell>
          <cell r="AL1356">
            <v>0.25</v>
          </cell>
          <cell r="AM1356">
            <v>0.25</v>
          </cell>
          <cell r="AN1356">
            <v>0.25</v>
          </cell>
          <cell r="AO1356">
            <v>0.25</v>
          </cell>
          <cell r="AP1356">
            <v>0.25</v>
          </cell>
          <cell r="AQ1356">
            <v>0.25</v>
          </cell>
          <cell r="AR1356">
            <v>0.25</v>
          </cell>
          <cell r="AS1356">
            <v>0.25</v>
          </cell>
          <cell r="AT1356">
            <v>-0.04</v>
          </cell>
          <cell r="AU1356">
            <v>0.92</v>
          </cell>
          <cell r="AV1356">
            <v>20</v>
          </cell>
          <cell r="AY1356" t="str">
            <v/>
          </cell>
          <cell r="AZ1356">
            <v>0.25</v>
          </cell>
          <cell r="BA1356">
            <v>0.25</v>
          </cell>
        </row>
        <row r="1357">
          <cell r="A1357" t="str">
            <v>INFISSI GROUP SRL</v>
          </cell>
          <cell r="D1357" t="str">
            <v>VIA SAN FELICE 51</v>
          </cell>
          <cell r="E1357">
            <v>40122</v>
          </cell>
          <cell r="F1357" t="str">
            <v>BOLOGNA</v>
          </cell>
          <cell r="G1357" t="str">
            <v>BO</v>
          </cell>
          <cell r="H1357" t="str">
            <v>ITALIA</v>
          </cell>
          <cell r="J1357" t="str">
            <v>07386740968</v>
          </cell>
          <cell r="K1357" t="str">
            <v>M5UXCR1</v>
          </cell>
          <cell r="L1357" t="str">
            <v xml:space="preserve">VIA CHIARINI 131 133 - 65100 - PESCARA </v>
          </cell>
          <cell r="M1357" t="str">
            <v>UFFICIO ACQUISTI</v>
          </cell>
          <cell r="O1357" t="str">
            <v>346 6072604 VITTORIO COVELLA</v>
          </cell>
          <cell r="P1357" t="str">
            <v>info@infissigroup.com</v>
          </cell>
          <cell r="R1357" t="str">
            <v>BONIFICO BANCARIO, ALLA DATA DELLA NOSTRA CONFERMA D'ORDINE</v>
          </cell>
          <cell r="X1357">
            <v>0.25</v>
          </cell>
          <cell r="Y1357">
            <v>-0.04</v>
          </cell>
          <cell r="AB1357">
            <v>0.25</v>
          </cell>
          <cell r="AC1357">
            <v>0.25</v>
          </cell>
          <cell r="AD1357">
            <v>0.25</v>
          </cell>
          <cell r="AE1357">
            <v>0.25</v>
          </cell>
          <cell r="AF1357">
            <v>0.25</v>
          </cell>
          <cell r="AG1357">
            <v>0.25</v>
          </cell>
          <cell r="AH1357">
            <v>0.25</v>
          </cell>
          <cell r="AI1357">
            <v>0.25</v>
          </cell>
          <cell r="AJ1357">
            <v>0.25</v>
          </cell>
          <cell r="AK1357">
            <v>0.25</v>
          </cell>
          <cell r="AL1357">
            <v>0.25</v>
          </cell>
          <cell r="AM1357">
            <v>0.25</v>
          </cell>
          <cell r="AN1357">
            <v>0.25</v>
          </cell>
          <cell r="AO1357">
            <v>0.25</v>
          </cell>
          <cell r="AP1357">
            <v>0.25</v>
          </cell>
          <cell r="AQ1357">
            <v>0.25</v>
          </cell>
          <cell r="AR1357">
            <v>0.25</v>
          </cell>
          <cell r="AS1357">
            <v>0.25</v>
          </cell>
          <cell r="AT1357">
            <v>-0.04</v>
          </cell>
          <cell r="AU1357">
            <v>0.92</v>
          </cell>
          <cell r="AV1357">
            <v>20</v>
          </cell>
          <cell r="AZ1357">
            <v>0.25</v>
          </cell>
          <cell r="BA1357">
            <v>0.25</v>
          </cell>
        </row>
        <row r="1358">
          <cell r="A1358" t="str">
            <v>INFISSI IN ALLUMINIO</v>
          </cell>
          <cell r="D1358" t="str">
            <v>VIA S. GIULIANO, 105 B</v>
          </cell>
          <cell r="E1358" t="str">
            <v>03039</v>
          </cell>
          <cell r="F1358" t="str">
            <v>SORA</v>
          </cell>
          <cell r="G1358" t="str">
            <v>FR</v>
          </cell>
          <cell r="H1358" t="str">
            <v>ITALIA</v>
          </cell>
          <cell r="M1358" t="str">
            <v>UFFICIO ACQUISTI</v>
          </cell>
          <cell r="N1358" t="str">
            <v>0776 890981</v>
          </cell>
          <cell r="O1358" t="str">
            <v>348 0417994</v>
          </cell>
          <cell r="P1358" t="str">
            <v>mauromammone@gmail.com</v>
          </cell>
          <cell r="R1358" t="str">
            <v>BONIFICO BANCARIO, ALLA DATA DELLA NOSTRA CONFERMA D'ORDINE</v>
          </cell>
          <cell r="X1358">
            <v>0.25</v>
          </cell>
          <cell r="Y1358">
            <v>-0.04</v>
          </cell>
          <cell r="AB1358">
            <v>0.25</v>
          </cell>
          <cell r="AC1358">
            <v>0.25</v>
          </cell>
          <cell r="AD1358">
            <v>0.25</v>
          </cell>
          <cell r="AE1358">
            <v>0.25</v>
          </cell>
          <cell r="AF1358">
            <v>0.25</v>
          </cell>
          <cell r="AG1358">
            <v>0.25</v>
          </cell>
          <cell r="AH1358">
            <v>0.25</v>
          </cell>
          <cell r="AI1358">
            <v>0.25</v>
          </cell>
          <cell r="AJ1358">
            <v>0.25</v>
          </cell>
          <cell r="AK1358">
            <v>0.25</v>
          </cell>
          <cell r="AL1358">
            <v>0.25</v>
          </cell>
          <cell r="AM1358">
            <v>0.25</v>
          </cell>
          <cell r="AN1358">
            <v>0.25</v>
          </cell>
          <cell r="AO1358">
            <v>0.25</v>
          </cell>
          <cell r="AP1358">
            <v>0.25</v>
          </cell>
          <cell r="AQ1358">
            <v>0.25</v>
          </cell>
          <cell r="AR1358">
            <v>0.25</v>
          </cell>
          <cell r="AS1358">
            <v>0.25</v>
          </cell>
          <cell r="AT1358">
            <v>-0.04</v>
          </cell>
          <cell r="AU1358">
            <v>0.92</v>
          </cell>
          <cell r="AV1358">
            <v>20</v>
          </cell>
          <cell r="AZ1358">
            <v>0.25</v>
          </cell>
          <cell r="BA1358">
            <v>0.25</v>
          </cell>
        </row>
        <row r="1359">
          <cell r="A1359" t="str">
            <v>INFISSI IN ALLUMINIO DI NESTOLA MARIO</v>
          </cell>
          <cell r="D1359" t="str">
            <v>VIA C. MARIANO, 257</v>
          </cell>
          <cell r="E1359">
            <v>73043</v>
          </cell>
          <cell r="F1359" t="str">
            <v>COPERTINO</v>
          </cell>
          <cell r="G1359" t="str">
            <v>LE</v>
          </cell>
          <cell r="H1359" t="str">
            <v>ITALIA</v>
          </cell>
          <cell r="J1359" t="str">
            <v>02171870757</v>
          </cell>
          <cell r="K1359" t="str">
            <v>M5UXCR1</v>
          </cell>
          <cell r="M1359" t="str">
            <v>UFFICIO ACQUISTI</v>
          </cell>
          <cell r="N1359" t="str">
            <v>0832 933262</v>
          </cell>
          <cell r="O1359" t="str">
            <v>334 3458985</v>
          </cell>
          <cell r="P1359" t="str">
            <v>marionestola@gmail.com</v>
          </cell>
          <cell r="R1359" t="str">
            <v>BONIFICO BANCARIO, ALLA DATA DELLA NOSTRA CONFERMA D'ORDINE</v>
          </cell>
          <cell r="X1359">
            <v>0.25</v>
          </cell>
          <cell r="Y1359">
            <v>-0.04</v>
          </cell>
          <cell r="AB1359">
            <v>0.25</v>
          </cell>
          <cell r="AC1359">
            <v>0.25</v>
          </cell>
          <cell r="AD1359">
            <v>0.25</v>
          </cell>
          <cell r="AE1359">
            <v>0.25</v>
          </cell>
          <cell r="AF1359">
            <v>0.25</v>
          </cell>
          <cell r="AG1359">
            <v>0.25</v>
          </cell>
          <cell r="AH1359">
            <v>0.25</v>
          </cell>
          <cell r="AI1359">
            <v>0.25</v>
          </cell>
          <cell r="AJ1359">
            <v>0.25</v>
          </cell>
          <cell r="AK1359">
            <v>0.25</v>
          </cell>
          <cell r="AL1359">
            <v>0.25</v>
          </cell>
          <cell r="AM1359">
            <v>0.25</v>
          </cell>
          <cell r="AN1359">
            <v>0.25</v>
          </cell>
          <cell r="AO1359">
            <v>0.25</v>
          </cell>
          <cell r="AP1359">
            <v>0.25</v>
          </cell>
          <cell r="AQ1359">
            <v>0.25</v>
          </cell>
          <cell r="AR1359">
            <v>0.25</v>
          </cell>
          <cell r="AS1359">
            <v>0.25</v>
          </cell>
          <cell r="AT1359">
            <v>-0.04</v>
          </cell>
          <cell r="AU1359">
            <v>0.92</v>
          </cell>
          <cell r="AV1359">
            <v>20</v>
          </cell>
          <cell r="AY1359" t="str">
            <v/>
          </cell>
          <cell r="AZ1359">
            <v>0.25</v>
          </cell>
          <cell r="BA1359">
            <v>0.25</v>
          </cell>
        </row>
        <row r="1360">
          <cell r="A1360" t="str">
            <v>INFISSI IN ALLUMINIO DI ROTELVA ANTONIO</v>
          </cell>
          <cell r="D1360" t="str">
            <v xml:space="preserve">VIA PRINCIPE, 9 </v>
          </cell>
          <cell r="E1360" t="str">
            <v>88040</v>
          </cell>
          <cell r="F1360" t="str">
            <v>SETTINGIANO</v>
          </cell>
          <cell r="G1360" t="str">
            <v>CZ</v>
          </cell>
          <cell r="H1360" t="str">
            <v>ITALIA</v>
          </cell>
          <cell r="I1360" t="str">
            <v>RTLNTN63S25C352F</v>
          </cell>
          <cell r="J1360" t="str">
            <v>01978180790</v>
          </cell>
          <cell r="M1360" t="str">
            <v>UFFICIO ACQUISTI</v>
          </cell>
          <cell r="R1360" t="str">
            <v>BONIFICO BANCARIO, ALLA DATA DELLA NOSTRA CONFERMA D'ORDINE</v>
          </cell>
          <cell r="X1360">
            <v>0.25</v>
          </cell>
          <cell r="Y1360">
            <v>-0.04</v>
          </cell>
          <cell r="AB1360">
            <v>0.25</v>
          </cell>
          <cell r="AC1360">
            <v>0.25</v>
          </cell>
          <cell r="AD1360">
            <v>0.25</v>
          </cell>
          <cell r="AE1360">
            <v>0.25</v>
          </cell>
          <cell r="AF1360">
            <v>0.25</v>
          </cell>
          <cell r="AG1360">
            <v>0.25</v>
          </cell>
          <cell r="AH1360">
            <v>0.25</v>
          </cell>
          <cell r="AI1360">
            <v>0.25</v>
          </cell>
          <cell r="AJ1360">
            <v>0.25</v>
          </cell>
          <cell r="AK1360">
            <v>0.25</v>
          </cell>
          <cell r="AL1360">
            <v>0.25</v>
          </cell>
          <cell r="AM1360">
            <v>0.25</v>
          </cell>
          <cell r="AN1360">
            <v>0.25</v>
          </cell>
          <cell r="AO1360">
            <v>0.25</v>
          </cell>
          <cell r="AP1360">
            <v>0.25</v>
          </cell>
          <cell r="AQ1360">
            <v>0.25</v>
          </cell>
          <cell r="AR1360">
            <v>0.25</v>
          </cell>
          <cell r="AS1360">
            <v>0.25</v>
          </cell>
          <cell r="AT1360">
            <v>-0.04</v>
          </cell>
          <cell r="AU1360">
            <v>0.92</v>
          </cell>
          <cell r="AV1360">
            <v>20</v>
          </cell>
          <cell r="AW1360" t="str">
            <v>PIETRO OLIVADOTI</v>
          </cell>
          <cell r="AX1360">
            <v>0.95</v>
          </cell>
          <cell r="AZ1360">
            <v>0.25</v>
          </cell>
          <cell r="BA1360">
            <v>0.25</v>
          </cell>
        </row>
        <row r="1361">
          <cell r="A1361" t="str">
            <v>INFISSI IN ALLUMINIO DI SALVATORE ANGHELEDDU</v>
          </cell>
          <cell r="D1361" t="str">
            <v>VIA BIASI, 24</v>
          </cell>
          <cell r="E1361" t="str">
            <v>08100</v>
          </cell>
          <cell r="F1361" t="str">
            <v>NUORO</v>
          </cell>
          <cell r="G1361" t="str">
            <v>NU</v>
          </cell>
          <cell r="H1361" t="str">
            <v>ITALIA</v>
          </cell>
          <cell r="J1361" t="str">
            <v>01057860916</v>
          </cell>
          <cell r="M1361" t="str">
            <v>UFFICIO ACQUISTI</v>
          </cell>
          <cell r="O1361" t="str">
            <v>347 3190021</v>
          </cell>
          <cell r="R1361" t="str">
            <v>BONIFICO BANCARIO, ALLA DATA DELLA NOSTRA CONFERMA D'ORDINE</v>
          </cell>
          <cell r="X1361">
            <v>0.2</v>
          </cell>
          <cell r="Y1361">
            <v>-0.04</v>
          </cell>
          <cell r="AB1361">
            <v>0.2</v>
          </cell>
          <cell r="AC1361">
            <v>0.2</v>
          </cell>
          <cell r="AD1361">
            <v>0.2</v>
          </cell>
          <cell r="AE1361">
            <v>0.2</v>
          </cell>
          <cell r="AF1361">
            <v>0.2</v>
          </cell>
          <cell r="AG1361">
            <v>0.2</v>
          </cell>
          <cell r="AH1361">
            <v>0.2</v>
          </cell>
          <cell r="AI1361">
            <v>0.2</v>
          </cell>
          <cell r="AJ1361">
            <v>0.2</v>
          </cell>
          <cell r="AK1361">
            <v>0.2</v>
          </cell>
          <cell r="AL1361">
            <v>0.2</v>
          </cell>
          <cell r="AM1361">
            <v>0.2</v>
          </cell>
          <cell r="AN1361">
            <v>0.2</v>
          </cell>
          <cell r="AO1361">
            <v>0.2</v>
          </cell>
          <cell r="AP1361">
            <v>0.2</v>
          </cell>
          <cell r="AQ1361">
            <v>0.2</v>
          </cell>
          <cell r="AR1361">
            <v>0.2</v>
          </cell>
          <cell r="AS1361">
            <v>0.2</v>
          </cell>
          <cell r="AT1361">
            <v>-0.04</v>
          </cell>
          <cell r="AU1361">
            <v>0.92</v>
          </cell>
          <cell r="AV1361">
            <v>20</v>
          </cell>
          <cell r="AZ1361">
            <v>0.2</v>
          </cell>
          <cell r="BA1361">
            <v>0.2</v>
          </cell>
        </row>
        <row r="1362">
          <cell r="A1362" t="str">
            <v>INFISSI ITALMABER SNC</v>
          </cell>
          <cell r="D1362" t="str">
            <v>VIA ROMA, 86</v>
          </cell>
          <cell r="E1362" t="str">
            <v>36030</v>
          </cell>
          <cell r="F1362" t="str">
            <v>VILLAVERNA</v>
          </cell>
          <cell r="G1362" t="str">
            <v>VI</v>
          </cell>
          <cell r="H1362" t="str">
            <v>ITALIA</v>
          </cell>
          <cell r="J1362" t="str">
            <v>03710000245</v>
          </cell>
          <cell r="M1362" t="str">
            <v>UFFICIO ACQUISTI</v>
          </cell>
          <cell r="N1362" t="str">
            <v>0445372223</v>
          </cell>
          <cell r="P1362" t="str">
            <v>info@italmaber.it</v>
          </cell>
          <cell r="R1362" t="str">
            <v>BONIFICO BANCARIO, ALLA DATA DELLA NOSTRA CONFERMA D'ORDINE</v>
          </cell>
          <cell r="X1362">
            <v>0.2</v>
          </cell>
          <cell r="Y1362">
            <v>-0.04</v>
          </cell>
          <cell r="AB1362">
            <v>0.2</v>
          </cell>
          <cell r="AC1362">
            <v>0.2</v>
          </cell>
          <cell r="AD1362">
            <v>0.2</v>
          </cell>
          <cell r="AE1362">
            <v>0.2</v>
          </cell>
          <cell r="AF1362">
            <v>0.2</v>
          </cell>
          <cell r="AG1362">
            <v>0.2</v>
          </cell>
          <cell r="AH1362">
            <v>0.2</v>
          </cell>
          <cell r="AI1362">
            <v>0.2</v>
          </cell>
          <cell r="AJ1362">
            <v>0.2</v>
          </cell>
          <cell r="AK1362">
            <v>0.2</v>
          </cell>
          <cell r="AL1362">
            <v>0.2</v>
          </cell>
          <cell r="AM1362">
            <v>0.2</v>
          </cell>
          <cell r="AN1362">
            <v>0.2</v>
          </cell>
          <cell r="AO1362">
            <v>0.2</v>
          </cell>
          <cell r="AP1362">
            <v>0.2</v>
          </cell>
          <cell r="AQ1362">
            <v>0.2</v>
          </cell>
          <cell r="AR1362">
            <v>0.2</v>
          </cell>
          <cell r="AS1362">
            <v>0.2</v>
          </cell>
          <cell r="AT1362">
            <v>-0.04</v>
          </cell>
          <cell r="AU1362">
            <v>0.9</v>
          </cell>
          <cell r="AV1362">
            <v>20</v>
          </cell>
          <cell r="AZ1362">
            <v>0.2</v>
          </cell>
          <cell r="BA1362">
            <v>0.2</v>
          </cell>
        </row>
        <row r="1363">
          <cell r="A1363" t="str">
            <v>INFISSI MARTINI</v>
          </cell>
          <cell r="D1363" t="str">
            <v>VIA TRIESTE, 48</v>
          </cell>
          <cell r="E1363">
            <v>36034</v>
          </cell>
          <cell r="F1363" t="str">
            <v>MALO</v>
          </cell>
          <cell r="G1363" t="str">
            <v>VI</v>
          </cell>
          <cell r="H1363" t="str">
            <v>ITALIA</v>
          </cell>
          <cell r="I1363" t="str">
            <v>MRTGLI92B67I531H</v>
          </cell>
          <cell r="J1363" t="str">
            <v>03995160243</v>
          </cell>
          <cell r="M1363" t="str">
            <v>UFFICIO ACQUISTI</v>
          </cell>
          <cell r="N1363" t="str">
            <v>0445 223688</v>
          </cell>
          <cell r="P1363" t="str">
            <v>info@infissi-martini.it</v>
          </cell>
          <cell r="R1363" t="str">
            <v>BONIFICO BANCARIO, ALLA DATA DELLA NOSTRA CONFERMA D'ORDINE</v>
          </cell>
          <cell r="X1363">
            <v>0.25</v>
          </cell>
          <cell r="Y1363">
            <v>-0.04</v>
          </cell>
          <cell r="AB1363">
            <v>0.25</v>
          </cell>
          <cell r="AC1363">
            <v>0.25</v>
          </cell>
          <cell r="AD1363">
            <v>0.25</v>
          </cell>
          <cell r="AE1363">
            <v>0.25</v>
          </cell>
          <cell r="AF1363">
            <v>0.25</v>
          </cell>
          <cell r="AG1363">
            <v>0.25</v>
          </cell>
          <cell r="AH1363">
            <v>0.25</v>
          </cell>
          <cell r="AI1363">
            <v>0.25</v>
          </cell>
          <cell r="AJ1363">
            <v>0.25</v>
          </cell>
          <cell r="AK1363">
            <v>0.25</v>
          </cell>
          <cell r="AL1363">
            <v>0.25</v>
          </cell>
          <cell r="AM1363">
            <v>0.25</v>
          </cell>
          <cell r="AN1363">
            <v>0.25</v>
          </cell>
          <cell r="AO1363">
            <v>0.25</v>
          </cell>
          <cell r="AP1363">
            <v>0.25</v>
          </cell>
          <cell r="AQ1363">
            <v>0.25</v>
          </cell>
          <cell r="AR1363">
            <v>0.25</v>
          </cell>
          <cell r="AS1363">
            <v>0.25</v>
          </cell>
          <cell r="AT1363">
            <v>-0.04</v>
          </cell>
          <cell r="AU1363">
            <v>0.92</v>
          </cell>
          <cell r="AV1363">
            <v>20</v>
          </cell>
          <cell r="AY1363" t="str">
            <v/>
          </cell>
          <cell r="AZ1363">
            <v>0.25</v>
          </cell>
          <cell r="BA1363">
            <v>0.25</v>
          </cell>
        </row>
        <row r="1364">
          <cell r="A1364" t="str">
            <v>INFISSI MASSARINI SRL</v>
          </cell>
          <cell r="D1364" t="str">
            <v>VIA DEL SERSIMONE, 31</v>
          </cell>
          <cell r="E1364" t="str">
            <v>05100</v>
          </cell>
          <cell r="F1364" t="str">
            <v>TERNI</v>
          </cell>
          <cell r="G1364" t="str">
            <v>TR</v>
          </cell>
          <cell r="H1364" t="str">
            <v>ITALIA</v>
          </cell>
          <cell r="J1364" t="str">
            <v>01606370557</v>
          </cell>
          <cell r="K1364" t="str">
            <v>M5UXCR1</v>
          </cell>
          <cell r="L1364" t="str">
            <v>VIA CURIO DENTATO, 62 - TERNI</v>
          </cell>
          <cell r="M1364" t="str">
            <v>UFFICIO ACQUISTI</v>
          </cell>
          <cell r="N1364" t="str">
            <v>0744 241262</v>
          </cell>
          <cell r="O1364" t="str">
            <v>391 3151572 MASSIMILIANO</v>
          </cell>
          <cell r="P1364" t="str">
            <v>infissimassarini@gmail.com</v>
          </cell>
          <cell r="R1364" t="str">
            <v>BONIFICO BANCARIO, ALLA DATA DELLA NOSTRA CONFERMA D'ORDINE</v>
          </cell>
          <cell r="Y1364">
            <v>-0.04</v>
          </cell>
          <cell r="AT1364">
            <v>-0.04</v>
          </cell>
          <cell r="AV1364">
            <v>20</v>
          </cell>
          <cell r="AZ1364">
            <v>0</v>
          </cell>
          <cell r="BA1364">
            <v>0</v>
          </cell>
        </row>
        <row r="1365">
          <cell r="A1365" t="str">
            <v>INFISSI MEROLLE</v>
          </cell>
          <cell r="D1365" t="str">
            <v>VIALE S.DOMENICO, 22 E</v>
          </cell>
          <cell r="E1365" t="str">
            <v>03039</v>
          </cell>
          <cell r="F1365" t="str">
            <v>SORA</v>
          </cell>
          <cell r="G1365" t="str">
            <v>FR</v>
          </cell>
          <cell r="H1365" t="str">
            <v>ITALIA</v>
          </cell>
          <cell r="M1365" t="str">
            <v>UFFICIO ACQUISTI</v>
          </cell>
          <cell r="N1365" t="str">
            <v>0776 813579</v>
          </cell>
          <cell r="O1365" t="str">
            <v>Vittorio Merolle  338 4841641</v>
          </cell>
          <cell r="P1365" t="str">
            <v>info@infissimerolle.it</v>
          </cell>
          <cell r="R1365" t="str">
            <v>BONIFICO BANCARIO, ALLA DATA DELLA NOSTRA CONFERMA D'ORDINE</v>
          </cell>
          <cell r="X1365">
            <v>0.25</v>
          </cell>
          <cell r="Y1365">
            <v>-0.04</v>
          </cell>
          <cell r="AB1365">
            <v>0.25</v>
          </cell>
          <cell r="AC1365">
            <v>0.25</v>
          </cell>
          <cell r="AD1365">
            <v>0.25</v>
          </cell>
          <cell r="AE1365">
            <v>0.25</v>
          </cell>
          <cell r="AF1365">
            <v>0.25</v>
          </cell>
          <cell r="AG1365">
            <v>0.25</v>
          </cell>
          <cell r="AH1365">
            <v>0.25</v>
          </cell>
          <cell r="AI1365">
            <v>0.25</v>
          </cell>
          <cell r="AJ1365">
            <v>0.25</v>
          </cell>
          <cell r="AK1365">
            <v>0.25</v>
          </cell>
          <cell r="AL1365">
            <v>0.25</v>
          </cell>
          <cell r="AM1365">
            <v>0.25</v>
          </cell>
          <cell r="AN1365">
            <v>0.25</v>
          </cell>
          <cell r="AO1365">
            <v>0.25</v>
          </cell>
          <cell r="AP1365">
            <v>0.25</v>
          </cell>
          <cell r="AQ1365">
            <v>0.25</v>
          </cell>
          <cell r="AR1365">
            <v>0.25</v>
          </cell>
          <cell r="AS1365">
            <v>0.25</v>
          </cell>
          <cell r="AT1365">
            <v>-0.04</v>
          </cell>
          <cell r="AU1365">
            <v>0.92</v>
          </cell>
          <cell r="AV1365">
            <v>20</v>
          </cell>
          <cell r="AZ1365">
            <v>0.25</v>
          </cell>
          <cell r="BA1365">
            <v>0.25</v>
          </cell>
        </row>
        <row r="1366">
          <cell r="A1366" t="str">
            <v>INFISSI MODERNI</v>
          </cell>
          <cell r="D1366" t="str">
            <v>VIA ROMITA 20</v>
          </cell>
          <cell r="E1366" t="str">
            <v>80018</v>
          </cell>
          <cell r="F1366" t="str">
            <v>NAPOLI</v>
          </cell>
          <cell r="G1366" t="str">
            <v>NA</v>
          </cell>
          <cell r="H1366" t="str">
            <v>ITALIA</v>
          </cell>
          <cell r="M1366" t="str">
            <v>UFFICIO ACQUISTI</v>
          </cell>
          <cell r="N1366" t="str">
            <v>081 0831469</v>
          </cell>
          <cell r="O1366" t="str">
            <v>335 5619429</v>
          </cell>
          <cell r="P1366" t="str">
            <v>info@infissimoderni.it</v>
          </cell>
          <cell r="R1366" t="str">
            <v>BONIFICO BANCARIO, ALLA DATA DELLA NOSTRA CONFERMA D'ORDINE</v>
          </cell>
          <cell r="X1366">
            <v>0.25</v>
          </cell>
          <cell r="Y1366">
            <v>-0.04</v>
          </cell>
          <cell r="AB1366">
            <v>0.25</v>
          </cell>
          <cell r="AC1366">
            <v>0.25</v>
          </cell>
          <cell r="AD1366">
            <v>0.25</v>
          </cell>
          <cell r="AE1366">
            <v>0.25</v>
          </cell>
          <cell r="AF1366">
            <v>0.25</v>
          </cell>
          <cell r="AG1366">
            <v>0.25</v>
          </cell>
          <cell r="AH1366">
            <v>0.25</v>
          </cell>
          <cell r="AI1366">
            <v>0.25</v>
          </cell>
          <cell r="AJ1366">
            <v>0.25</v>
          </cell>
          <cell r="AK1366">
            <v>0.25</v>
          </cell>
          <cell r="AL1366">
            <v>0.25</v>
          </cell>
          <cell r="AM1366">
            <v>0.25</v>
          </cell>
          <cell r="AN1366">
            <v>0.25</v>
          </cell>
          <cell r="AO1366">
            <v>0.25</v>
          </cell>
          <cell r="AP1366">
            <v>0.25</v>
          </cell>
          <cell r="AQ1366">
            <v>0.25</v>
          </cell>
          <cell r="AR1366">
            <v>0.25</v>
          </cell>
          <cell r="AS1366">
            <v>0.25</v>
          </cell>
          <cell r="AT1366">
            <v>-0.04</v>
          </cell>
          <cell r="AU1366">
            <v>0.92</v>
          </cell>
          <cell r="AV1366">
            <v>20</v>
          </cell>
          <cell r="AY1366" t="str">
            <v/>
          </cell>
          <cell r="AZ1366">
            <v>0.25</v>
          </cell>
          <cell r="BA1366">
            <v>0.25</v>
          </cell>
        </row>
        <row r="1367">
          <cell r="A1367" t="str">
            <v>INFISSI MONNI ANTONELLO</v>
          </cell>
          <cell r="D1367" t="str">
            <v>ZONA P.I.P LOTTO 21</v>
          </cell>
          <cell r="E1367" t="str">
            <v>08048</v>
          </cell>
          <cell r="F1367" t="str">
            <v>TORTOLI'</v>
          </cell>
          <cell r="G1367" t="str">
            <v>NU</v>
          </cell>
          <cell r="H1367" t="str">
            <v>ITALIA</v>
          </cell>
          <cell r="I1367" t="str">
            <v>MNNNNNL64R23E283Z</v>
          </cell>
          <cell r="J1367" t="str">
            <v>00780190914</v>
          </cell>
          <cell r="M1367" t="str">
            <v>UFFICIO ACQUISTI</v>
          </cell>
          <cell r="N1367" t="str">
            <v>0782 623202</v>
          </cell>
          <cell r="P1367" t="str">
            <v>monnia@tiscali.it</v>
          </cell>
          <cell r="R1367" t="str">
            <v>BONIFICO BANCARIO, ALLA DATA DELLA NOSTRA CONFERMA D'ORDINE</v>
          </cell>
          <cell r="X1367">
            <v>0.2</v>
          </cell>
          <cell r="Y1367">
            <v>-0.04</v>
          </cell>
          <cell r="AB1367">
            <v>0.2</v>
          </cell>
          <cell r="AC1367">
            <v>0.2</v>
          </cell>
          <cell r="AD1367">
            <v>0.2</v>
          </cell>
          <cell r="AE1367">
            <v>0.2</v>
          </cell>
          <cell r="AF1367">
            <v>0.2</v>
          </cell>
          <cell r="AG1367">
            <v>0.2</v>
          </cell>
          <cell r="AH1367">
            <v>0.2</v>
          </cell>
          <cell r="AI1367">
            <v>0.2</v>
          </cell>
          <cell r="AJ1367">
            <v>0.2</v>
          </cell>
          <cell r="AK1367">
            <v>0.2</v>
          </cell>
          <cell r="AL1367">
            <v>0.2</v>
          </cell>
          <cell r="AM1367">
            <v>0.2</v>
          </cell>
          <cell r="AN1367">
            <v>0.2</v>
          </cell>
          <cell r="AO1367">
            <v>0.2</v>
          </cell>
          <cell r="AP1367">
            <v>0.2</v>
          </cell>
          <cell r="AQ1367">
            <v>0.2</v>
          </cell>
          <cell r="AR1367">
            <v>0.2</v>
          </cell>
          <cell r="AS1367">
            <v>0.2</v>
          </cell>
          <cell r="AT1367">
            <v>-0.04</v>
          </cell>
          <cell r="AU1367">
            <v>0.92</v>
          </cell>
          <cell r="AV1367">
            <v>20</v>
          </cell>
          <cell r="AZ1367">
            <v>0.2</v>
          </cell>
          <cell r="BA1367">
            <v>0.2</v>
          </cell>
        </row>
        <row r="1368">
          <cell r="A1368" t="str">
            <v>INFISSI MORO NICOLA</v>
          </cell>
          <cell r="B1368" t="str">
            <v>SOLO BIGLIETTO DA VISITA</v>
          </cell>
          <cell r="D1368" t="str">
            <v xml:space="preserve">PROL.VIALE SARDEGNA, 40 </v>
          </cell>
          <cell r="E1368" t="str">
            <v>08100</v>
          </cell>
          <cell r="F1368" t="str">
            <v>NUORO</v>
          </cell>
          <cell r="G1368" t="str">
            <v>NU</v>
          </cell>
          <cell r="H1368" t="str">
            <v>ITALIA</v>
          </cell>
          <cell r="M1368" t="str">
            <v>UFFICIO ACQUISTI</v>
          </cell>
          <cell r="N1368" t="str">
            <v>0784 203420</v>
          </cell>
          <cell r="O1368" t="str">
            <v>347 7538647</v>
          </cell>
          <cell r="R1368" t="str">
            <v>BONIFICO BANCARIO, ALLA DATA DELLA NOSTRA CONFERMA D'ORDINE</v>
          </cell>
          <cell r="X1368">
            <v>0.25</v>
          </cell>
          <cell r="Y1368">
            <v>-0.04</v>
          </cell>
          <cell r="AB1368">
            <v>0.25</v>
          </cell>
          <cell r="AC1368">
            <v>0.25</v>
          </cell>
          <cell r="AD1368">
            <v>0.25</v>
          </cell>
          <cell r="AE1368">
            <v>0.25</v>
          </cell>
          <cell r="AF1368">
            <v>0.25</v>
          </cell>
          <cell r="AG1368">
            <v>0.25</v>
          </cell>
          <cell r="AH1368">
            <v>0.25</v>
          </cell>
          <cell r="AI1368">
            <v>0.25</v>
          </cell>
          <cell r="AJ1368">
            <v>0.25</v>
          </cell>
          <cell r="AK1368">
            <v>0.25</v>
          </cell>
          <cell r="AL1368">
            <v>0.25</v>
          </cell>
          <cell r="AM1368">
            <v>0.25</v>
          </cell>
          <cell r="AN1368">
            <v>0.25</v>
          </cell>
          <cell r="AO1368">
            <v>0.25</v>
          </cell>
          <cell r="AP1368">
            <v>0.25</v>
          </cell>
          <cell r="AQ1368">
            <v>0.25</v>
          </cell>
          <cell r="AR1368">
            <v>0.25</v>
          </cell>
          <cell r="AS1368">
            <v>0.25</v>
          </cell>
          <cell r="AT1368">
            <v>-0.04</v>
          </cell>
          <cell r="AU1368">
            <v>0.92</v>
          </cell>
          <cell r="AV1368">
            <v>20</v>
          </cell>
          <cell r="AZ1368">
            <v>0.25</v>
          </cell>
          <cell r="BA1368">
            <v>0.25</v>
          </cell>
        </row>
        <row r="1369">
          <cell r="A1369" t="str">
            <v>INFISSI MPM</v>
          </cell>
          <cell r="B1369" t="str">
            <v>SHOW R. VIA APPIA NUOVA, 669/A 00179 ROMA</v>
          </cell>
          <cell r="D1369" t="str">
            <v>VIA RAGUSA, 6</v>
          </cell>
          <cell r="E1369" t="str">
            <v>00041</v>
          </cell>
          <cell r="F1369" t="str">
            <v>ALBANO LAZIALE</v>
          </cell>
          <cell r="G1369" t="str">
            <v>RM</v>
          </cell>
          <cell r="H1369" t="str">
            <v>ITALIA</v>
          </cell>
          <cell r="M1369" t="str">
            <v>UFFICIO ACQUISTI</v>
          </cell>
          <cell r="N1369" t="str">
            <v>06 7800071</v>
          </cell>
          <cell r="P1369" t="str">
            <v>mpmroma@infissicertificati.com</v>
          </cell>
          <cell r="R1369" t="str">
            <v>BONIFICO BANCARIO, ALLA DATA DELLA NOSTRA CONFERMA D'ORDINE</v>
          </cell>
          <cell r="X1369">
            <v>0.2</v>
          </cell>
          <cell r="Y1369">
            <v>-0.04</v>
          </cell>
          <cell r="AB1369">
            <v>0.2</v>
          </cell>
          <cell r="AC1369">
            <v>0.2</v>
          </cell>
          <cell r="AD1369">
            <v>0.2</v>
          </cell>
          <cell r="AE1369">
            <v>0.2</v>
          </cell>
          <cell r="AF1369">
            <v>0.2</v>
          </cell>
          <cell r="AG1369">
            <v>0.2</v>
          </cell>
          <cell r="AH1369">
            <v>0.2</v>
          </cell>
          <cell r="AI1369">
            <v>0.2</v>
          </cell>
          <cell r="AJ1369">
            <v>0.2</v>
          </cell>
          <cell r="AK1369">
            <v>0.2</v>
          </cell>
          <cell r="AL1369">
            <v>0.2</v>
          </cell>
          <cell r="AM1369">
            <v>0.2</v>
          </cell>
          <cell r="AN1369">
            <v>0.2</v>
          </cell>
          <cell r="AO1369">
            <v>0.2</v>
          </cell>
          <cell r="AP1369">
            <v>0.2</v>
          </cell>
          <cell r="AQ1369">
            <v>0.2</v>
          </cell>
          <cell r="AR1369">
            <v>0.2</v>
          </cell>
          <cell r="AS1369">
            <v>0.2</v>
          </cell>
          <cell r="AT1369">
            <v>-0.04</v>
          </cell>
          <cell r="AU1369">
            <v>0.92</v>
          </cell>
          <cell r="AV1369">
            <v>20</v>
          </cell>
          <cell r="AZ1369">
            <v>0.2</v>
          </cell>
          <cell r="BA1369">
            <v>0.2</v>
          </cell>
        </row>
        <row r="1370">
          <cell r="A1370" t="str">
            <v>INFISSI PACIFICI</v>
          </cell>
          <cell r="D1370" t="str">
            <v>VIA EMPOLITANA, 96</v>
          </cell>
          <cell r="E1370" t="str">
            <v>00019</v>
          </cell>
          <cell r="F1370" t="str">
            <v>TIVOLI</v>
          </cell>
          <cell r="G1370" t="str">
            <v>RM</v>
          </cell>
          <cell r="H1370" t="str">
            <v>ITALIA</v>
          </cell>
          <cell r="M1370" t="str">
            <v>UFFICIO ACQUISTI</v>
          </cell>
          <cell r="N1370" t="str">
            <v>0774 403616</v>
          </cell>
          <cell r="P1370" t="str">
            <v>info@infissipacifici.it</v>
          </cell>
          <cell r="R1370" t="str">
            <v>BONIFICO BANCARIO, ALLA DATA DELLA NOSTRA CONFERMA D'ORDINE</v>
          </cell>
          <cell r="X1370">
            <v>0.2</v>
          </cell>
          <cell r="Y1370">
            <v>-0.04</v>
          </cell>
          <cell r="AB1370">
            <v>0.2</v>
          </cell>
          <cell r="AC1370">
            <v>0.2</v>
          </cell>
          <cell r="AD1370">
            <v>0.2</v>
          </cell>
          <cell r="AE1370">
            <v>0.2</v>
          </cell>
          <cell r="AF1370">
            <v>0.2</v>
          </cell>
          <cell r="AG1370">
            <v>0.2</v>
          </cell>
          <cell r="AH1370">
            <v>0.2</v>
          </cell>
          <cell r="AI1370">
            <v>0.2</v>
          </cell>
          <cell r="AJ1370">
            <v>0.2</v>
          </cell>
          <cell r="AK1370">
            <v>0.2</v>
          </cell>
          <cell r="AL1370">
            <v>0.2</v>
          </cell>
          <cell r="AM1370">
            <v>0.2</v>
          </cell>
          <cell r="AN1370">
            <v>0.2</v>
          </cell>
          <cell r="AO1370">
            <v>0.2</v>
          </cell>
          <cell r="AP1370">
            <v>0.2</v>
          </cell>
          <cell r="AQ1370">
            <v>0.2</v>
          </cell>
          <cell r="AR1370">
            <v>0.2</v>
          </cell>
          <cell r="AS1370">
            <v>0.2</v>
          </cell>
          <cell r="AT1370">
            <v>-0.04</v>
          </cell>
          <cell r="AU1370">
            <v>0.92</v>
          </cell>
          <cell r="AV1370">
            <v>20</v>
          </cell>
          <cell r="AZ1370">
            <v>0.2</v>
          </cell>
          <cell r="BA1370">
            <v>0.2</v>
          </cell>
        </row>
        <row r="1371">
          <cell r="A1371" t="str">
            <v>INFISSI PACIFICI SRL</v>
          </cell>
          <cell r="D1371" t="str">
            <v>VIA EMPOLITANA 96-98</v>
          </cell>
          <cell r="E1371" t="str">
            <v>00019</v>
          </cell>
          <cell r="F1371" t="str">
            <v>TIVOLI</v>
          </cell>
          <cell r="G1371" t="str">
            <v>RM</v>
          </cell>
          <cell r="H1371" t="str">
            <v>ITALIA</v>
          </cell>
          <cell r="M1371" t="str">
            <v>UFFICIO ACQUISTI</v>
          </cell>
          <cell r="N1371" t="str">
            <v>0774 281033</v>
          </cell>
          <cell r="P1371" t="str">
            <v>info@infissipacifici.it</v>
          </cell>
          <cell r="R1371" t="str">
            <v>BONIFICO BANCARIO, ALLA DATA DELLA NOSTRA CONFERMA D'ORDINE</v>
          </cell>
          <cell r="X1371">
            <v>0.25</v>
          </cell>
          <cell r="Y1371">
            <v>-0.04</v>
          </cell>
          <cell r="AB1371">
            <v>0.25</v>
          </cell>
          <cell r="AC1371">
            <v>0.25</v>
          </cell>
          <cell r="AD1371">
            <v>0.25</v>
          </cell>
          <cell r="AE1371">
            <v>0.25</v>
          </cell>
          <cell r="AF1371">
            <v>0.25</v>
          </cell>
          <cell r="AG1371">
            <v>0.25</v>
          </cell>
          <cell r="AH1371">
            <v>0.25</v>
          </cell>
          <cell r="AI1371">
            <v>0.25</v>
          </cell>
          <cell r="AJ1371">
            <v>0.25</v>
          </cell>
          <cell r="AK1371">
            <v>0.25</v>
          </cell>
          <cell r="AL1371">
            <v>0.25</v>
          </cell>
          <cell r="AM1371">
            <v>0.25</v>
          </cell>
          <cell r="AN1371">
            <v>0.25</v>
          </cell>
          <cell r="AO1371">
            <v>0.25</v>
          </cell>
          <cell r="AP1371">
            <v>0.25</v>
          </cell>
          <cell r="AQ1371">
            <v>0.25</v>
          </cell>
          <cell r="AR1371">
            <v>0.25</v>
          </cell>
          <cell r="AS1371">
            <v>0.25</v>
          </cell>
          <cell r="AT1371">
            <v>-0.04</v>
          </cell>
          <cell r="AU1371">
            <v>0.92</v>
          </cell>
          <cell r="AV1371">
            <v>20</v>
          </cell>
          <cell r="AY1371" t="str">
            <v/>
          </cell>
          <cell r="AZ1371">
            <v>0.25</v>
          </cell>
          <cell r="BA1371">
            <v>0.25</v>
          </cell>
        </row>
        <row r="1372">
          <cell r="A1372" t="str">
            <v>INFISSI PIANO S.R.L.S.</v>
          </cell>
          <cell r="D1372" t="str">
            <v>LOC. MITZA CARIA SNC</v>
          </cell>
          <cell r="E1372" t="str">
            <v>09012</v>
          </cell>
          <cell r="F1372" t="str">
            <v xml:space="preserve">CAPOTERRA </v>
          </cell>
          <cell r="G1372" t="str">
            <v>ca</v>
          </cell>
          <cell r="H1372" t="str">
            <v>ITALIA</v>
          </cell>
          <cell r="M1372" t="str">
            <v>UFFICIO ACQUISTI</v>
          </cell>
          <cell r="O1372" t="str">
            <v>339 8205593</v>
          </cell>
          <cell r="P1372" t="str">
            <v>piano.marco15@tiscali.it</v>
          </cell>
          <cell r="R1372" t="str">
            <v>BONIFICO BANCARIO, ALLA DATA DELLA NOSTRA CONFERMA D'ORDINE</v>
          </cell>
          <cell r="X1372">
            <v>0.25</v>
          </cell>
          <cell r="Y1372">
            <v>-0.04</v>
          </cell>
          <cell r="AB1372">
            <v>0.25</v>
          </cell>
          <cell r="AC1372">
            <v>0.25</v>
          </cell>
          <cell r="AD1372">
            <v>0.25</v>
          </cell>
          <cell r="AE1372">
            <v>0.25</v>
          </cell>
          <cell r="AF1372">
            <v>0.25</v>
          </cell>
          <cell r="AG1372">
            <v>0.25</v>
          </cell>
          <cell r="AH1372">
            <v>0.25</v>
          </cell>
          <cell r="AI1372">
            <v>0.25</v>
          </cell>
          <cell r="AJ1372">
            <v>0.25</v>
          </cell>
          <cell r="AK1372">
            <v>0.25</v>
          </cell>
          <cell r="AL1372">
            <v>0.25</v>
          </cell>
          <cell r="AM1372">
            <v>0.25</v>
          </cell>
          <cell r="AN1372">
            <v>0.25</v>
          </cell>
          <cell r="AO1372">
            <v>0.25</v>
          </cell>
          <cell r="AP1372">
            <v>0.25</v>
          </cell>
          <cell r="AQ1372">
            <v>0.25</v>
          </cell>
          <cell r="AR1372">
            <v>0.25</v>
          </cell>
          <cell r="AS1372">
            <v>0.25</v>
          </cell>
          <cell r="AT1372">
            <v>-0.04</v>
          </cell>
          <cell r="AU1372">
            <v>0.92</v>
          </cell>
          <cell r="AV1372">
            <v>20</v>
          </cell>
          <cell r="AY1372" t="str">
            <v/>
          </cell>
          <cell r="AZ1372">
            <v>0.25</v>
          </cell>
          <cell r="BA1372">
            <v>0.25</v>
          </cell>
        </row>
        <row r="1373">
          <cell r="A1373" t="str">
            <v>INFISSI PIGNOTTI</v>
          </cell>
          <cell r="D1373" t="str">
            <v>VIA PIGNOTTI, 3</v>
          </cell>
          <cell r="E1373" t="str">
            <v>50063</v>
          </cell>
          <cell r="F1373" t="str">
            <v>FIGLINE E INCISA</v>
          </cell>
          <cell r="G1373" t="str">
            <v>FI</v>
          </cell>
          <cell r="H1373" t="str">
            <v>ITALIA</v>
          </cell>
          <cell r="M1373" t="str">
            <v>UFFICIO ACQUISTI</v>
          </cell>
          <cell r="N1373" t="str">
            <v>0735 90560</v>
          </cell>
          <cell r="R1373" t="str">
            <v>BONIFICO BANCARIO, ALLA DATA DELLA NOSTRA CONFERMA D'ORDINE</v>
          </cell>
          <cell r="X1373">
            <v>0.25</v>
          </cell>
          <cell r="Y1373">
            <v>-0.04</v>
          </cell>
          <cell r="AB1373">
            <v>0.25</v>
          </cell>
          <cell r="AC1373">
            <v>0.25</v>
          </cell>
          <cell r="AD1373">
            <v>0.25</v>
          </cell>
          <cell r="AE1373">
            <v>0.25</v>
          </cell>
          <cell r="AF1373">
            <v>0.25</v>
          </cell>
          <cell r="AG1373">
            <v>0.25</v>
          </cell>
          <cell r="AH1373">
            <v>0.25</v>
          </cell>
          <cell r="AI1373">
            <v>0.25</v>
          </cell>
          <cell r="AJ1373">
            <v>0.25</v>
          </cell>
          <cell r="AK1373">
            <v>0.25</v>
          </cell>
          <cell r="AL1373">
            <v>0.25</v>
          </cell>
          <cell r="AM1373">
            <v>0.25</v>
          </cell>
          <cell r="AN1373">
            <v>0.25</v>
          </cell>
          <cell r="AO1373">
            <v>0.25</v>
          </cell>
          <cell r="AP1373">
            <v>0.25</v>
          </cell>
          <cell r="AQ1373">
            <v>0.25</v>
          </cell>
          <cell r="AR1373">
            <v>0.25</v>
          </cell>
          <cell r="AS1373">
            <v>0.25</v>
          </cell>
          <cell r="AT1373">
            <v>-0.04</v>
          </cell>
          <cell r="AU1373">
            <v>0.92</v>
          </cell>
          <cell r="AV1373">
            <v>20</v>
          </cell>
          <cell r="AZ1373">
            <v>0.25</v>
          </cell>
          <cell r="BA1373">
            <v>0.25</v>
          </cell>
        </row>
        <row r="1374">
          <cell r="A1374" t="str">
            <v>INFISSI PIGNOTTI SRL</v>
          </cell>
          <cell r="B1374" t="str">
            <v>CAMPIONE 30%. GIANFRANCO PIGNOTTI 30/03/23 NON HANNO TEMPO. MANDATA COMUNQUE MAIL</v>
          </cell>
          <cell r="F1374" t="str">
            <v>VALTESINO DI RIPATRANSONE</v>
          </cell>
          <cell r="G1374" t="str">
            <v>AP</v>
          </cell>
          <cell r="H1374" t="str">
            <v>ITALIA</v>
          </cell>
          <cell r="J1374" t="str">
            <v>02233610449</v>
          </cell>
          <cell r="M1374" t="str">
            <v>UFFICIO ACQUISTI</v>
          </cell>
          <cell r="N1374" t="str">
            <v>328 9852289</v>
          </cell>
          <cell r="O1374" t="str">
            <v>328 9852288 CATIA</v>
          </cell>
          <cell r="P1374" t="str">
            <v>info@infissipignotti.com</v>
          </cell>
          <cell r="R1374" t="str">
            <v>BONIFICO BANCARIO, ALLA DATA DELLA NOSTRA CONFERMA D'ORDINE</v>
          </cell>
          <cell r="X1374">
            <v>0.25</v>
          </cell>
          <cell r="Y1374">
            <v>-0.04</v>
          </cell>
          <cell r="AB1374">
            <v>0.25</v>
          </cell>
          <cell r="AC1374">
            <v>0.25</v>
          </cell>
          <cell r="AD1374">
            <v>0.25</v>
          </cell>
          <cell r="AE1374">
            <v>0.25</v>
          </cell>
          <cell r="AF1374">
            <v>0.25</v>
          </cell>
          <cell r="AG1374">
            <v>0.25</v>
          </cell>
          <cell r="AH1374">
            <v>0.25</v>
          </cell>
          <cell r="AI1374">
            <v>0.25</v>
          </cell>
          <cell r="AJ1374">
            <v>0.25</v>
          </cell>
          <cell r="AK1374">
            <v>0.25</v>
          </cell>
          <cell r="AL1374">
            <v>0.25</v>
          </cell>
          <cell r="AM1374">
            <v>0.25</v>
          </cell>
          <cell r="AN1374">
            <v>0.25</v>
          </cell>
          <cell r="AO1374">
            <v>0.25</v>
          </cell>
          <cell r="AP1374">
            <v>0.25</v>
          </cell>
          <cell r="AQ1374">
            <v>0.25</v>
          </cell>
          <cell r="AR1374">
            <v>0.25</v>
          </cell>
          <cell r="AS1374">
            <v>0.25</v>
          </cell>
          <cell r="AT1374">
            <v>-0.04</v>
          </cell>
          <cell r="AU1374">
            <v>0.92</v>
          </cell>
          <cell r="AV1374">
            <v>20</v>
          </cell>
          <cell r="AY1374" t="str">
            <v/>
          </cell>
          <cell r="AZ1374">
            <v>0.25</v>
          </cell>
          <cell r="BA1374">
            <v>0.25</v>
          </cell>
        </row>
        <row r="1375">
          <cell r="A1375" t="str">
            <v>INFISSI POINT</v>
          </cell>
          <cell r="B1375" t="str">
            <v>FERNANDO SOLINAS RESP.VENDITE</v>
          </cell>
          <cell r="D1375" t="str">
            <v>VIA SEBASTIANO SATTA, 3</v>
          </cell>
          <cell r="E1375" t="str">
            <v>07041</v>
          </cell>
          <cell r="F1375" t="str">
            <v>ALGHERO</v>
          </cell>
          <cell r="G1375" t="str">
            <v>SS</v>
          </cell>
          <cell r="H1375" t="str">
            <v>ITALIA</v>
          </cell>
          <cell r="M1375" t="str">
            <v>UFFICIO ACQUISTI</v>
          </cell>
          <cell r="N1375" t="str">
            <v>079 5626938</v>
          </cell>
          <cell r="O1375" t="str">
            <v>328 9425624</v>
          </cell>
          <cell r="P1375" t="str">
            <v>info@infissicasa.com</v>
          </cell>
          <cell r="R1375" t="str">
            <v>BONIFICO BANCARIO, ALLA DATA DELLA NOSTRA CONFERMA D'ORDINE</v>
          </cell>
          <cell r="X1375">
            <v>0.2</v>
          </cell>
          <cell r="Y1375">
            <v>-0.04</v>
          </cell>
          <cell r="AB1375">
            <v>0.2</v>
          </cell>
          <cell r="AC1375">
            <v>0.2</v>
          </cell>
          <cell r="AD1375">
            <v>0.2</v>
          </cell>
          <cell r="AE1375">
            <v>0.2</v>
          </cell>
          <cell r="AF1375">
            <v>0.2</v>
          </cell>
          <cell r="AG1375">
            <v>0.2</v>
          </cell>
          <cell r="AH1375">
            <v>0.2</v>
          </cell>
          <cell r="AI1375">
            <v>0.2</v>
          </cell>
          <cell r="AJ1375">
            <v>0.2</v>
          </cell>
          <cell r="AK1375">
            <v>0.2</v>
          </cell>
          <cell r="AL1375">
            <v>0.2</v>
          </cell>
          <cell r="AM1375">
            <v>0.2</v>
          </cell>
          <cell r="AN1375">
            <v>0.2</v>
          </cell>
          <cell r="AO1375">
            <v>0.2</v>
          </cell>
          <cell r="AP1375">
            <v>0.2</v>
          </cell>
          <cell r="AQ1375">
            <v>0.2</v>
          </cell>
          <cell r="AR1375">
            <v>0.2</v>
          </cell>
          <cell r="AS1375">
            <v>0.2</v>
          </cell>
          <cell r="AT1375">
            <v>-0.04</v>
          </cell>
          <cell r="AU1375">
            <v>0.92</v>
          </cell>
          <cell r="AV1375">
            <v>20</v>
          </cell>
          <cell r="AZ1375">
            <v>0.2</v>
          </cell>
          <cell r="BA1375">
            <v>0.2</v>
          </cell>
        </row>
        <row r="1376">
          <cell r="A1376" t="str">
            <v>INFISSI PVC LA QUALITA' DEL SERRAMENTO</v>
          </cell>
          <cell r="D1376" t="str">
            <v>VIA CASE SALLUSTRI</v>
          </cell>
          <cell r="E1376">
            <v>58031</v>
          </cell>
          <cell r="F1376" t="str">
            <v xml:space="preserve"> ARCIDOSSO</v>
          </cell>
          <cell r="G1376" t="str">
            <v>GR</v>
          </cell>
          <cell r="H1376" t="str">
            <v>ITALIA</v>
          </cell>
          <cell r="J1376" t="str">
            <v>01424470530</v>
          </cell>
          <cell r="M1376" t="str">
            <v>UFFICIO ACQUISTI</v>
          </cell>
          <cell r="N1376" t="str">
            <v>0564 967285</v>
          </cell>
          <cell r="P1376" t="str">
            <v>info@infissipvc.org</v>
          </cell>
          <cell r="R1376" t="str">
            <v>BONIFICO BANCARIO, ALLA DATA DELLA NOSTRA CONFERMA D'ORDINE</v>
          </cell>
          <cell r="X1376">
            <v>0.25</v>
          </cell>
          <cell r="Y1376">
            <v>-0.04</v>
          </cell>
          <cell r="AB1376">
            <v>0.25</v>
          </cell>
          <cell r="AC1376">
            <v>0.25</v>
          </cell>
          <cell r="AD1376">
            <v>0.25</v>
          </cell>
          <cell r="AE1376">
            <v>0.25</v>
          </cell>
          <cell r="AF1376">
            <v>0.25</v>
          </cell>
          <cell r="AG1376">
            <v>0.25</v>
          </cell>
          <cell r="AH1376">
            <v>0.25</v>
          </cell>
          <cell r="AI1376">
            <v>0.25</v>
          </cell>
          <cell r="AJ1376">
            <v>0.25</v>
          </cell>
          <cell r="AK1376">
            <v>0.25</v>
          </cell>
          <cell r="AL1376">
            <v>0.25</v>
          </cell>
          <cell r="AM1376">
            <v>0.25</v>
          </cell>
          <cell r="AN1376">
            <v>0.25</v>
          </cell>
          <cell r="AO1376">
            <v>0.25</v>
          </cell>
          <cell r="AP1376">
            <v>0.25</v>
          </cell>
          <cell r="AQ1376">
            <v>0.25</v>
          </cell>
          <cell r="AR1376">
            <v>0.25</v>
          </cell>
          <cell r="AS1376">
            <v>0.25</v>
          </cell>
          <cell r="AT1376">
            <v>-0.04</v>
          </cell>
          <cell r="AU1376">
            <v>0.92</v>
          </cell>
          <cell r="AV1376">
            <v>20</v>
          </cell>
          <cell r="AY1376" t="str">
            <v/>
          </cell>
          <cell r="AZ1376">
            <v>0.25</v>
          </cell>
          <cell r="BA1376">
            <v>0.25</v>
          </cell>
        </row>
        <row r="1377">
          <cell r="A1377" t="str">
            <v>INFISSI SPADOLA</v>
          </cell>
          <cell r="D1377" t="str">
            <v>VIA BASENTO ZONA PIP</v>
          </cell>
          <cell r="E1377" t="str">
            <v>85028</v>
          </cell>
          <cell r="F1377" t="str">
            <v>RIONERO IN VULTURE</v>
          </cell>
          <cell r="G1377" t="str">
            <v>PZ</v>
          </cell>
          <cell r="H1377" t="str">
            <v>ITALIA</v>
          </cell>
          <cell r="J1377" t="str">
            <v>00796820769</v>
          </cell>
          <cell r="M1377" t="str">
            <v>UFFICIO ACQUISTI</v>
          </cell>
          <cell r="N1377" t="str">
            <v>0972 722146</v>
          </cell>
          <cell r="O1377" t="str">
            <v>349 0690479-345 8225306</v>
          </cell>
          <cell r="P1377" t="str">
            <v>info@infissispadola.it</v>
          </cell>
          <cell r="R1377" t="str">
            <v>BONIFICO BANCARIO, ALLA DATA DELLA NOSTRA CONFERMA D'ORDINE</v>
          </cell>
          <cell r="X1377">
            <v>0.25</v>
          </cell>
          <cell r="Y1377">
            <v>-0.04</v>
          </cell>
          <cell r="AB1377">
            <v>0.25</v>
          </cell>
          <cell r="AC1377">
            <v>0.25</v>
          </cell>
          <cell r="AD1377">
            <v>0.25</v>
          </cell>
          <cell r="AE1377">
            <v>0.25</v>
          </cell>
          <cell r="AF1377">
            <v>0.25</v>
          </cell>
          <cell r="AG1377">
            <v>0.25</v>
          </cell>
          <cell r="AH1377">
            <v>0.25</v>
          </cell>
          <cell r="AI1377">
            <v>0.25</v>
          </cell>
          <cell r="AJ1377">
            <v>0.25</v>
          </cell>
          <cell r="AK1377">
            <v>0.25</v>
          </cell>
          <cell r="AL1377">
            <v>0.25</v>
          </cell>
          <cell r="AM1377">
            <v>0.25</v>
          </cell>
          <cell r="AN1377">
            <v>0.25</v>
          </cell>
          <cell r="AO1377">
            <v>0.25</v>
          </cell>
          <cell r="AP1377">
            <v>0.25</v>
          </cell>
          <cell r="AQ1377">
            <v>0.25</v>
          </cell>
          <cell r="AR1377">
            <v>0.25</v>
          </cell>
          <cell r="AS1377">
            <v>0.25</v>
          </cell>
          <cell r="AT1377">
            <v>-0.04</v>
          </cell>
          <cell r="AU1377">
            <v>0.92</v>
          </cell>
          <cell r="AV1377">
            <v>20</v>
          </cell>
          <cell r="AY1377" t="str">
            <v/>
          </cell>
          <cell r="AZ1377">
            <v>0.25</v>
          </cell>
          <cell r="BA1377">
            <v>0.25</v>
          </cell>
        </row>
        <row r="1378">
          <cell r="A1378" t="str">
            <v>INFISSI TORELLI</v>
          </cell>
          <cell r="D1378" t="str">
            <v>VIA NETTUNENSE, KM30,535</v>
          </cell>
          <cell r="E1378" t="str">
            <v>00042</v>
          </cell>
          <cell r="F1378" t="str">
            <v>ANZIO</v>
          </cell>
          <cell r="G1378" t="str">
            <v>RM</v>
          </cell>
          <cell r="H1378" t="str">
            <v>ITALIA</v>
          </cell>
          <cell r="J1378" t="str">
            <v>01706321005</v>
          </cell>
          <cell r="M1378" t="str">
            <v>UFFICIO ACQUISTI</v>
          </cell>
          <cell r="N1378" t="str">
            <v>06 98988038</v>
          </cell>
          <cell r="P1378" t="str">
            <v>info@infissitorelli.it</v>
          </cell>
          <cell r="R1378" t="str">
            <v>BONIFICO BANCARIO, ALLA DATA DELLA NOSTRA CONFERMA D'ORDINE</v>
          </cell>
          <cell r="X1378">
            <v>0.2</v>
          </cell>
          <cell r="Y1378">
            <v>-0.04</v>
          </cell>
          <cell r="AB1378">
            <v>0.2</v>
          </cell>
          <cell r="AC1378">
            <v>0.2</v>
          </cell>
          <cell r="AD1378">
            <v>0.2</v>
          </cell>
          <cell r="AE1378">
            <v>0.2</v>
          </cell>
          <cell r="AF1378">
            <v>0.2</v>
          </cell>
          <cell r="AG1378">
            <v>0.2</v>
          </cell>
          <cell r="AH1378">
            <v>0.2</v>
          </cell>
          <cell r="AI1378">
            <v>0.2</v>
          </cell>
          <cell r="AJ1378">
            <v>0.2</v>
          </cell>
          <cell r="AK1378">
            <v>0.2</v>
          </cell>
          <cell r="AL1378">
            <v>0.2</v>
          </cell>
          <cell r="AM1378">
            <v>0.2</v>
          </cell>
          <cell r="AN1378">
            <v>0.2</v>
          </cell>
          <cell r="AO1378">
            <v>0.2</v>
          </cell>
          <cell r="AP1378">
            <v>0.2</v>
          </cell>
          <cell r="AQ1378">
            <v>0.2</v>
          </cell>
          <cell r="AR1378">
            <v>0.2</v>
          </cell>
          <cell r="AS1378">
            <v>0.2</v>
          </cell>
          <cell r="AT1378">
            <v>-0.04</v>
          </cell>
          <cell r="AU1378">
            <v>0.92</v>
          </cell>
          <cell r="AV1378">
            <v>20</v>
          </cell>
          <cell r="AZ1378">
            <v>0.2</v>
          </cell>
          <cell r="BA1378">
            <v>0.2</v>
          </cell>
        </row>
        <row r="1379">
          <cell r="A1379" t="str">
            <v>ING. AGOSTINO CAROLI</v>
          </cell>
          <cell r="D1379" t="str">
            <v>VIALE MONZA 4</v>
          </cell>
          <cell r="E1379">
            <v>20127</v>
          </cell>
          <cell r="F1379" t="str">
            <v>MILANO</v>
          </cell>
          <cell r="G1379" t="str">
            <v>MI</v>
          </cell>
          <cell r="H1379" t="str">
            <v>ITALIA</v>
          </cell>
          <cell r="J1379" t="str">
            <v>06700720961</v>
          </cell>
          <cell r="M1379" t="str">
            <v>UFFICIO ACQUISTI</v>
          </cell>
          <cell r="N1379" t="str">
            <v>02 2610084</v>
          </cell>
          <cell r="O1379" t="str">
            <v>3804135116</v>
          </cell>
          <cell r="P1379" t="str">
            <v>agostinocaroli@libero.it</v>
          </cell>
          <cell r="R1379" t="str">
            <v>BONIFICO BANCARIO, ALLA DATA DELLA NOSTRA CONFERMA D'ORDINE</v>
          </cell>
          <cell r="X1379">
            <v>0.25</v>
          </cell>
          <cell r="Y1379">
            <v>-0.04</v>
          </cell>
          <cell r="AB1379">
            <v>0.25</v>
          </cell>
          <cell r="AC1379">
            <v>0.25</v>
          </cell>
          <cell r="AD1379">
            <v>0.25</v>
          </cell>
          <cell r="AE1379">
            <v>0.25</v>
          </cell>
          <cell r="AF1379">
            <v>0.25</v>
          </cell>
          <cell r="AG1379">
            <v>0.25</v>
          </cell>
          <cell r="AH1379">
            <v>0.25</v>
          </cell>
          <cell r="AI1379">
            <v>0.25</v>
          </cell>
          <cell r="AJ1379">
            <v>0.25</v>
          </cell>
          <cell r="AK1379">
            <v>0.25</v>
          </cell>
          <cell r="AL1379">
            <v>0.25</v>
          </cell>
          <cell r="AM1379">
            <v>0.25</v>
          </cell>
          <cell r="AN1379">
            <v>0.25</v>
          </cell>
          <cell r="AO1379">
            <v>0.25</v>
          </cell>
          <cell r="AP1379">
            <v>0.25</v>
          </cell>
          <cell r="AQ1379">
            <v>0.25</v>
          </cell>
          <cell r="AR1379">
            <v>0.25</v>
          </cell>
          <cell r="AS1379">
            <v>0.25</v>
          </cell>
          <cell r="AT1379">
            <v>-0.04</v>
          </cell>
          <cell r="AU1379">
            <v>0.92</v>
          </cell>
          <cell r="AV1379">
            <v>20</v>
          </cell>
          <cell r="AY1379" t="str">
            <v/>
          </cell>
          <cell r="AZ1379">
            <v>0.25</v>
          </cell>
          <cell r="BA1379">
            <v>0.25</v>
          </cell>
        </row>
        <row r="1380">
          <cell r="A1380" t="str">
            <v>ING.-BÜRO BOEDECKER HOCHWASSERSCHUTZSYSTEME</v>
          </cell>
          <cell r="D1380" t="str">
            <v>LAUBESTRASSE, 54</v>
          </cell>
          <cell r="E1380" t="str">
            <v>01309</v>
          </cell>
          <cell r="F1380" t="str">
            <v>DRESDEN</v>
          </cell>
          <cell r="H1380" t="str">
            <v>GERMANIA</v>
          </cell>
          <cell r="J1380" t="str">
            <v>DE 140303696</v>
          </cell>
          <cell r="K1380" t="str">
            <v>XXXXXXX</v>
          </cell>
          <cell r="M1380" t="str">
            <v>UFFICIO ACQUISTI</v>
          </cell>
          <cell r="N1380" t="str">
            <v>+49 3514713581</v>
          </cell>
          <cell r="O1380" t="str">
            <v>+49 1723730766</v>
          </cell>
          <cell r="P1380" t="str">
            <v>info@boedecker-kg.de</v>
          </cell>
          <cell r="R1380" t="str">
            <v>BANKÜBERWEISUNG, AM DATUM UNSERER AUFTRAGSBESTÄTIGUNG</v>
          </cell>
          <cell r="X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cell r="AO1380">
            <v>0</v>
          </cell>
          <cell r="AP1380">
            <v>0</v>
          </cell>
          <cell r="AQ1380">
            <v>0</v>
          </cell>
          <cell r="AR1380">
            <v>0</v>
          </cell>
          <cell r="AS1380">
            <v>0</v>
          </cell>
          <cell r="AT1380">
            <v>0</v>
          </cell>
          <cell r="AU1380">
            <v>0.84</v>
          </cell>
          <cell r="AV1380">
            <v>20</v>
          </cell>
          <cell r="AZ1380">
            <v>0</v>
          </cell>
          <cell r="BA1380">
            <v>0</v>
          </cell>
        </row>
        <row r="1381">
          <cell r="A1381" t="str">
            <v>INGLESI INFISSI E TENDE S.A.S. DI INGLESI ANDREA &amp; C</v>
          </cell>
          <cell r="D1381" t="str">
            <v>VIA ZANI, 13( VIALE TOSELLI)</v>
          </cell>
          <cell r="E1381" t="str">
            <v>53100</v>
          </cell>
          <cell r="F1381" t="str">
            <v>SIENA</v>
          </cell>
          <cell r="G1381" t="str">
            <v>SI</v>
          </cell>
          <cell r="H1381" t="str">
            <v>ITALIA</v>
          </cell>
          <cell r="J1381" t="str">
            <v>01127220521</v>
          </cell>
          <cell r="M1381" t="str">
            <v>UFFICIO ACQUISTI</v>
          </cell>
          <cell r="N1381" t="str">
            <v>0577 287574</v>
          </cell>
          <cell r="O1381" t="str">
            <v>Federico 347 3330543</v>
          </cell>
          <cell r="R1381" t="str">
            <v>BONIFICO BANCARIO, ALLA DATA DELLA NOSTRA CONFERMA D'ORDINE</v>
          </cell>
          <cell r="X1381">
            <v>0.25</v>
          </cell>
          <cell r="Y1381">
            <v>-0.04</v>
          </cell>
          <cell r="AB1381">
            <v>0.25</v>
          </cell>
          <cell r="AC1381">
            <v>0.25</v>
          </cell>
          <cell r="AD1381">
            <v>0.25</v>
          </cell>
          <cell r="AE1381">
            <v>0.25</v>
          </cell>
          <cell r="AF1381">
            <v>0.25</v>
          </cell>
          <cell r="AG1381">
            <v>0.25</v>
          </cell>
          <cell r="AH1381">
            <v>0.25</v>
          </cell>
          <cell r="AI1381">
            <v>0.25</v>
          </cell>
          <cell r="AJ1381">
            <v>0.25</v>
          </cell>
          <cell r="AK1381">
            <v>0.25</v>
          </cell>
          <cell r="AL1381">
            <v>0.25</v>
          </cell>
          <cell r="AM1381">
            <v>0.25</v>
          </cell>
          <cell r="AN1381">
            <v>0.25</v>
          </cell>
          <cell r="AO1381">
            <v>0.25</v>
          </cell>
          <cell r="AP1381">
            <v>0.25</v>
          </cell>
          <cell r="AQ1381">
            <v>0.25</v>
          </cell>
          <cell r="AR1381">
            <v>0.25</v>
          </cell>
          <cell r="AS1381">
            <v>0.25</v>
          </cell>
          <cell r="AT1381">
            <v>-0.04</v>
          </cell>
          <cell r="AU1381">
            <v>0.92</v>
          </cell>
          <cell r="AV1381">
            <v>20</v>
          </cell>
          <cell r="AY1381" t="str">
            <v/>
          </cell>
          <cell r="AZ1381">
            <v>0.25</v>
          </cell>
          <cell r="BA1381">
            <v>0.25</v>
          </cell>
        </row>
        <row r="1382">
          <cell r="A1382" t="str">
            <v>INNOVA  SERRAMENTI</v>
          </cell>
          <cell r="B1382" t="str">
            <v>PER DISTRIBUZIONE 100 IN 7 ANNI</v>
          </cell>
          <cell r="D1382" t="str">
            <v>VIA DEL MANDRIONE, 103</v>
          </cell>
          <cell r="E1382" t="str">
            <v>00181</v>
          </cell>
          <cell r="F1382" t="str">
            <v>ROMA</v>
          </cell>
          <cell r="G1382" t="str">
            <v>RM</v>
          </cell>
          <cell r="H1382" t="str">
            <v>ITALIA</v>
          </cell>
          <cell r="M1382" t="str">
            <v>UFFICIO ACQUISTI</v>
          </cell>
          <cell r="N1382" t="str">
            <v>06 78396309</v>
          </cell>
          <cell r="O1382" t="str">
            <v>392 982045</v>
          </cell>
          <cell r="P1382" t="str">
            <v>p.zacchia@innovaserramenti.com</v>
          </cell>
          <cell r="R1382" t="str">
            <v>BONIFICO BANCARIO, ALLA DATA DELLA NOSTRA CONFERMA D'ORDINE</v>
          </cell>
          <cell r="X1382">
            <v>0.25</v>
          </cell>
          <cell r="Y1382">
            <v>-0.04</v>
          </cell>
          <cell r="AB1382">
            <v>0.25</v>
          </cell>
          <cell r="AC1382">
            <v>0.25</v>
          </cell>
          <cell r="AD1382">
            <v>0.25</v>
          </cell>
          <cell r="AE1382">
            <v>0.25</v>
          </cell>
          <cell r="AF1382">
            <v>0.25</v>
          </cell>
          <cell r="AG1382">
            <v>0.25</v>
          </cell>
          <cell r="AH1382">
            <v>0.25</v>
          </cell>
          <cell r="AI1382">
            <v>0.25</v>
          </cell>
          <cell r="AJ1382">
            <v>0.25</v>
          </cell>
          <cell r="AK1382">
            <v>0.25</v>
          </cell>
          <cell r="AL1382">
            <v>0.25</v>
          </cell>
          <cell r="AM1382">
            <v>0.25</v>
          </cell>
          <cell r="AN1382">
            <v>0.25</v>
          </cell>
          <cell r="AO1382">
            <v>0.25</v>
          </cell>
          <cell r="AP1382">
            <v>0.25</v>
          </cell>
          <cell r="AQ1382">
            <v>0.25</v>
          </cell>
          <cell r="AR1382">
            <v>0.25</v>
          </cell>
          <cell r="AS1382">
            <v>0.25</v>
          </cell>
          <cell r="AT1382">
            <v>-0.04</v>
          </cell>
          <cell r="AU1382">
            <v>0.92</v>
          </cell>
          <cell r="AV1382">
            <v>20</v>
          </cell>
          <cell r="AZ1382">
            <v>0.25</v>
          </cell>
          <cell r="BA1382">
            <v>0.25</v>
          </cell>
        </row>
        <row r="1383">
          <cell r="A1383" t="str">
            <v>INNOVARCHITETTURA</v>
          </cell>
          <cell r="D1383" t="str">
            <v>VIA P COLLEVACCINO 12</v>
          </cell>
          <cell r="E1383" t="str">
            <v>82100</v>
          </cell>
          <cell r="F1383" t="str">
            <v>BENEVENTO</v>
          </cell>
          <cell r="G1383" t="str">
            <v>BE</v>
          </cell>
          <cell r="H1383" t="str">
            <v>ITALIA</v>
          </cell>
          <cell r="J1383" t="str">
            <v>01640440622</v>
          </cell>
          <cell r="M1383" t="str">
            <v>UFFICIO ACQUISTI</v>
          </cell>
          <cell r="N1383" t="str">
            <v>0824 311649</v>
          </cell>
          <cell r="O1383" t="str">
            <v>348 9109909</v>
          </cell>
          <cell r="P1383" t="str">
            <v>j.perrella@innovarchitettura.it</v>
          </cell>
          <cell r="R1383" t="str">
            <v>BONIFICO BANCARIO, ALLA DATA DELLA NOSTRA CONFERMA D'ORDINE</v>
          </cell>
          <cell r="X1383">
            <v>0.25</v>
          </cell>
          <cell r="Y1383">
            <v>-0.04</v>
          </cell>
          <cell r="AB1383">
            <v>0.25</v>
          </cell>
          <cell r="AC1383">
            <v>0.25</v>
          </cell>
          <cell r="AD1383">
            <v>0.25</v>
          </cell>
          <cell r="AE1383">
            <v>0.25</v>
          </cell>
          <cell r="AF1383">
            <v>0.25</v>
          </cell>
          <cell r="AG1383">
            <v>0.25</v>
          </cell>
          <cell r="AH1383">
            <v>0.25</v>
          </cell>
          <cell r="AI1383">
            <v>0.25</v>
          </cell>
          <cell r="AJ1383">
            <v>0.25</v>
          </cell>
          <cell r="AK1383">
            <v>0.25</v>
          </cell>
          <cell r="AL1383">
            <v>0.25</v>
          </cell>
          <cell r="AM1383">
            <v>0.25</v>
          </cell>
          <cell r="AN1383">
            <v>0.25</v>
          </cell>
          <cell r="AO1383">
            <v>0.25</v>
          </cell>
          <cell r="AP1383">
            <v>0.25</v>
          </cell>
          <cell r="AQ1383">
            <v>0.25</v>
          </cell>
          <cell r="AR1383">
            <v>0.25</v>
          </cell>
          <cell r="AS1383">
            <v>0.25</v>
          </cell>
          <cell r="AT1383">
            <v>-0.04</v>
          </cell>
          <cell r="AU1383">
            <v>0.92</v>
          </cell>
          <cell r="AV1383">
            <v>20</v>
          </cell>
          <cell r="AY1383" t="str">
            <v/>
          </cell>
          <cell r="AZ1383">
            <v>0.25</v>
          </cell>
          <cell r="BA1383">
            <v>0.25</v>
          </cell>
        </row>
        <row r="1384">
          <cell r="A1384" t="str">
            <v>INNOVATIVE GLASS DI ELISABETTA PORCEDDU</v>
          </cell>
          <cell r="B1384" t="str">
            <v>CI HA CERCATO LUI IL 30/08/2022, INTERESSATO ANCHE A AVERE DEGLI SFUSI</v>
          </cell>
          <cell r="D1384" t="str">
            <v>VIA CARLO FELICE, 135</v>
          </cell>
          <cell r="E1384" t="str">
            <v>09025</v>
          </cell>
          <cell r="F1384" t="str">
            <v>SANLURI</v>
          </cell>
          <cell r="G1384" t="str">
            <v>SU</v>
          </cell>
          <cell r="H1384" t="str">
            <v>ITALIA</v>
          </cell>
          <cell r="I1384" t="str">
            <v>PRCLBT78E41H856J</v>
          </cell>
          <cell r="J1384" t="str">
            <v>03925020921</v>
          </cell>
          <cell r="K1384" t="str">
            <v>X2PH38J</v>
          </cell>
          <cell r="L1384" t="str">
            <v>ZONA INDUSTRIALE BIA CASTEDDU, SNC - 09025 SANLURI (SU)</v>
          </cell>
          <cell r="M1384" t="str">
            <v>UFFICIO ACQUISTI</v>
          </cell>
          <cell r="O1384" t="str">
            <v>347 3504519</v>
          </cell>
          <cell r="P1384" t="str">
            <v>amministrazione@innovativeglass.it</v>
          </cell>
          <cell r="R1384" t="str">
            <v>BONIFICO BANCARIO, ALLA DATA DELLA NOSTRA CONFERMA D'ORDINE</v>
          </cell>
          <cell r="X1384">
            <v>0.25</v>
          </cell>
          <cell r="AB1384">
            <v>0.25</v>
          </cell>
          <cell r="AC1384">
            <v>0.25</v>
          </cell>
          <cell r="AD1384">
            <v>0.25</v>
          </cell>
          <cell r="AE1384">
            <v>0.25</v>
          </cell>
          <cell r="AF1384">
            <v>0.25</v>
          </cell>
          <cell r="AG1384">
            <v>0.25</v>
          </cell>
          <cell r="AH1384">
            <v>0.25</v>
          </cell>
          <cell r="AI1384">
            <v>0.25</v>
          </cell>
          <cell r="AJ1384">
            <v>0.25</v>
          </cell>
          <cell r="AK1384">
            <v>0.25</v>
          </cell>
          <cell r="AL1384">
            <v>0.25</v>
          </cell>
          <cell r="AM1384">
            <v>0.25</v>
          </cell>
          <cell r="AN1384">
            <v>0.25</v>
          </cell>
          <cell r="AO1384">
            <v>0.25</v>
          </cell>
          <cell r="AP1384">
            <v>0.25</v>
          </cell>
          <cell r="AQ1384">
            <v>0.25</v>
          </cell>
          <cell r="AR1384">
            <v>0.25</v>
          </cell>
          <cell r="AS1384">
            <v>0.25</v>
          </cell>
          <cell r="AT1384">
            <v>-0.04</v>
          </cell>
          <cell r="AU1384">
            <v>0.9</v>
          </cell>
          <cell r="AV1384">
            <v>20</v>
          </cell>
          <cell r="AZ1384">
            <v>0.25</v>
          </cell>
          <cell r="BA1384">
            <v>0.25</v>
          </cell>
          <cell r="BF1384" t="str">
            <v>CLICK RAPID con espositore 09/09/2022 - MODERNA con espositore 08/09/2022</v>
          </cell>
        </row>
        <row r="1385">
          <cell r="A1385" t="str">
            <v>INOXFER CARPENTERIA S.N.C</v>
          </cell>
          <cell r="D1385" t="str">
            <v>VIA DELL'ARTIGIANATO, 4</v>
          </cell>
          <cell r="E1385" t="str">
            <v>20060</v>
          </cell>
          <cell r="F1385" t="str">
            <v>CASSINA DE' PECCHI</v>
          </cell>
          <cell r="G1385" t="str">
            <v>MI</v>
          </cell>
          <cell r="H1385" t="str">
            <v>ITALIA</v>
          </cell>
          <cell r="J1385" t="str">
            <v>02865910968</v>
          </cell>
          <cell r="M1385" t="str">
            <v>UFFICIO ACQUISTI</v>
          </cell>
          <cell r="N1385" t="str">
            <v>02 95305689</v>
          </cell>
          <cell r="O1385" t="str">
            <v>339 7183160 GEOM. CHIERA FRANCESCA</v>
          </cell>
          <cell r="P1385" t="str">
            <v>domenico@inoxfer-snc.it</v>
          </cell>
          <cell r="R1385" t="str">
            <v>BONIFICO BANCARIO, ALLA DATA DELLA NOSTRA CONFERMA D'ORDINE</v>
          </cell>
          <cell r="X1385">
            <v>0.25</v>
          </cell>
          <cell r="Y1385">
            <v>-0.04</v>
          </cell>
          <cell r="AB1385">
            <v>0.25</v>
          </cell>
          <cell r="AC1385">
            <v>0.25</v>
          </cell>
          <cell r="AD1385">
            <v>0.25</v>
          </cell>
          <cell r="AE1385">
            <v>0.25</v>
          </cell>
          <cell r="AF1385">
            <v>0.25</v>
          </cell>
          <cell r="AG1385">
            <v>0.25</v>
          </cell>
          <cell r="AH1385">
            <v>0.25</v>
          </cell>
          <cell r="AI1385">
            <v>0.25</v>
          </cell>
          <cell r="AJ1385">
            <v>0.25</v>
          </cell>
          <cell r="AK1385">
            <v>0.25</v>
          </cell>
          <cell r="AL1385">
            <v>0.25</v>
          </cell>
          <cell r="AM1385">
            <v>0.25</v>
          </cell>
          <cell r="AN1385">
            <v>0.25</v>
          </cell>
          <cell r="AO1385">
            <v>0.25</v>
          </cell>
          <cell r="AP1385">
            <v>0.25</v>
          </cell>
          <cell r="AQ1385">
            <v>0.25</v>
          </cell>
          <cell r="AR1385">
            <v>0.25</v>
          </cell>
          <cell r="AS1385">
            <v>0.25</v>
          </cell>
          <cell r="AT1385">
            <v>-0.04</v>
          </cell>
          <cell r="AU1385">
            <v>0.92</v>
          </cell>
          <cell r="AV1385">
            <v>20</v>
          </cell>
          <cell r="AY1385" t="str">
            <v/>
          </cell>
          <cell r="AZ1385">
            <v>0.25</v>
          </cell>
          <cell r="BA1385">
            <v>0.25</v>
          </cell>
        </row>
        <row r="1386">
          <cell r="A1386" t="str">
            <v>INSINNA SERRAMENTI</v>
          </cell>
          <cell r="D1386" t="str">
            <v>VIA PIACENZA 18</v>
          </cell>
          <cell r="E1386" t="str">
            <v>15048</v>
          </cell>
          <cell r="F1386" t="str">
            <v>VALENZA</v>
          </cell>
          <cell r="G1386" t="str">
            <v>AL</v>
          </cell>
          <cell r="H1386" t="str">
            <v>ITALIA</v>
          </cell>
          <cell r="J1386" t="str">
            <v>01233740065</v>
          </cell>
          <cell r="M1386" t="str">
            <v>UFFICIO ACQUISTI</v>
          </cell>
          <cell r="N1386" t="str">
            <v>0131 943316</v>
          </cell>
          <cell r="P1386" t="str">
            <v>info@insinnaserramenti.it</v>
          </cell>
          <cell r="R1386" t="str">
            <v>BONIFICO BANCARIO, ALLA DATA DELLA NOSTRA CONFERMA D'ORDINE</v>
          </cell>
          <cell r="X1386">
            <v>0.25</v>
          </cell>
          <cell r="Y1386">
            <v>-0.04</v>
          </cell>
          <cell r="AB1386">
            <v>0.25</v>
          </cell>
          <cell r="AC1386">
            <v>0.25</v>
          </cell>
          <cell r="AD1386">
            <v>0.25</v>
          </cell>
          <cell r="AE1386">
            <v>0.25</v>
          </cell>
          <cell r="AF1386">
            <v>0.25</v>
          </cell>
          <cell r="AG1386">
            <v>0.25</v>
          </cell>
          <cell r="AH1386">
            <v>0.25</v>
          </cell>
          <cell r="AI1386">
            <v>0.25</v>
          </cell>
          <cell r="AJ1386">
            <v>0.25</v>
          </cell>
          <cell r="AK1386">
            <v>0.25</v>
          </cell>
          <cell r="AL1386">
            <v>0.25</v>
          </cell>
          <cell r="AM1386">
            <v>0.25</v>
          </cell>
          <cell r="AN1386">
            <v>0.25</v>
          </cell>
          <cell r="AO1386">
            <v>0.25</v>
          </cell>
          <cell r="AP1386">
            <v>0.25</v>
          </cell>
          <cell r="AQ1386">
            <v>0.25</v>
          </cell>
          <cell r="AR1386">
            <v>0.25</v>
          </cell>
          <cell r="AS1386">
            <v>0.25</v>
          </cell>
          <cell r="AT1386">
            <v>-0.04</v>
          </cell>
          <cell r="AU1386">
            <v>0.92</v>
          </cell>
          <cell r="AV1386">
            <v>20</v>
          </cell>
          <cell r="AY1386" t="str">
            <v/>
          </cell>
          <cell r="AZ1386">
            <v>0.25</v>
          </cell>
          <cell r="BA1386">
            <v>0.25</v>
          </cell>
        </row>
        <row r="1387">
          <cell r="A1387" t="str">
            <v>INSTALACIONES LENCINA SL  ANTONIO GONZALEZ</v>
          </cell>
          <cell r="D1387" t="str">
            <v>AV. DE LEVANTE 45 BAJO</v>
          </cell>
          <cell r="E1387" t="str">
            <v xml:space="preserve">30520 </v>
          </cell>
          <cell r="F1387" t="str">
            <v>JUMILLA-MURCIA</v>
          </cell>
          <cell r="H1387" t="str">
            <v>SPAGNA</v>
          </cell>
          <cell r="J1387" t="str">
            <v>ES-B73636748</v>
          </cell>
          <cell r="K1387" t="str">
            <v>XXXXXXX</v>
          </cell>
          <cell r="M1387" t="str">
            <v>UFFICIO ACQUISTI</v>
          </cell>
          <cell r="O1387" t="str">
            <v>+34 644266196</v>
          </cell>
          <cell r="P1387" t="str">
            <v>instalacioneslencinagestion@gmail.com</v>
          </cell>
          <cell r="R1387" t="str">
            <v>TRANSFERENCIA BANCARIA, EN LA FECHA DE NUESTRA CONFIRMACIÓN DE PEDIDO</v>
          </cell>
          <cell r="X1387">
            <v>0.2</v>
          </cell>
          <cell r="AB1387">
            <v>0.2</v>
          </cell>
          <cell r="AC1387">
            <v>0.2</v>
          </cell>
          <cell r="AD1387">
            <v>0.2</v>
          </cell>
          <cell r="AE1387">
            <v>0.2</v>
          </cell>
          <cell r="AF1387">
            <v>0.2</v>
          </cell>
          <cell r="AG1387">
            <v>0.2</v>
          </cell>
          <cell r="AH1387">
            <v>0.2</v>
          </cell>
          <cell r="AI1387">
            <v>0.2</v>
          </cell>
          <cell r="AJ1387">
            <v>0.2</v>
          </cell>
          <cell r="AK1387">
            <v>0.2</v>
          </cell>
          <cell r="AL1387">
            <v>0.2</v>
          </cell>
          <cell r="AM1387">
            <v>0.2</v>
          </cell>
          <cell r="AN1387">
            <v>0.2</v>
          </cell>
          <cell r="AO1387">
            <v>0.2</v>
          </cell>
          <cell r="AP1387">
            <v>0.2</v>
          </cell>
          <cell r="AQ1387">
            <v>0.2</v>
          </cell>
          <cell r="AR1387">
            <v>0.2</v>
          </cell>
          <cell r="AS1387">
            <v>0.2</v>
          </cell>
          <cell r="AU1387">
            <v>0.87</v>
          </cell>
          <cell r="AV1387">
            <v>20</v>
          </cell>
          <cell r="AZ1387">
            <v>0.2</v>
          </cell>
          <cell r="BA1387">
            <v>0.2</v>
          </cell>
        </row>
        <row r="1388">
          <cell r="A1388" t="str">
            <v>INTER2 D.O.O.</v>
          </cell>
          <cell r="B1388" t="str">
            <v>DISTRIBUTORE SLOVENO DI AMARI, VODASTOP, WP WASTO e WATERBULL - PREZZO lancio SCONTO 25% MODERNA + 20% ALTRI MODELLI fino a genn 2022</v>
          </cell>
          <cell r="D1388" t="str">
            <v>SMARTNO 199/A</v>
          </cell>
          <cell r="E1388" t="str">
            <v>2383</v>
          </cell>
          <cell r="F1388" t="str">
            <v>SMARTNO</v>
          </cell>
          <cell r="H1388" t="str">
            <v>SLOVENIA</v>
          </cell>
          <cell r="J1388" t="str">
            <v>DI51190451</v>
          </cell>
          <cell r="K1388" t="str">
            <v>XXXXXXX</v>
          </cell>
          <cell r="M1388" t="str">
            <v>UFFICIO ACQUISTI</v>
          </cell>
          <cell r="O1388" t="str">
            <v>+386 51 870 600</v>
          </cell>
          <cell r="P1388" t="str">
            <v>info@protipoplavnazascita.si</v>
          </cell>
          <cell r="R1388" t="str">
            <v>BANK TRANSFER, ON THE DATE OF OUR ORDER CONFIRMATION</v>
          </cell>
          <cell r="X1388">
            <v>0.2</v>
          </cell>
          <cell r="AB1388">
            <v>0.2</v>
          </cell>
          <cell r="AC1388">
            <v>0.2</v>
          </cell>
          <cell r="AD1388">
            <v>0.2</v>
          </cell>
          <cell r="AE1388">
            <v>0.2</v>
          </cell>
          <cell r="AF1388">
            <v>0.2</v>
          </cell>
          <cell r="AG1388">
            <v>0.2</v>
          </cell>
          <cell r="AH1388">
            <v>0.2</v>
          </cell>
          <cell r="AI1388">
            <v>0.2</v>
          </cell>
          <cell r="AJ1388">
            <v>0.2</v>
          </cell>
          <cell r="AK1388">
            <v>0.2</v>
          </cell>
          <cell r="AL1388">
            <v>0.2</v>
          </cell>
          <cell r="AM1388">
            <v>0.2</v>
          </cell>
          <cell r="AN1388">
            <v>0.2</v>
          </cell>
          <cell r="AO1388">
            <v>0.2</v>
          </cell>
          <cell r="AP1388">
            <v>0.2</v>
          </cell>
          <cell r="AQ1388">
            <v>0.2</v>
          </cell>
          <cell r="AR1388">
            <v>0.2</v>
          </cell>
          <cell r="AS1388">
            <v>0.2</v>
          </cell>
          <cell r="AU1388">
            <v>0.83</v>
          </cell>
          <cell r="AV1388">
            <v>20</v>
          </cell>
          <cell r="AZ1388">
            <v>0.2</v>
          </cell>
          <cell r="BA1388">
            <v>0.2</v>
          </cell>
        </row>
        <row r="1389">
          <cell r="A1389" t="str">
            <v>INTERNORM</v>
          </cell>
          <cell r="D1389" t="str">
            <v>VIA CARREL, 43</v>
          </cell>
          <cell r="E1389">
            <v>11100</v>
          </cell>
          <cell r="F1389" t="str">
            <v>AOSTA</v>
          </cell>
          <cell r="G1389" t="str">
            <v>AO</v>
          </cell>
          <cell r="H1389" t="str">
            <v>ITALIA</v>
          </cell>
          <cell r="J1389" t="str">
            <v>01174880078</v>
          </cell>
          <cell r="M1389" t="str">
            <v>UFFICIO ACQUISTI</v>
          </cell>
          <cell r="N1389" t="str">
            <v>0165 230099</v>
          </cell>
          <cell r="P1389" t="str">
            <v>info@evalser.com</v>
          </cell>
          <cell r="R1389" t="str">
            <v>BONIFICO BANCARIO, ALLA DATA DELLA NOSTRA CONFERMA D'ORDINE</v>
          </cell>
          <cell r="X1389">
            <v>0.25</v>
          </cell>
          <cell r="Y1389">
            <v>-0.04</v>
          </cell>
          <cell r="AB1389">
            <v>0.25</v>
          </cell>
          <cell r="AC1389">
            <v>0.25</v>
          </cell>
          <cell r="AD1389">
            <v>0.25</v>
          </cell>
          <cell r="AE1389">
            <v>0.25</v>
          </cell>
          <cell r="AF1389">
            <v>0.25</v>
          </cell>
          <cell r="AG1389">
            <v>0.25</v>
          </cell>
          <cell r="AH1389">
            <v>0.25</v>
          </cell>
          <cell r="AI1389">
            <v>0.25</v>
          </cell>
          <cell r="AJ1389">
            <v>0.25</v>
          </cell>
          <cell r="AK1389">
            <v>0.25</v>
          </cell>
          <cell r="AL1389">
            <v>0.25</v>
          </cell>
          <cell r="AM1389">
            <v>0.25</v>
          </cell>
          <cell r="AN1389">
            <v>0.25</v>
          </cell>
          <cell r="AO1389">
            <v>0.25</v>
          </cell>
          <cell r="AP1389">
            <v>0.25</v>
          </cell>
          <cell r="AQ1389">
            <v>0.25</v>
          </cell>
          <cell r="AR1389">
            <v>0.25</v>
          </cell>
          <cell r="AS1389">
            <v>0.25</v>
          </cell>
          <cell r="AT1389">
            <v>-0.04</v>
          </cell>
          <cell r="AU1389">
            <v>0.92</v>
          </cell>
          <cell r="AV1389">
            <v>20</v>
          </cell>
          <cell r="AZ1389">
            <v>0.25</v>
          </cell>
          <cell r="BA1389">
            <v>0.25</v>
          </cell>
        </row>
        <row r="1390">
          <cell r="A1390" t="str">
            <v>INVIMM SRL</v>
          </cell>
          <cell r="B1390" t="str">
            <v>INVIARE FOTO, NICOLETTA PAVONE, MOLTO INTERESSATA.</v>
          </cell>
          <cell r="D1390" t="str">
            <v>SS 16 NORD N.17/D</v>
          </cell>
          <cell r="E1390" t="str">
            <v>66054</v>
          </cell>
          <cell r="F1390" t="str">
            <v>VASTO</v>
          </cell>
          <cell r="G1390" t="str">
            <v>CH</v>
          </cell>
          <cell r="H1390" t="str">
            <v>ITALIA</v>
          </cell>
          <cell r="J1390" t="str">
            <v>01622490694</v>
          </cell>
          <cell r="M1390" t="str">
            <v>UFFICIO ACQUISTI</v>
          </cell>
          <cell r="N1390" t="str">
            <v>0873 311070</v>
          </cell>
          <cell r="P1390" t="str">
            <v>info@gruppopavone.com</v>
          </cell>
          <cell r="R1390" t="str">
            <v>BONIFICO BANCARIO, ALLA DATA DELLA NOSTRA CONFERMA D'ORDINE</v>
          </cell>
          <cell r="X1390">
            <v>0.25</v>
          </cell>
          <cell r="Y1390">
            <v>-0.04</v>
          </cell>
          <cell r="AB1390">
            <v>0.25</v>
          </cell>
          <cell r="AC1390">
            <v>0.25</v>
          </cell>
          <cell r="AD1390">
            <v>0.25</v>
          </cell>
          <cell r="AE1390">
            <v>0.25</v>
          </cell>
          <cell r="AF1390">
            <v>0.25</v>
          </cell>
          <cell r="AG1390">
            <v>0.25</v>
          </cell>
          <cell r="AH1390">
            <v>0.25</v>
          </cell>
          <cell r="AI1390">
            <v>0.25</v>
          </cell>
          <cell r="AJ1390">
            <v>0.25</v>
          </cell>
          <cell r="AK1390">
            <v>0.25</v>
          </cell>
          <cell r="AL1390">
            <v>0.25</v>
          </cell>
          <cell r="AM1390">
            <v>0.25</v>
          </cell>
          <cell r="AN1390">
            <v>0.25</v>
          </cell>
          <cell r="AO1390">
            <v>0.25</v>
          </cell>
          <cell r="AP1390">
            <v>0.25</v>
          </cell>
          <cell r="AQ1390">
            <v>0.25</v>
          </cell>
          <cell r="AR1390">
            <v>0.25</v>
          </cell>
          <cell r="AS1390">
            <v>0.25</v>
          </cell>
          <cell r="AT1390">
            <v>-0.04</v>
          </cell>
          <cell r="AU1390">
            <v>0.92</v>
          </cell>
          <cell r="AV1390">
            <v>20</v>
          </cell>
          <cell r="AY1390" t="str">
            <v/>
          </cell>
          <cell r="AZ1390">
            <v>0.25</v>
          </cell>
          <cell r="BA1390">
            <v>0.25</v>
          </cell>
        </row>
        <row r="1391">
          <cell r="A1391" t="str">
            <v>IOMMAZZO</v>
          </cell>
          <cell r="B1391" t="str">
            <v>INTERESSATO</v>
          </cell>
          <cell r="D1391" t="str">
            <v>VIA MAJA, 10</v>
          </cell>
          <cell r="E1391">
            <v>21051</v>
          </cell>
          <cell r="F1391" t="str">
            <v>ARCISATE</v>
          </cell>
          <cell r="G1391" t="str">
            <v>VA</v>
          </cell>
          <cell r="H1391" t="str">
            <v>ITALIA</v>
          </cell>
          <cell r="M1391" t="str">
            <v>UFFICIO ACQUISTI</v>
          </cell>
          <cell r="N1391" t="str">
            <v>0332 473211</v>
          </cell>
          <cell r="O1391" t="str">
            <v>Serafino I. 347 4885291</v>
          </cell>
          <cell r="P1391" t="str">
            <v>info@iommazzo.it</v>
          </cell>
          <cell r="R1391" t="str">
            <v>BONIFICO BANCARIO, ALLA DATA DELLA NOSTRA CONFERMA D'ORDINE</v>
          </cell>
          <cell r="X1391">
            <v>0.25</v>
          </cell>
          <cell r="Y1391">
            <v>-0.04</v>
          </cell>
          <cell r="AB1391">
            <v>0.25</v>
          </cell>
          <cell r="AC1391">
            <v>0.25</v>
          </cell>
          <cell r="AD1391">
            <v>0.25</v>
          </cell>
          <cell r="AE1391">
            <v>0.25</v>
          </cell>
          <cell r="AF1391">
            <v>0.25</v>
          </cell>
          <cell r="AG1391">
            <v>0.25</v>
          </cell>
          <cell r="AH1391">
            <v>0.25</v>
          </cell>
          <cell r="AI1391">
            <v>0.25</v>
          </cell>
          <cell r="AJ1391">
            <v>0.25</v>
          </cell>
          <cell r="AK1391">
            <v>0.25</v>
          </cell>
          <cell r="AL1391">
            <v>0.25</v>
          </cell>
          <cell r="AM1391">
            <v>0.25</v>
          </cell>
          <cell r="AN1391">
            <v>0.25</v>
          </cell>
          <cell r="AO1391">
            <v>0.25</v>
          </cell>
          <cell r="AP1391">
            <v>0.25</v>
          </cell>
          <cell r="AQ1391">
            <v>0.25</v>
          </cell>
          <cell r="AR1391">
            <v>0.25</v>
          </cell>
          <cell r="AS1391">
            <v>0.25</v>
          </cell>
          <cell r="AT1391">
            <v>-0.04</v>
          </cell>
          <cell r="AU1391">
            <v>0.92</v>
          </cell>
          <cell r="AV1391">
            <v>20</v>
          </cell>
          <cell r="AY1391" t="str">
            <v/>
          </cell>
          <cell r="AZ1391">
            <v>0.25</v>
          </cell>
          <cell r="BA1391">
            <v>0.25</v>
          </cell>
        </row>
        <row r="1392">
          <cell r="A1392" t="str">
            <v>IOTTI ATTILIO E FIGLI SAS</v>
          </cell>
          <cell r="D1392" t="str">
            <v>VIA J.GAGARIN, 33 6</v>
          </cell>
          <cell r="E1392">
            <v>42123</v>
          </cell>
          <cell r="F1392" t="str">
            <v>REGGIO EMILIA</v>
          </cell>
          <cell r="G1392" t="str">
            <v>RE</v>
          </cell>
          <cell r="H1392" t="str">
            <v>ITALIA</v>
          </cell>
          <cell r="I1392" t="str">
            <v>01275180352</v>
          </cell>
          <cell r="J1392" t="str">
            <v>01275180352</v>
          </cell>
          <cell r="M1392" t="str">
            <v>UFFICIO ACQUISTI</v>
          </cell>
          <cell r="N1392" t="str">
            <v>0522 327545</v>
          </cell>
          <cell r="O1392" t="str">
            <v>328 1656007</v>
          </cell>
          <cell r="P1392" t="str">
            <v>info@iottiattilio.com</v>
          </cell>
          <cell r="R1392" t="str">
            <v>BONIFICO BANCARIO, ALLA DATA DELLA NOSTRA CONFERMA D'ORDINE</v>
          </cell>
          <cell r="X1392">
            <v>0.25</v>
          </cell>
          <cell r="Y1392">
            <v>-0.04</v>
          </cell>
          <cell r="AB1392">
            <v>0.25</v>
          </cell>
          <cell r="AC1392">
            <v>0.25</v>
          </cell>
          <cell r="AD1392">
            <v>0.25</v>
          </cell>
          <cell r="AE1392">
            <v>0.25</v>
          </cell>
          <cell r="AF1392">
            <v>0.25</v>
          </cell>
          <cell r="AG1392">
            <v>0.25</v>
          </cell>
          <cell r="AH1392">
            <v>0.25</v>
          </cell>
          <cell r="AI1392">
            <v>0.25</v>
          </cell>
          <cell r="AJ1392">
            <v>0.25</v>
          </cell>
          <cell r="AK1392">
            <v>0.25</v>
          </cell>
          <cell r="AL1392">
            <v>0.25</v>
          </cell>
          <cell r="AM1392">
            <v>0.25</v>
          </cell>
          <cell r="AN1392">
            <v>0.25</v>
          </cell>
          <cell r="AO1392">
            <v>0.25</v>
          </cell>
          <cell r="AP1392">
            <v>0.25</v>
          </cell>
          <cell r="AQ1392">
            <v>0.25</v>
          </cell>
          <cell r="AR1392">
            <v>0.25</v>
          </cell>
          <cell r="AS1392">
            <v>0.25</v>
          </cell>
          <cell r="AT1392">
            <v>-0.04</v>
          </cell>
          <cell r="AU1392">
            <v>0.92</v>
          </cell>
          <cell r="AV1392">
            <v>20</v>
          </cell>
          <cell r="AZ1392">
            <v>0.25</v>
          </cell>
          <cell r="BA1392">
            <v>0.25</v>
          </cell>
        </row>
        <row r="1393">
          <cell r="A1393" t="str">
            <v>IPR SERRAMENTI</v>
          </cell>
          <cell r="D1393" t="str">
            <v>VIA CABOTO, 23</v>
          </cell>
          <cell r="E1393" t="str">
            <v>34147</v>
          </cell>
          <cell r="F1393" t="str">
            <v>TRIESTE</v>
          </cell>
          <cell r="G1393" t="str">
            <v>TS</v>
          </cell>
          <cell r="H1393" t="str">
            <v>ITALIA</v>
          </cell>
          <cell r="J1393" t="str">
            <v>01194910327</v>
          </cell>
          <cell r="M1393" t="str">
            <v>UFFICIO ACQUISTI</v>
          </cell>
          <cell r="N1393" t="str">
            <v>040 2452881</v>
          </cell>
          <cell r="O1393" t="str">
            <v>Roberto 349 5958489</v>
          </cell>
          <cell r="P1393" t="str">
            <v>iprserramenti@gmail.com</v>
          </cell>
          <cell r="R1393" t="str">
            <v>BONIFICO BANCARIO, ALLA DATA DELLA NOSTRA CONFERMA D'ORDINE</v>
          </cell>
          <cell r="X1393">
            <v>0.25</v>
          </cell>
          <cell r="Y1393">
            <v>-0.04</v>
          </cell>
          <cell r="AB1393">
            <v>0.25</v>
          </cell>
          <cell r="AC1393">
            <v>0.25</v>
          </cell>
          <cell r="AD1393">
            <v>0.25</v>
          </cell>
          <cell r="AE1393">
            <v>0.25</v>
          </cell>
          <cell r="AF1393">
            <v>0.25</v>
          </cell>
          <cell r="AG1393">
            <v>0.25</v>
          </cell>
          <cell r="AH1393">
            <v>0.25</v>
          </cell>
          <cell r="AI1393">
            <v>0.25</v>
          </cell>
          <cell r="AJ1393">
            <v>0.25</v>
          </cell>
          <cell r="AK1393">
            <v>0.25</v>
          </cell>
          <cell r="AL1393">
            <v>0.25</v>
          </cell>
          <cell r="AM1393">
            <v>0.25</v>
          </cell>
          <cell r="AN1393">
            <v>0.25</v>
          </cell>
          <cell r="AO1393">
            <v>0.25</v>
          </cell>
          <cell r="AP1393">
            <v>0.25</v>
          </cell>
          <cell r="AQ1393">
            <v>0.25</v>
          </cell>
          <cell r="AR1393">
            <v>0.25</v>
          </cell>
          <cell r="AS1393">
            <v>0.25</v>
          </cell>
          <cell r="AT1393">
            <v>-0.04</v>
          </cell>
          <cell r="AU1393">
            <v>0.92</v>
          </cell>
          <cell r="AV1393">
            <v>20</v>
          </cell>
          <cell r="AZ1393">
            <v>0.25</v>
          </cell>
          <cell r="BA1393">
            <v>0.25</v>
          </cell>
        </row>
        <row r="1394">
          <cell r="A1394" t="str">
            <v>IRON TECH DI MARINI MAURO</v>
          </cell>
          <cell r="D1394" t="str">
            <v xml:space="preserve">VIA ENZO FERRARI </v>
          </cell>
          <cell r="E1394" t="str">
            <v>04016</v>
          </cell>
          <cell r="F1394" t="str">
            <v>SABAUDIA</v>
          </cell>
          <cell r="G1394" t="str">
            <v>LT</v>
          </cell>
          <cell r="H1394" t="str">
            <v>ITALIA</v>
          </cell>
          <cell r="J1394" t="str">
            <v>02760600599</v>
          </cell>
          <cell r="M1394" t="str">
            <v>UFFICIO ACQUISTI</v>
          </cell>
          <cell r="N1394" t="str">
            <v>328 2839614</v>
          </cell>
          <cell r="P1394" t="str">
            <v>irontechdimarinimauro@gmail.com</v>
          </cell>
          <cell r="R1394" t="str">
            <v>BONIFICO BANCARIO, ALLA DATA DELLA NOSTRA CONFERMA D'ORDINE</v>
          </cell>
          <cell r="X1394">
            <v>0.25</v>
          </cell>
          <cell r="Y1394">
            <v>-0.04</v>
          </cell>
          <cell r="AB1394">
            <v>0.25</v>
          </cell>
          <cell r="AC1394">
            <v>0.25</v>
          </cell>
          <cell r="AD1394">
            <v>0.25</v>
          </cell>
          <cell r="AE1394">
            <v>0.25</v>
          </cell>
          <cell r="AF1394">
            <v>0.25</v>
          </cell>
          <cell r="AG1394">
            <v>0.25</v>
          </cell>
          <cell r="AH1394">
            <v>0.25</v>
          </cell>
          <cell r="AI1394">
            <v>0.25</v>
          </cell>
          <cell r="AJ1394">
            <v>0.25</v>
          </cell>
          <cell r="AK1394">
            <v>0.25</v>
          </cell>
          <cell r="AL1394">
            <v>0.25</v>
          </cell>
          <cell r="AM1394">
            <v>0.25</v>
          </cell>
          <cell r="AN1394">
            <v>0.25</v>
          </cell>
          <cell r="AO1394">
            <v>0.25</v>
          </cell>
          <cell r="AP1394">
            <v>0.25</v>
          </cell>
          <cell r="AQ1394">
            <v>0.25</v>
          </cell>
          <cell r="AR1394">
            <v>0.25</v>
          </cell>
          <cell r="AS1394">
            <v>0.25</v>
          </cell>
          <cell r="AT1394">
            <v>-0.04</v>
          </cell>
          <cell r="AU1394">
            <v>0.92</v>
          </cell>
          <cell r="AV1394">
            <v>20</v>
          </cell>
          <cell r="AY1394" t="str">
            <v/>
          </cell>
          <cell r="AZ1394">
            <v>0.25</v>
          </cell>
          <cell r="BA1394">
            <v>0.25</v>
          </cell>
        </row>
        <row r="1395">
          <cell r="A1395" t="str">
            <v>IRON2000 SERRAMENTI</v>
          </cell>
          <cell r="D1395" t="str">
            <v>VIA DEGLI EMIGRANTI, 126</v>
          </cell>
          <cell r="E1395">
            <v>88046</v>
          </cell>
          <cell r="F1395" t="str">
            <v>LAMEZIA TERME</v>
          </cell>
          <cell r="G1395" t="str">
            <v>CZ</v>
          </cell>
          <cell r="H1395" t="str">
            <v>ITALIA</v>
          </cell>
          <cell r="J1395" t="str">
            <v>02226640791</v>
          </cell>
          <cell r="M1395" t="str">
            <v>UFFICIO ACQUISTI</v>
          </cell>
          <cell r="O1395" t="str">
            <v>339 3540547 -  338 9983000</v>
          </cell>
          <cell r="P1395" t="str">
            <v>iron2000infissi@libero.it</v>
          </cell>
          <cell r="R1395" t="str">
            <v>BONIFICO BANCARIO, ALLA DATA DELLA NOSTRA CONFERMA D'ORDINE</v>
          </cell>
          <cell r="X1395">
            <v>0.25</v>
          </cell>
          <cell r="Y1395">
            <v>-0.04</v>
          </cell>
          <cell r="AB1395">
            <v>0.25</v>
          </cell>
          <cell r="AC1395">
            <v>0.25</v>
          </cell>
          <cell r="AD1395">
            <v>0.25</v>
          </cell>
          <cell r="AE1395">
            <v>0.25</v>
          </cell>
          <cell r="AF1395">
            <v>0.25</v>
          </cell>
          <cell r="AG1395">
            <v>0.25</v>
          </cell>
          <cell r="AH1395">
            <v>0.25</v>
          </cell>
          <cell r="AI1395">
            <v>0.25</v>
          </cell>
          <cell r="AJ1395">
            <v>0.25</v>
          </cell>
          <cell r="AK1395">
            <v>0.25</v>
          </cell>
          <cell r="AL1395">
            <v>0.25</v>
          </cell>
          <cell r="AM1395">
            <v>0.25</v>
          </cell>
          <cell r="AN1395">
            <v>0.25</v>
          </cell>
          <cell r="AO1395">
            <v>0.25</v>
          </cell>
          <cell r="AP1395">
            <v>0.25</v>
          </cell>
          <cell r="AQ1395">
            <v>0.25</v>
          </cell>
          <cell r="AR1395">
            <v>0.25</v>
          </cell>
          <cell r="AS1395">
            <v>0.25</v>
          </cell>
          <cell r="AT1395">
            <v>-0.04</v>
          </cell>
          <cell r="AU1395">
            <v>0.92</v>
          </cell>
          <cell r="AV1395">
            <v>20</v>
          </cell>
          <cell r="AW1395" t="str">
            <v>PIETRO OLIVADOTI</v>
          </cell>
          <cell r="AX1395">
            <v>0.95</v>
          </cell>
          <cell r="AY1395" t="str">
            <v/>
          </cell>
          <cell r="AZ1395">
            <v>0.25</v>
          </cell>
          <cell r="BA1395">
            <v>0.25</v>
          </cell>
        </row>
        <row r="1396">
          <cell r="A1396" t="str">
            <v>IS METAL SRL</v>
          </cell>
          <cell r="B1396" t="str">
            <v>30/03/23 NON SONO INTERESSATI</v>
          </cell>
          <cell r="D1396" t="str">
            <v>LOCALITA' PONTE VEZZOLA</v>
          </cell>
          <cell r="E1396" t="str">
            <v>64100</v>
          </cell>
          <cell r="F1396" t="str">
            <v>TERAMO</v>
          </cell>
          <cell r="G1396" t="str">
            <v>TE</v>
          </cell>
          <cell r="H1396" t="str">
            <v>ITALIA</v>
          </cell>
          <cell r="J1396" t="str">
            <v>01637690676</v>
          </cell>
          <cell r="M1396" t="str">
            <v>UFFICIO ACQUISTI</v>
          </cell>
          <cell r="N1396" t="str">
            <v>0861 286127</v>
          </cell>
          <cell r="O1396" t="str">
            <v>347 9404687 - 339 8385964</v>
          </cell>
          <cell r="P1396" t="str">
            <v>info@ismetal.it</v>
          </cell>
          <cell r="R1396" t="str">
            <v>BONIFICO BANCARIO, ALLA DATA DELLA NOSTRA CONFERMA D'ORDINE</v>
          </cell>
          <cell r="X1396">
            <v>0.25</v>
          </cell>
          <cell r="Y1396">
            <v>-0.04</v>
          </cell>
          <cell r="AB1396">
            <v>0.25</v>
          </cell>
          <cell r="AC1396">
            <v>0.25</v>
          </cell>
          <cell r="AD1396">
            <v>0.25</v>
          </cell>
          <cell r="AE1396">
            <v>0.25</v>
          </cell>
          <cell r="AF1396">
            <v>0.25</v>
          </cell>
          <cell r="AG1396">
            <v>0.25</v>
          </cell>
          <cell r="AH1396">
            <v>0.25</v>
          </cell>
          <cell r="AI1396">
            <v>0.25</v>
          </cell>
          <cell r="AJ1396">
            <v>0.25</v>
          </cell>
          <cell r="AK1396">
            <v>0.25</v>
          </cell>
          <cell r="AL1396">
            <v>0.25</v>
          </cell>
          <cell r="AM1396">
            <v>0.25</v>
          </cell>
          <cell r="AN1396">
            <v>0.25</v>
          </cell>
          <cell r="AO1396">
            <v>0.25</v>
          </cell>
          <cell r="AP1396">
            <v>0.25</v>
          </cell>
          <cell r="AQ1396">
            <v>0.25</v>
          </cell>
          <cell r="AR1396">
            <v>0.25</v>
          </cell>
          <cell r="AS1396">
            <v>0.25</v>
          </cell>
          <cell r="AT1396">
            <v>-0.04</v>
          </cell>
          <cell r="AU1396">
            <v>0.92</v>
          </cell>
          <cell r="AV1396">
            <v>20</v>
          </cell>
          <cell r="AZ1396">
            <v>0.25</v>
          </cell>
          <cell r="BA1396">
            <v>0.25</v>
          </cell>
        </row>
        <row r="1397">
          <cell r="A1397" t="str">
            <v>ISAL SYSTEM SRL</v>
          </cell>
          <cell r="B1397" t="str">
            <v>POTREBBE</v>
          </cell>
          <cell r="D1397" t="str">
            <v>VIA F.M. MALFATTI, 61/63</v>
          </cell>
          <cell r="F1397" t="str">
            <v>VAZIA</v>
          </cell>
          <cell r="G1397" t="str">
            <v>RI</v>
          </cell>
          <cell r="H1397" t="str">
            <v>ITALIA</v>
          </cell>
          <cell r="J1397" t="str">
            <v>00769430570</v>
          </cell>
          <cell r="M1397" t="str">
            <v>UFFICIO ACQUISTI</v>
          </cell>
          <cell r="N1397" t="str">
            <v>0746 221251</v>
          </cell>
          <cell r="P1397" t="str">
            <v>segreteria@isalsystem.com</v>
          </cell>
          <cell r="R1397" t="str">
            <v>BONIFICO BANCARIO, ALLA DATA DELLA NOSTRA CONFERMA D'ORDINE</v>
          </cell>
          <cell r="Y1397">
            <v>-0.04</v>
          </cell>
          <cell r="AT1397">
            <v>-0.04</v>
          </cell>
          <cell r="AV1397">
            <v>20</v>
          </cell>
          <cell r="AZ1397">
            <v>0</v>
          </cell>
          <cell r="BA1397">
            <v>0</v>
          </cell>
        </row>
        <row r="1398">
          <cell r="A1398" t="str">
            <v>ISERMAN SRL</v>
          </cell>
          <cell r="D1398" t="str">
            <v>VIA EMILIA, 4</v>
          </cell>
          <cell r="E1398">
            <v>56021</v>
          </cell>
          <cell r="F1398" t="str">
            <v>CASCINA</v>
          </cell>
          <cell r="G1398" t="str">
            <v>PI</v>
          </cell>
          <cell r="H1398" t="str">
            <v>ITALIA</v>
          </cell>
          <cell r="J1398" t="str">
            <v>02352200501</v>
          </cell>
          <cell r="K1398" t="str">
            <v>KRRH6B9</v>
          </cell>
          <cell r="M1398" t="str">
            <v>UFFICIO ACQUISTI</v>
          </cell>
          <cell r="O1398" t="str">
            <v>Maurizio Merlotto 348 8737159</v>
          </cell>
          <cell r="P1398" t="str">
            <v>posta@iserman.it</v>
          </cell>
          <cell r="R1398" t="str">
            <v>BONIFICO BANCARIO, ALLA DATA DELLA NOSTRA CONFERMA D'ORDINE</v>
          </cell>
          <cell r="X1398">
            <v>0.25</v>
          </cell>
          <cell r="Y1398">
            <v>-0.04</v>
          </cell>
          <cell r="AB1398">
            <v>0.25</v>
          </cell>
          <cell r="AC1398">
            <v>0.25</v>
          </cell>
          <cell r="AD1398">
            <v>0.25</v>
          </cell>
          <cell r="AE1398">
            <v>0.25</v>
          </cell>
          <cell r="AF1398">
            <v>0.25</v>
          </cell>
          <cell r="AG1398">
            <v>0.25</v>
          </cell>
          <cell r="AH1398">
            <v>0.25</v>
          </cell>
          <cell r="AI1398">
            <v>0.25</v>
          </cell>
          <cell r="AJ1398">
            <v>0.25</v>
          </cell>
          <cell r="AK1398">
            <v>0.25</v>
          </cell>
          <cell r="AL1398">
            <v>0.25</v>
          </cell>
          <cell r="AM1398">
            <v>0.25</v>
          </cell>
          <cell r="AN1398">
            <v>0.25</v>
          </cell>
          <cell r="AO1398">
            <v>0.25</v>
          </cell>
          <cell r="AP1398">
            <v>0.25</v>
          </cell>
          <cell r="AQ1398">
            <v>0.25</v>
          </cell>
          <cell r="AR1398">
            <v>0.25</v>
          </cell>
          <cell r="AS1398">
            <v>0.25</v>
          </cell>
          <cell r="AT1398">
            <v>-0.04</v>
          </cell>
          <cell r="AU1398">
            <v>0.92</v>
          </cell>
          <cell r="AV1398">
            <v>20</v>
          </cell>
          <cell r="AY1398" t="str">
            <v/>
          </cell>
          <cell r="AZ1398">
            <v>0.25</v>
          </cell>
          <cell r="BA1398">
            <v>0.25</v>
          </cell>
          <cell r="BF1398" t="str">
            <v>CLICK RAPID con carpenteria 21/12/2020</v>
          </cell>
        </row>
        <row r="1399">
          <cell r="A1399" t="str">
            <v>ISOLALLUMINIO SRL</v>
          </cell>
          <cell r="D1399" t="str">
            <v>S.S. 106 LOC. OVILE SPINOSO</v>
          </cell>
          <cell r="E1399" t="str">
            <v>88841</v>
          </cell>
          <cell r="F1399" t="str">
            <v>IS. DI CAPO RIZZUTO</v>
          </cell>
          <cell r="G1399" t="str">
            <v>KR</v>
          </cell>
          <cell r="H1399" t="str">
            <v>ITALIA</v>
          </cell>
          <cell r="J1399" t="str">
            <v>01767960790</v>
          </cell>
          <cell r="M1399" t="str">
            <v>UFFICIO ACQUISTI</v>
          </cell>
          <cell r="R1399" t="str">
            <v>BONIFICO BANCARIO, ALLA DATA DELLA NOSTRA CONFERMA D'ORDINE</v>
          </cell>
          <cell r="X1399">
            <v>0.25</v>
          </cell>
          <cell r="Y1399">
            <v>-0.04</v>
          </cell>
          <cell r="AB1399">
            <v>0.25</v>
          </cell>
          <cell r="AC1399">
            <v>0.25</v>
          </cell>
          <cell r="AD1399">
            <v>0.25</v>
          </cell>
          <cell r="AE1399">
            <v>0.25</v>
          </cell>
          <cell r="AF1399">
            <v>0.25</v>
          </cell>
          <cell r="AG1399">
            <v>0.25</v>
          </cell>
          <cell r="AH1399">
            <v>0.25</v>
          </cell>
          <cell r="AI1399">
            <v>0.25</v>
          </cell>
          <cell r="AJ1399">
            <v>0.25</v>
          </cell>
          <cell r="AK1399">
            <v>0.25</v>
          </cell>
          <cell r="AL1399">
            <v>0.25</v>
          </cell>
          <cell r="AM1399">
            <v>0.25</v>
          </cell>
          <cell r="AN1399">
            <v>0.25</v>
          </cell>
          <cell r="AO1399">
            <v>0.25</v>
          </cell>
          <cell r="AP1399">
            <v>0.25</v>
          </cell>
          <cell r="AQ1399">
            <v>0.25</v>
          </cell>
          <cell r="AR1399">
            <v>0.25</v>
          </cell>
          <cell r="AS1399">
            <v>0.25</v>
          </cell>
          <cell r="AT1399">
            <v>-0.04</v>
          </cell>
          <cell r="AU1399">
            <v>1.92</v>
          </cell>
          <cell r="AV1399">
            <v>20</v>
          </cell>
          <cell r="AW1399" t="str">
            <v>PIETRO OLIVADOTI</v>
          </cell>
          <cell r="AX1399">
            <v>0.95</v>
          </cell>
          <cell r="AZ1399">
            <v>0.25</v>
          </cell>
          <cell r="BA1399">
            <v>0.25</v>
          </cell>
        </row>
        <row r="1400">
          <cell r="A1400" t="str">
            <v>ISOLANDIA</v>
          </cell>
          <cell r="D1400" t="str">
            <v>VIA LARGO CASINI, 17</v>
          </cell>
          <cell r="E1400">
            <v>16043</v>
          </cell>
          <cell r="F1400" t="str">
            <v>CHIAVARI</v>
          </cell>
          <cell r="G1400" t="str">
            <v>GE</v>
          </cell>
          <cell r="H1400" t="str">
            <v>ITALIA</v>
          </cell>
          <cell r="J1400" t="str">
            <v>0220970998</v>
          </cell>
          <cell r="M1400" t="str">
            <v>UFFICIO ACQUISTI</v>
          </cell>
          <cell r="N1400" t="str">
            <v>0185 314130</v>
          </cell>
          <cell r="O1400" t="str">
            <v>391 7640054</v>
          </cell>
          <cell r="P1400" t="str">
            <v>info@finestraplus.com</v>
          </cell>
          <cell r="R1400" t="str">
            <v>BONIFICO BANCARIO, ALLA DATA DELLA NOSTRA CONFERMA D'ORDINE</v>
          </cell>
          <cell r="X1400">
            <v>0.25</v>
          </cell>
          <cell r="Y1400">
            <v>-0.04</v>
          </cell>
          <cell r="AB1400">
            <v>0.25</v>
          </cell>
          <cell r="AC1400">
            <v>0.25</v>
          </cell>
          <cell r="AD1400">
            <v>0.25</v>
          </cell>
          <cell r="AE1400">
            <v>0.25</v>
          </cell>
          <cell r="AF1400">
            <v>0.25</v>
          </cell>
          <cell r="AG1400">
            <v>0.25</v>
          </cell>
          <cell r="AH1400">
            <v>0.25</v>
          </cell>
          <cell r="AI1400">
            <v>0.25</v>
          </cell>
          <cell r="AJ1400">
            <v>0.25</v>
          </cell>
          <cell r="AK1400">
            <v>0.25</v>
          </cell>
          <cell r="AL1400">
            <v>0.25</v>
          </cell>
          <cell r="AM1400">
            <v>0.25</v>
          </cell>
          <cell r="AN1400">
            <v>0.25</v>
          </cell>
          <cell r="AO1400">
            <v>0.25</v>
          </cell>
          <cell r="AP1400">
            <v>0.25</v>
          </cell>
          <cell r="AQ1400">
            <v>0.25</v>
          </cell>
          <cell r="AR1400">
            <v>0.25</v>
          </cell>
          <cell r="AS1400">
            <v>0.25</v>
          </cell>
          <cell r="AT1400">
            <v>-0.04</v>
          </cell>
          <cell r="AU1400">
            <v>0.92</v>
          </cell>
          <cell r="AV1400">
            <v>20</v>
          </cell>
          <cell r="AY1400" t="str">
            <v/>
          </cell>
          <cell r="AZ1400">
            <v>0.25</v>
          </cell>
          <cell r="BA1400">
            <v>0.25</v>
          </cell>
        </row>
        <row r="1401">
          <cell r="A1401" t="str">
            <v>ISOSER SRL</v>
          </cell>
          <cell r="D1401" t="str">
            <v>VIALE DANTE ALIGHIERI, 21</v>
          </cell>
          <cell r="E1401" t="str">
            <v>24058</v>
          </cell>
          <cell r="F1401" t="str">
            <v>ROMANO DI LOMBARDIA</v>
          </cell>
          <cell r="G1401" t="str">
            <v>BG</v>
          </cell>
          <cell r="H1401" t="str">
            <v>ITALIA</v>
          </cell>
          <cell r="J1401" t="str">
            <v>018364320168</v>
          </cell>
          <cell r="M1401" t="str">
            <v>UFFICIO ACQUISTI</v>
          </cell>
          <cell r="N1401" t="str">
            <v>0363 910087</v>
          </cell>
          <cell r="P1401" t="str">
            <v>isoser@alice.it</v>
          </cell>
          <cell r="R1401" t="str">
            <v>BONIFICO BANCARIO, ALLA DATA DELLA NOSTRA CONFERMA D'ORDINE</v>
          </cell>
          <cell r="X1401">
            <v>0.2</v>
          </cell>
          <cell r="Y1401">
            <v>-0.04</v>
          </cell>
          <cell r="AB1401">
            <v>0.2</v>
          </cell>
          <cell r="AC1401">
            <v>0.2</v>
          </cell>
          <cell r="AD1401">
            <v>0.2</v>
          </cell>
          <cell r="AE1401">
            <v>0.2</v>
          </cell>
          <cell r="AF1401">
            <v>0.2</v>
          </cell>
          <cell r="AG1401">
            <v>0.2</v>
          </cell>
          <cell r="AH1401">
            <v>0.2</v>
          </cell>
          <cell r="AI1401">
            <v>0.2</v>
          </cell>
          <cell r="AJ1401">
            <v>0.2</v>
          </cell>
          <cell r="AK1401">
            <v>0.2</v>
          </cell>
          <cell r="AL1401">
            <v>0.2</v>
          </cell>
          <cell r="AM1401">
            <v>0.2</v>
          </cell>
          <cell r="AN1401">
            <v>0.2</v>
          </cell>
          <cell r="AO1401">
            <v>0.2</v>
          </cell>
          <cell r="AP1401">
            <v>0.2</v>
          </cell>
          <cell r="AQ1401">
            <v>0.2</v>
          </cell>
          <cell r="AR1401">
            <v>0.2</v>
          </cell>
          <cell r="AS1401">
            <v>0.2</v>
          </cell>
          <cell r="AT1401">
            <v>-0.04</v>
          </cell>
          <cell r="AU1401">
            <v>0.92</v>
          </cell>
          <cell r="AV1401">
            <v>20</v>
          </cell>
          <cell r="AZ1401">
            <v>0.2</v>
          </cell>
          <cell r="BA1401">
            <v>0.2</v>
          </cell>
        </row>
        <row r="1402">
          <cell r="A1402" t="str">
            <v>ITA SRL</v>
          </cell>
          <cell r="D1402" t="str">
            <v>VIA VALDINIEVOLE 43</v>
          </cell>
          <cell r="E1402" t="str">
            <v>00141</v>
          </cell>
          <cell r="F1402" t="str">
            <v>ROMA</v>
          </cell>
          <cell r="G1402" t="str">
            <v>RM</v>
          </cell>
          <cell r="H1402" t="str">
            <v>ITALIA</v>
          </cell>
          <cell r="M1402" t="str">
            <v>UFFICIO ACQUISTI</v>
          </cell>
          <cell r="N1402" t="str">
            <v>06 87182426</v>
          </cell>
          <cell r="P1402" t="str">
            <v>info@ita-srl.it</v>
          </cell>
          <cell r="R1402" t="str">
            <v>BONIFICO BANCARIO, ALLA DATA DELLA NOSTRA CONFERMA D'ORDINE</v>
          </cell>
          <cell r="X1402">
            <v>0.25</v>
          </cell>
          <cell r="Y1402">
            <v>-0.04</v>
          </cell>
          <cell r="AB1402">
            <v>0.25</v>
          </cell>
          <cell r="AC1402">
            <v>0.25</v>
          </cell>
          <cell r="AD1402">
            <v>0.25</v>
          </cell>
          <cell r="AE1402">
            <v>0.25</v>
          </cell>
          <cell r="AF1402">
            <v>0.25</v>
          </cell>
          <cell r="AG1402">
            <v>0.25</v>
          </cell>
          <cell r="AH1402">
            <v>0.25</v>
          </cell>
          <cell r="AI1402">
            <v>0.25</v>
          </cell>
          <cell r="AJ1402">
            <v>0.25</v>
          </cell>
          <cell r="AK1402">
            <v>0.25</v>
          </cell>
          <cell r="AL1402">
            <v>0.25</v>
          </cell>
          <cell r="AM1402">
            <v>0.25</v>
          </cell>
          <cell r="AN1402">
            <v>0.25</v>
          </cell>
          <cell r="AO1402">
            <v>0.25</v>
          </cell>
          <cell r="AP1402">
            <v>0.25</v>
          </cell>
          <cell r="AQ1402">
            <v>0.25</v>
          </cell>
          <cell r="AR1402">
            <v>0.25</v>
          </cell>
          <cell r="AS1402">
            <v>0.25</v>
          </cell>
          <cell r="AT1402">
            <v>-0.04</v>
          </cell>
          <cell r="AU1402">
            <v>0.92</v>
          </cell>
          <cell r="AV1402">
            <v>20</v>
          </cell>
          <cell r="AY1402" t="str">
            <v/>
          </cell>
          <cell r="AZ1402">
            <v>0.25</v>
          </cell>
          <cell r="BA1402">
            <v>0.25</v>
          </cell>
        </row>
        <row r="1403">
          <cell r="A1403" t="str">
            <v>ITABITA INFISSI &amp; SERRAMENTI</v>
          </cell>
          <cell r="B1403" t="str">
            <v>SOLO BIGLIETTO DA VISITA</v>
          </cell>
          <cell r="D1403" t="str">
            <v>PREDDA NIEDDA SUD, STR.38</v>
          </cell>
          <cell r="E1403" t="str">
            <v>07100</v>
          </cell>
          <cell r="F1403" t="str">
            <v>SASSARI</v>
          </cell>
          <cell r="G1403" t="str">
            <v>SS</v>
          </cell>
          <cell r="H1403" t="str">
            <v>ITALIA</v>
          </cell>
          <cell r="L1403" t="str">
            <v>VIALE MONASTIR, 178 - CAGLIARI 070 530247</v>
          </cell>
          <cell r="M1403" t="str">
            <v>UFFICIO ACQUISTI</v>
          </cell>
          <cell r="N1403" t="str">
            <v>079 262551</v>
          </cell>
          <cell r="O1403" t="str">
            <v>334 3224488 GIANCARLO ROSSETTI AREA MANAGER</v>
          </cell>
          <cell r="P1403" t="str">
            <v>info@itabita.it</v>
          </cell>
          <cell r="R1403" t="str">
            <v>BONIFICO BANCARIO, ALLA DATA DELLA NOSTRA CONFERMA D'ORDINE</v>
          </cell>
          <cell r="X1403">
            <v>0.25</v>
          </cell>
          <cell r="Y1403">
            <v>-0.04</v>
          </cell>
          <cell r="AB1403">
            <v>0.25</v>
          </cell>
          <cell r="AC1403">
            <v>0.25</v>
          </cell>
          <cell r="AD1403">
            <v>0.25</v>
          </cell>
          <cell r="AE1403">
            <v>0.25</v>
          </cell>
          <cell r="AF1403">
            <v>0.25</v>
          </cell>
          <cell r="AG1403">
            <v>0.25</v>
          </cell>
          <cell r="AH1403">
            <v>0.25</v>
          </cell>
          <cell r="AI1403">
            <v>0.25</v>
          </cell>
          <cell r="AJ1403">
            <v>0.25</v>
          </cell>
          <cell r="AK1403">
            <v>0.25</v>
          </cell>
          <cell r="AL1403">
            <v>0.25</v>
          </cell>
          <cell r="AM1403">
            <v>0.25</v>
          </cell>
          <cell r="AN1403">
            <v>0.25</v>
          </cell>
          <cell r="AO1403">
            <v>0.25</v>
          </cell>
          <cell r="AP1403">
            <v>0.25</v>
          </cell>
          <cell r="AQ1403">
            <v>0.25</v>
          </cell>
          <cell r="AR1403">
            <v>0.25</v>
          </cell>
          <cell r="AS1403">
            <v>0.25</v>
          </cell>
          <cell r="AT1403">
            <v>-0.04</v>
          </cell>
          <cell r="AU1403">
            <v>0.92</v>
          </cell>
          <cell r="AV1403">
            <v>20</v>
          </cell>
          <cell r="AZ1403">
            <v>0.25</v>
          </cell>
          <cell r="BA1403">
            <v>0.25</v>
          </cell>
        </row>
        <row r="1404">
          <cell r="A1404" t="str">
            <v>ITAL SRLS</v>
          </cell>
          <cell r="B1404" t="str">
            <v>CI PENSANO</v>
          </cell>
          <cell r="D1404" t="str">
            <v>VIA TORRENTE, 9 C</v>
          </cell>
          <cell r="E1404" t="str">
            <v>02100</v>
          </cell>
          <cell r="F1404" t="str">
            <v>RIETI</v>
          </cell>
          <cell r="G1404" t="str">
            <v>RI</v>
          </cell>
          <cell r="H1404" t="str">
            <v>ITALIA</v>
          </cell>
          <cell r="J1404" t="str">
            <v>01164040576</v>
          </cell>
          <cell r="M1404" t="str">
            <v>UFFICIO ACQUISTI</v>
          </cell>
          <cell r="O1404" t="str">
            <v>328 6824592</v>
          </cell>
          <cell r="P1404" t="str">
            <v>italinfissi17@gmail.com</v>
          </cell>
          <cell r="R1404" t="str">
            <v>BONIFICO BANCARIO, ALLA DATA DELLA NOSTRA CONFERMA D'ORDINE</v>
          </cell>
          <cell r="Y1404">
            <v>-0.04</v>
          </cell>
          <cell r="AT1404">
            <v>-0.04</v>
          </cell>
          <cell r="AV1404">
            <v>20</v>
          </cell>
          <cell r="AZ1404">
            <v>0</v>
          </cell>
          <cell r="BA1404">
            <v>0</v>
          </cell>
        </row>
        <row r="1405">
          <cell r="A1405" t="str">
            <v>ITALFER DI BONATI TIZIANO &amp; C.</v>
          </cell>
          <cell r="D1405" t="str">
            <v>VIA TIONE, 33</v>
          </cell>
          <cell r="E1405">
            <v>37010</v>
          </cell>
          <cell r="F1405" t="str">
            <v>PASTREGNO VERONA</v>
          </cell>
          <cell r="G1405" t="str">
            <v>VR</v>
          </cell>
          <cell r="H1405" t="str">
            <v>ITALIA</v>
          </cell>
          <cell r="J1405" t="str">
            <v>03455950232</v>
          </cell>
          <cell r="M1405" t="str">
            <v>UFFICIO ACQUISTI</v>
          </cell>
          <cell r="N1405" t="str">
            <v>045 6770612</v>
          </cell>
          <cell r="O1405" t="str">
            <v xml:space="preserve"> Tiziano 347 4240997</v>
          </cell>
          <cell r="P1405" t="str">
            <v>italfer@adsl.it</v>
          </cell>
          <cell r="R1405" t="str">
            <v>BONIFICO BANCARIO, ALLA DATA DELLA NOSTRA CONFERMA D'ORDINE</v>
          </cell>
          <cell r="X1405">
            <v>0.25</v>
          </cell>
          <cell r="Y1405">
            <v>-0.04</v>
          </cell>
          <cell r="AB1405">
            <v>0.25</v>
          </cell>
          <cell r="AC1405">
            <v>0.25</v>
          </cell>
          <cell r="AD1405">
            <v>0.25</v>
          </cell>
          <cell r="AE1405">
            <v>0.25</v>
          </cell>
          <cell r="AF1405">
            <v>0.25</v>
          </cell>
          <cell r="AG1405">
            <v>0.25</v>
          </cell>
          <cell r="AH1405">
            <v>0.25</v>
          </cell>
          <cell r="AI1405">
            <v>0.25</v>
          </cell>
          <cell r="AJ1405">
            <v>0.25</v>
          </cell>
          <cell r="AK1405">
            <v>0.25</v>
          </cell>
          <cell r="AL1405">
            <v>0.25</v>
          </cell>
          <cell r="AM1405">
            <v>0.25</v>
          </cell>
          <cell r="AN1405">
            <v>0.25</v>
          </cell>
          <cell r="AO1405">
            <v>0.25</v>
          </cell>
          <cell r="AP1405">
            <v>0.25</v>
          </cell>
          <cell r="AQ1405">
            <v>0.25</v>
          </cell>
          <cell r="AR1405">
            <v>0.25</v>
          </cell>
          <cell r="AS1405">
            <v>0.25</v>
          </cell>
          <cell r="AT1405">
            <v>-0.04</v>
          </cell>
          <cell r="AU1405">
            <v>0.92</v>
          </cell>
          <cell r="AV1405">
            <v>20</v>
          </cell>
          <cell r="AY1405" t="str">
            <v/>
          </cell>
          <cell r="AZ1405">
            <v>0.25</v>
          </cell>
          <cell r="BA1405">
            <v>0.25</v>
          </cell>
        </row>
        <row r="1406">
          <cell r="A1406" t="str">
            <v>ITALFERRAMENTA DI AFFATICATI FLAVIANO</v>
          </cell>
          <cell r="B1406" t="str">
            <v>21/03/23 STA CHIUDENDO ATTIVITA'</v>
          </cell>
          <cell r="D1406" t="str">
            <v>VIA GALLUZZI, 2 A</v>
          </cell>
          <cell r="E1406" t="str">
            <v>29016</v>
          </cell>
          <cell r="F1406" t="str">
            <v>CORTEMAGGIORE</v>
          </cell>
          <cell r="G1406" t="str">
            <v>PC</v>
          </cell>
          <cell r="H1406" t="str">
            <v>ITALIA</v>
          </cell>
          <cell r="J1406" t="str">
            <v>01076460334</v>
          </cell>
          <cell r="M1406" t="str">
            <v>UFFICIO ACQUISTI</v>
          </cell>
          <cell r="N1406" t="str">
            <v>0523 836496</v>
          </cell>
          <cell r="R1406" t="str">
            <v>BONIFICO BANCARIO, ALLA DATA DELLA NOSTRA CONFERMA D'ORDINE</v>
          </cell>
          <cell r="Y1406">
            <v>-0.04</v>
          </cell>
          <cell r="AT1406">
            <v>-0.04</v>
          </cell>
          <cell r="AV1406">
            <v>20</v>
          </cell>
          <cell r="AZ1406">
            <v>0</v>
          </cell>
          <cell r="BA1406">
            <v>0</v>
          </cell>
        </row>
        <row r="1407">
          <cell r="A1407" t="str">
            <v>ITALMABER SNC</v>
          </cell>
          <cell r="D1407" t="str">
            <v>VIA 51° STORMO , 7 A</v>
          </cell>
          <cell r="E1407">
            <v>36016</v>
          </cell>
          <cell r="F1407" t="str">
            <v>THIENE</v>
          </cell>
          <cell r="G1407" t="str">
            <v>VI</v>
          </cell>
          <cell r="H1407" t="str">
            <v>ITALIA</v>
          </cell>
          <cell r="I1407" t="str">
            <v>03710000245</v>
          </cell>
          <cell r="J1407" t="str">
            <v>03710000245</v>
          </cell>
          <cell r="M1407" t="str">
            <v>UFFICIO ACQUISTI</v>
          </cell>
          <cell r="N1407" t="str">
            <v>0445 372223</v>
          </cell>
          <cell r="O1407" t="str">
            <v>Gianpaolo Berto 340 3601915</v>
          </cell>
          <cell r="P1407" t="str">
            <v>info@italmaber.it</v>
          </cell>
          <cell r="R1407" t="str">
            <v>BONIFICO BANCARIO, ALLA DATA DELLA NOSTRA CONFERMA D'ORDINE</v>
          </cell>
          <cell r="X1407">
            <v>0.25</v>
          </cell>
          <cell r="Y1407">
            <v>-0.04</v>
          </cell>
          <cell r="AB1407">
            <v>0.25</v>
          </cell>
          <cell r="AC1407">
            <v>0.25</v>
          </cell>
          <cell r="AD1407">
            <v>0.25</v>
          </cell>
          <cell r="AE1407">
            <v>0.25</v>
          </cell>
          <cell r="AF1407">
            <v>0.25</v>
          </cell>
          <cell r="AG1407">
            <v>0.25</v>
          </cell>
          <cell r="AH1407">
            <v>0.25</v>
          </cell>
          <cell r="AI1407">
            <v>0.25</v>
          </cell>
          <cell r="AJ1407">
            <v>0.25</v>
          </cell>
          <cell r="AK1407">
            <v>0.25</v>
          </cell>
          <cell r="AL1407">
            <v>0.25</v>
          </cell>
          <cell r="AM1407">
            <v>0.25</v>
          </cell>
          <cell r="AN1407">
            <v>0.25</v>
          </cell>
          <cell r="AO1407">
            <v>0.25</v>
          </cell>
          <cell r="AP1407">
            <v>0.25</v>
          </cell>
          <cell r="AQ1407">
            <v>0.25</v>
          </cell>
          <cell r="AR1407">
            <v>0.25</v>
          </cell>
          <cell r="AS1407">
            <v>0.25</v>
          </cell>
          <cell r="AT1407">
            <v>-0.04</v>
          </cell>
          <cell r="AU1407">
            <v>0.92</v>
          </cell>
          <cell r="AV1407">
            <v>20</v>
          </cell>
          <cell r="AY1407" t="str">
            <v/>
          </cell>
          <cell r="AZ1407">
            <v>0.25</v>
          </cell>
          <cell r="BA1407">
            <v>0.25</v>
          </cell>
        </row>
        <row r="1408">
          <cell r="A1408" t="str">
            <v>ITALSER SNC</v>
          </cell>
          <cell r="D1408" t="str">
            <v>VIA DELL'ARTIGIANATO 7</v>
          </cell>
          <cell r="E1408" t="str">
            <v>30020</v>
          </cell>
          <cell r="F1408" t="str">
            <v>MARCON</v>
          </cell>
          <cell r="G1408" t="str">
            <v>VE</v>
          </cell>
          <cell r="H1408" t="str">
            <v>ITALIA</v>
          </cell>
          <cell r="J1408" t="str">
            <v>00315350272</v>
          </cell>
          <cell r="M1408" t="str">
            <v>UFFICIO ACQUISTI</v>
          </cell>
          <cell r="N1408" t="str">
            <v>334 1468798</v>
          </cell>
          <cell r="P1408" t="str">
            <v>info@italser.net</v>
          </cell>
          <cell r="R1408" t="str">
            <v>BONIFICO BANCARIO, ALLA DATA DELLA NOSTRA CONFERMA D'ORDINE</v>
          </cell>
          <cell r="X1408">
            <v>0.25</v>
          </cell>
          <cell r="Y1408">
            <v>-0.04</v>
          </cell>
          <cell r="AB1408">
            <v>0.25</v>
          </cell>
          <cell r="AC1408">
            <v>0.25</v>
          </cell>
          <cell r="AD1408">
            <v>0.25</v>
          </cell>
          <cell r="AE1408">
            <v>0.25</v>
          </cell>
          <cell r="AF1408">
            <v>0.25</v>
          </cell>
          <cell r="AG1408">
            <v>0.25</v>
          </cell>
          <cell r="AH1408">
            <v>0.25</v>
          </cell>
          <cell r="AI1408">
            <v>0.25</v>
          </cell>
          <cell r="AJ1408">
            <v>0.25</v>
          </cell>
          <cell r="AK1408">
            <v>0.25</v>
          </cell>
          <cell r="AL1408">
            <v>0.25</v>
          </cell>
          <cell r="AM1408">
            <v>0.25</v>
          </cell>
          <cell r="AN1408">
            <v>0.25</v>
          </cell>
          <cell r="AO1408">
            <v>0.25</v>
          </cell>
          <cell r="AP1408">
            <v>0.25</v>
          </cell>
          <cell r="AQ1408">
            <v>0.25</v>
          </cell>
          <cell r="AR1408">
            <v>0.25</v>
          </cell>
          <cell r="AS1408">
            <v>0.25</v>
          </cell>
          <cell r="AT1408">
            <v>-0.04</v>
          </cell>
          <cell r="AU1408">
            <v>0.92</v>
          </cell>
          <cell r="AV1408">
            <v>20</v>
          </cell>
          <cell r="AY1408" t="str">
            <v/>
          </cell>
          <cell r="AZ1408">
            <v>0.25</v>
          </cell>
          <cell r="BA1408">
            <v>0.25</v>
          </cell>
        </row>
        <row r="1409">
          <cell r="A1409" t="str">
            <v>ITALSER SNC</v>
          </cell>
          <cell r="D1409" t="str">
            <v>VIA SPOTORNO, 41</v>
          </cell>
          <cell r="E1409">
            <v>17011</v>
          </cell>
          <cell r="F1409" t="str">
            <v>ALBISOLA SUPERIORE</v>
          </cell>
          <cell r="G1409" t="str">
            <v>SV</v>
          </cell>
          <cell r="H1409" t="str">
            <v>ITALIA</v>
          </cell>
          <cell r="J1409" t="str">
            <v>01472600095</v>
          </cell>
          <cell r="M1409" t="str">
            <v>UFFICIO ACQUISTI</v>
          </cell>
          <cell r="N1409" t="str">
            <v>019 489182</v>
          </cell>
          <cell r="P1409" t="str">
            <v>italser@gmail.com</v>
          </cell>
          <cell r="R1409" t="str">
            <v>BONIFICO BANCARIO, ALLA DATA DELLA NOSTRA CONFERMA D'ORDINE</v>
          </cell>
          <cell r="X1409">
            <v>0.25</v>
          </cell>
          <cell r="Y1409">
            <v>-0.04</v>
          </cell>
          <cell r="AB1409">
            <v>0.25</v>
          </cell>
          <cell r="AC1409">
            <v>0.25</v>
          </cell>
          <cell r="AD1409">
            <v>0.25</v>
          </cell>
          <cell r="AE1409">
            <v>0.25</v>
          </cell>
          <cell r="AF1409">
            <v>0.25</v>
          </cell>
          <cell r="AG1409">
            <v>0.25</v>
          </cell>
          <cell r="AH1409">
            <v>0.25</v>
          </cell>
          <cell r="AI1409">
            <v>0.25</v>
          </cell>
          <cell r="AJ1409">
            <v>0.25</v>
          </cell>
          <cell r="AK1409">
            <v>0.25</v>
          </cell>
          <cell r="AL1409">
            <v>0.25</v>
          </cell>
          <cell r="AM1409">
            <v>0.25</v>
          </cell>
          <cell r="AN1409">
            <v>0.25</v>
          </cell>
          <cell r="AO1409">
            <v>0.25</v>
          </cell>
          <cell r="AP1409">
            <v>0.25</v>
          </cell>
          <cell r="AQ1409">
            <v>0.25</v>
          </cell>
          <cell r="AR1409">
            <v>0.25</v>
          </cell>
          <cell r="AS1409">
            <v>0.25</v>
          </cell>
          <cell r="AT1409">
            <v>-0.04</v>
          </cell>
          <cell r="AU1409">
            <v>0.92</v>
          </cell>
          <cell r="AV1409">
            <v>20</v>
          </cell>
          <cell r="AY1409" t="str">
            <v/>
          </cell>
          <cell r="AZ1409">
            <v>0.25</v>
          </cell>
          <cell r="BA1409">
            <v>0.25</v>
          </cell>
        </row>
        <row r="1410">
          <cell r="A1410" t="str">
            <v>ITALSER SNC</v>
          </cell>
          <cell r="D1410" t="str">
            <v>CORSO ROMA, 86</v>
          </cell>
          <cell r="E1410">
            <v>20093</v>
          </cell>
          <cell r="F1410" t="str">
            <v>COLOGNO M.</v>
          </cell>
          <cell r="G1410" t="str">
            <v>MI</v>
          </cell>
          <cell r="H1410" t="str">
            <v>ITALIA</v>
          </cell>
          <cell r="M1410" t="str">
            <v>UFFICIO ACQUISTI</v>
          </cell>
          <cell r="N1410" t="str">
            <v>02 45483936</v>
          </cell>
          <cell r="P1410" t="str">
            <v>commerciale@italser.com</v>
          </cell>
          <cell r="R1410" t="str">
            <v>BONIFICO BANCARIO, ALLA DATA DELLA NOSTRA CONFERMA D'ORDINE</v>
          </cell>
          <cell r="X1410">
            <v>0.25</v>
          </cell>
          <cell r="Y1410">
            <v>-0.04</v>
          </cell>
          <cell r="AB1410">
            <v>0.25</v>
          </cell>
          <cell r="AC1410">
            <v>0.25</v>
          </cell>
          <cell r="AD1410">
            <v>0.25</v>
          </cell>
          <cell r="AE1410">
            <v>0.25</v>
          </cell>
          <cell r="AF1410">
            <v>0.25</v>
          </cell>
          <cell r="AG1410">
            <v>0.25</v>
          </cell>
          <cell r="AH1410">
            <v>0.25</v>
          </cell>
          <cell r="AI1410">
            <v>0.25</v>
          </cell>
          <cell r="AJ1410">
            <v>0.25</v>
          </cell>
          <cell r="AK1410">
            <v>0.25</v>
          </cell>
          <cell r="AL1410">
            <v>0.25</v>
          </cell>
          <cell r="AM1410">
            <v>0.25</v>
          </cell>
          <cell r="AN1410">
            <v>0.25</v>
          </cell>
          <cell r="AO1410">
            <v>0.25</v>
          </cell>
          <cell r="AP1410">
            <v>0.25</v>
          </cell>
          <cell r="AQ1410">
            <v>0.25</v>
          </cell>
          <cell r="AR1410">
            <v>0.25</v>
          </cell>
          <cell r="AS1410">
            <v>0.25</v>
          </cell>
          <cell r="AT1410">
            <v>-0.04</v>
          </cell>
          <cell r="AU1410">
            <v>0.92</v>
          </cell>
          <cell r="AV1410">
            <v>20</v>
          </cell>
          <cell r="AZ1410">
            <v>0.25</v>
          </cell>
          <cell r="BA1410">
            <v>0.25</v>
          </cell>
        </row>
        <row r="1411">
          <cell r="A1411" t="str">
            <v xml:space="preserve">ITALSERRAMENTI </v>
          </cell>
          <cell r="B1411" t="str">
            <v>23/11/2020 DA UN'OCCHIATA AL LISTINO RICHIAMARE PASSAFARO DOMENICO 07/12 NON HANNO RICHIESTA. E DICE CHE SI RIVOLGE GIA' A NS RAPPRESENTANTE IN CALABRIA</v>
          </cell>
          <cell r="D1411" t="str">
            <v>VIA MOSCA, 21</v>
          </cell>
          <cell r="E1411">
            <v>88841</v>
          </cell>
          <cell r="F1411" t="str">
            <v>IS. DI CAPO RIZZUTO</v>
          </cell>
          <cell r="G1411" t="str">
            <v>KR</v>
          </cell>
          <cell r="H1411" t="str">
            <v>ITALIA</v>
          </cell>
          <cell r="J1411" t="str">
            <v>03554440796</v>
          </cell>
          <cell r="K1411" t="str">
            <v>6EWHWLT</v>
          </cell>
          <cell r="M1411" t="str">
            <v>UFFICIO ACQUISTI</v>
          </cell>
          <cell r="N1411" t="str">
            <v>0962 2791611</v>
          </cell>
          <cell r="O1411" t="str">
            <v>339 1457813 Domenico</v>
          </cell>
          <cell r="P1411" t="str">
            <v>italserramenti012@libero.it</v>
          </cell>
          <cell r="R1411" t="str">
            <v>BONIFICO BANCARIO, ALLA DATA DELLA NOSTRA CONFERMA D'ORDINE</v>
          </cell>
          <cell r="X1411">
            <v>0.25</v>
          </cell>
          <cell r="Y1411">
            <v>-0.04</v>
          </cell>
          <cell r="AB1411">
            <v>0.25</v>
          </cell>
          <cell r="AC1411">
            <v>0.25</v>
          </cell>
          <cell r="AD1411">
            <v>0.25</v>
          </cell>
          <cell r="AE1411">
            <v>0.25</v>
          </cell>
          <cell r="AF1411">
            <v>0.25</v>
          </cell>
          <cell r="AG1411">
            <v>0.25</v>
          </cell>
          <cell r="AH1411">
            <v>0.25</v>
          </cell>
          <cell r="AI1411">
            <v>0.25</v>
          </cell>
          <cell r="AJ1411">
            <v>0.25</v>
          </cell>
          <cell r="AK1411">
            <v>0.25</v>
          </cell>
          <cell r="AL1411">
            <v>0.25</v>
          </cell>
          <cell r="AM1411">
            <v>0.25</v>
          </cell>
          <cell r="AN1411">
            <v>0.25</v>
          </cell>
          <cell r="AO1411">
            <v>0.25</v>
          </cell>
          <cell r="AP1411">
            <v>0.25</v>
          </cell>
          <cell r="AQ1411">
            <v>0.25</v>
          </cell>
          <cell r="AR1411">
            <v>0.25</v>
          </cell>
          <cell r="AS1411">
            <v>0.25</v>
          </cell>
          <cell r="AT1411">
            <v>-0.04</v>
          </cell>
          <cell r="AU1411">
            <v>0.92</v>
          </cell>
          <cell r="AV1411">
            <v>20</v>
          </cell>
          <cell r="AW1411" t="str">
            <v>PIETRO OLIVADOTI</v>
          </cell>
          <cell r="AX1411">
            <v>0.95</v>
          </cell>
          <cell r="AY1411" t="str">
            <v/>
          </cell>
          <cell r="AZ1411">
            <v>0.25</v>
          </cell>
          <cell r="BA1411">
            <v>0.25</v>
          </cell>
        </row>
        <row r="1412">
          <cell r="A1412" t="str">
            <v>ITALSERRAMENTI ANDREA GALLI</v>
          </cell>
          <cell r="B1412" t="str">
            <v xml:space="preserve"> VIA CASELLE,31 - SAN  ZENO 0302160606 VIA DEGLI ASTRI, 42-RM 335 7303996</v>
          </cell>
          <cell r="D1412" t="str">
            <v>VIA CAMPAGNOLA, 2/F</v>
          </cell>
          <cell r="E1412" t="str">
            <v>25032</v>
          </cell>
          <cell r="F1412" t="str">
            <v>CHIARI</v>
          </cell>
          <cell r="G1412" t="str">
            <v>BS</v>
          </cell>
          <cell r="H1412" t="str">
            <v>ITALIA</v>
          </cell>
          <cell r="J1412" t="str">
            <v>02021610981</v>
          </cell>
          <cell r="M1412" t="str">
            <v>UFFICIO ACQUISTI</v>
          </cell>
          <cell r="N1412" t="str">
            <v>030 7013901</v>
          </cell>
          <cell r="P1412" t="str">
            <v>andreagalli@italserramenti.it</v>
          </cell>
          <cell r="R1412" t="str">
            <v>BONIFICO BANCARIO, ALLA DATA DELLA NOSTRA CONFERMA D'ORDINE</v>
          </cell>
          <cell r="X1412">
            <v>0.2</v>
          </cell>
          <cell r="Y1412">
            <v>-0.04</v>
          </cell>
          <cell r="AB1412">
            <v>0.2</v>
          </cell>
          <cell r="AC1412">
            <v>0.2</v>
          </cell>
          <cell r="AD1412">
            <v>0.2</v>
          </cell>
          <cell r="AE1412">
            <v>0.2</v>
          </cell>
          <cell r="AF1412">
            <v>0.2</v>
          </cell>
          <cell r="AG1412">
            <v>0.2</v>
          </cell>
          <cell r="AH1412">
            <v>0.2</v>
          </cell>
          <cell r="AI1412">
            <v>0.2</v>
          </cell>
          <cell r="AJ1412">
            <v>0.2</v>
          </cell>
          <cell r="AK1412">
            <v>0.2</v>
          </cell>
          <cell r="AL1412">
            <v>0.2</v>
          </cell>
          <cell r="AM1412">
            <v>0.2</v>
          </cell>
          <cell r="AN1412">
            <v>0.2</v>
          </cell>
          <cell r="AO1412">
            <v>0.2</v>
          </cell>
          <cell r="AP1412">
            <v>0.2</v>
          </cell>
          <cell r="AQ1412">
            <v>0.2</v>
          </cell>
          <cell r="AR1412">
            <v>0.2</v>
          </cell>
          <cell r="AS1412">
            <v>0.2</v>
          </cell>
          <cell r="AT1412">
            <v>-0.04</v>
          </cell>
          <cell r="AU1412">
            <v>0.92</v>
          </cell>
          <cell r="AV1412">
            <v>20</v>
          </cell>
          <cell r="AZ1412">
            <v>0.2</v>
          </cell>
          <cell r="BA1412">
            <v>0.2</v>
          </cell>
        </row>
        <row r="1413">
          <cell r="A1413" t="str">
            <v>ITALSERRAMENTI SAS</v>
          </cell>
          <cell r="B1413" t="str">
            <v>CAMPIONE TENUTA ACQUA</v>
          </cell>
          <cell r="D1413" t="str">
            <v>VIA AMMAN, 26</v>
          </cell>
          <cell r="E1413" t="str">
            <v>33084</v>
          </cell>
          <cell r="F1413" t="str">
            <v>CORDENONS</v>
          </cell>
          <cell r="G1413" t="str">
            <v>PN</v>
          </cell>
          <cell r="H1413" t="str">
            <v>ITALIA</v>
          </cell>
          <cell r="J1413" t="str">
            <v>00629820937</v>
          </cell>
          <cell r="K1413" t="str">
            <v>USAL8PV</v>
          </cell>
          <cell r="M1413" t="str">
            <v>UFFICIO ACQUISTI</v>
          </cell>
          <cell r="N1413" t="str">
            <v>0434 541242</v>
          </cell>
          <cell r="O1413" t="str">
            <v>348 2626398</v>
          </cell>
          <cell r="P1413" t="str">
            <v>info@italserramentipn.com</v>
          </cell>
          <cell r="R1413" t="str">
            <v>BONIFICO BANCARIO, ALLA DATA DELLA NOSTRA CONFERMA D'ORDINE</v>
          </cell>
          <cell r="X1413">
            <v>0.25</v>
          </cell>
          <cell r="Y1413">
            <v>-0.04</v>
          </cell>
          <cell r="AB1413">
            <v>0.25</v>
          </cell>
          <cell r="AC1413">
            <v>0.25</v>
          </cell>
          <cell r="AD1413">
            <v>0.25</v>
          </cell>
          <cell r="AE1413">
            <v>0.25</v>
          </cell>
          <cell r="AF1413">
            <v>0.25</v>
          </cell>
          <cell r="AG1413">
            <v>0.25</v>
          </cell>
          <cell r="AH1413">
            <v>0.25</v>
          </cell>
          <cell r="AI1413">
            <v>0.25</v>
          </cell>
          <cell r="AJ1413">
            <v>0.25</v>
          </cell>
          <cell r="AK1413">
            <v>0.25</v>
          </cell>
          <cell r="AL1413">
            <v>0.25</v>
          </cell>
          <cell r="AM1413">
            <v>0.25</v>
          </cell>
          <cell r="AN1413">
            <v>0.25</v>
          </cell>
          <cell r="AO1413">
            <v>0.25</v>
          </cell>
          <cell r="AP1413">
            <v>0.25</v>
          </cell>
          <cell r="AQ1413">
            <v>0.25</v>
          </cell>
          <cell r="AR1413">
            <v>0.25</v>
          </cell>
          <cell r="AS1413">
            <v>0.25</v>
          </cell>
          <cell r="AT1413">
            <v>-0.04</v>
          </cell>
          <cell r="AU1413">
            <v>0.92</v>
          </cell>
          <cell r="AV1413">
            <v>20</v>
          </cell>
          <cell r="AZ1413">
            <v>0.25</v>
          </cell>
          <cell r="BA1413">
            <v>0.25</v>
          </cell>
        </row>
        <row r="1414">
          <cell r="A1414" t="str">
            <v>ITALTECNO</v>
          </cell>
          <cell r="D1414" t="str">
            <v>VIA CONCA 5</v>
          </cell>
          <cell r="E1414">
            <v>83037</v>
          </cell>
          <cell r="F1414" t="str">
            <v>MONTECALVO IRPINO</v>
          </cell>
          <cell r="G1414" t="str">
            <v>AV</v>
          </cell>
          <cell r="H1414" t="str">
            <v>ITALIA</v>
          </cell>
          <cell r="J1414" t="str">
            <v>02805450646</v>
          </cell>
          <cell r="M1414" t="str">
            <v>UFFICIO ACQUISTI</v>
          </cell>
          <cell r="N1414" t="str">
            <v>0825 818466</v>
          </cell>
          <cell r="O1414" t="str">
            <v>342 7182616</v>
          </cell>
          <cell r="P1414" t="str">
            <v>italtecnoservice@gmail.com</v>
          </cell>
          <cell r="R1414" t="str">
            <v>BONIFICO BANCARIO, ALLA DATA DELLA NOSTRA CONFERMA D'ORDINE</v>
          </cell>
          <cell r="X1414">
            <v>0.25</v>
          </cell>
          <cell r="Y1414">
            <v>-0.04</v>
          </cell>
          <cell r="AB1414">
            <v>0.25</v>
          </cell>
          <cell r="AC1414">
            <v>0.25</v>
          </cell>
          <cell r="AD1414">
            <v>0.25</v>
          </cell>
          <cell r="AE1414">
            <v>0.25</v>
          </cell>
          <cell r="AF1414">
            <v>0.25</v>
          </cell>
          <cell r="AG1414">
            <v>0.25</v>
          </cell>
          <cell r="AH1414">
            <v>0.25</v>
          </cell>
          <cell r="AI1414">
            <v>0.25</v>
          </cell>
          <cell r="AJ1414">
            <v>0.25</v>
          </cell>
          <cell r="AK1414">
            <v>0.25</v>
          </cell>
          <cell r="AL1414">
            <v>0.25</v>
          </cell>
          <cell r="AM1414">
            <v>0.25</v>
          </cell>
          <cell r="AN1414">
            <v>0.25</v>
          </cell>
          <cell r="AO1414">
            <v>0.25</v>
          </cell>
          <cell r="AP1414">
            <v>0.25</v>
          </cell>
          <cell r="AQ1414">
            <v>0.25</v>
          </cell>
          <cell r="AR1414">
            <v>0.25</v>
          </cell>
          <cell r="AS1414">
            <v>0.25</v>
          </cell>
          <cell r="AT1414">
            <v>-0.04</v>
          </cell>
          <cell r="AU1414">
            <v>0.92</v>
          </cell>
          <cell r="AV1414">
            <v>20</v>
          </cell>
          <cell r="AY1414" t="str">
            <v/>
          </cell>
          <cell r="AZ1414">
            <v>0.25</v>
          </cell>
          <cell r="BA1414">
            <v>0.25</v>
          </cell>
        </row>
        <row r="1415">
          <cell r="A1415" t="str">
            <v>JARIA METALLINFISSI</v>
          </cell>
          <cell r="D1415" t="str">
            <v>VIA DEL SANTO, 108  114</v>
          </cell>
          <cell r="E1415">
            <v>98124</v>
          </cell>
          <cell r="F1415" t="str">
            <v>MESSINA</v>
          </cell>
          <cell r="G1415" t="str">
            <v>ME</v>
          </cell>
          <cell r="H1415" t="str">
            <v>ITALIA</v>
          </cell>
          <cell r="J1415" t="str">
            <v>02113730838</v>
          </cell>
          <cell r="M1415" t="str">
            <v>UFFICIO ACQUISTI</v>
          </cell>
          <cell r="N1415" t="str">
            <v>090 695110</v>
          </cell>
          <cell r="O1415" t="str">
            <v>329 4123118</v>
          </cell>
          <cell r="R1415" t="str">
            <v>BONIFICO BANCARIO, ALLA DATA DELLA NOSTRA CONFERMA D'ORDINE</v>
          </cell>
          <cell r="X1415">
            <v>0.25</v>
          </cell>
          <cell r="Y1415">
            <v>-0.04</v>
          </cell>
          <cell r="AB1415">
            <v>0.25</v>
          </cell>
          <cell r="AC1415">
            <v>0.25</v>
          </cell>
          <cell r="AD1415">
            <v>0.25</v>
          </cell>
          <cell r="AE1415">
            <v>0.25</v>
          </cell>
          <cell r="AF1415">
            <v>0.25</v>
          </cell>
          <cell r="AG1415">
            <v>0.25</v>
          </cell>
          <cell r="AH1415">
            <v>0.25</v>
          </cell>
          <cell r="AI1415">
            <v>0.25</v>
          </cell>
          <cell r="AJ1415">
            <v>0.25</v>
          </cell>
          <cell r="AK1415">
            <v>0.25</v>
          </cell>
          <cell r="AL1415">
            <v>0.25</v>
          </cell>
          <cell r="AM1415">
            <v>0.25</v>
          </cell>
          <cell r="AN1415">
            <v>0.25</v>
          </cell>
          <cell r="AO1415">
            <v>0.25</v>
          </cell>
          <cell r="AP1415">
            <v>0.25</v>
          </cell>
          <cell r="AQ1415">
            <v>0.25</v>
          </cell>
          <cell r="AR1415">
            <v>0.25</v>
          </cell>
          <cell r="AS1415">
            <v>0.25</v>
          </cell>
          <cell r="AT1415">
            <v>-0.04</v>
          </cell>
          <cell r="AU1415">
            <v>0.92</v>
          </cell>
          <cell r="AV1415">
            <v>20</v>
          </cell>
          <cell r="AY1415" t="str">
            <v/>
          </cell>
          <cell r="AZ1415">
            <v>0.25</v>
          </cell>
          <cell r="BA1415">
            <v>0.25</v>
          </cell>
        </row>
        <row r="1416">
          <cell r="A1416" t="str">
            <v>JOMOS BRANDSCHUTZ AG</v>
          </cell>
          <cell r="D1416" t="str">
            <v>SAGMATTSTRASSE 5</v>
          </cell>
          <cell r="E1416" t="str">
            <v>4710</v>
          </cell>
          <cell r="F1416" t="str">
            <v>BAHLSTHAL</v>
          </cell>
          <cell r="H1416" t="str">
            <v>SVIZZERA</v>
          </cell>
          <cell r="J1416" t="str">
            <v>CHE 108188178</v>
          </cell>
          <cell r="K1416" t="str">
            <v>XXXXXXX</v>
          </cell>
          <cell r="M1416" t="str">
            <v>UFFICIO ACQUISTI</v>
          </cell>
          <cell r="N1416" t="str">
            <v>+41 623861804</v>
          </cell>
          <cell r="O1416" t="str">
            <v>+41 795927757</v>
          </cell>
          <cell r="P1416" t="str">
            <v>marco.tschudin@jomos.ch</v>
          </cell>
          <cell r="R1416" t="str">
            <v>BANK TRANSFER, ON THE DATE OF OUR ORDER CONFIRMATION</v>
          </cell>
          <cell r="X1416">
            <v>0</v>
          </cell>
          <cell r="Y1416">
            <v>0</v>
          </cell>
          <cell r="AB1416">
            <v>0</v>
          </cell>
          <cell r="AC1416">
            <v>0</v>
          </cell>
          <cell r="AD1416">
            <v>0</v>
          </cell>
          <cell r="AE1416">
            <v>0</v>
          </cell>
          <cell r="AF1416">
            <v>0</v>
          </cell>
          <cell r="AG1416">
            <v>0</v>
          </cell>
          <cell r="AH1416">
            <v>0</v>
          </cell>
          <cell r="AI1416">
            <v>0</v>
          </cell>
          <cell r="AJ1416">
            <v>0</v>
          </cell>
          <cell r="AK1416">
            <v>0</v>
          </cell>
          <cell r="AL1416">
            <v>0</v>
          </cell>
          <cell r="AM1416">
            <v>0.35</v>
          </cell>
          <cell r="AN1416">
            <v>0</v>
          </cell>
          <cell r="AO1416">
            <v>0.35</v>
          </cell>
          <cell r="AP1416">
            <v>0</v>
          </cell>
          <cell r="AU1416">
            <v>0.73</v>
          </cell>
          <cell r="AV1416">
            <v>20</v>
          </cell>
          <cell r="AZ1416">
            <v>0</v>
          </cell>
          <cell r="BA1416">
            <v>0</v>
          </cell>
        </row>
        <row r="1417">
          <cell r="A1417" t="str">
            <v>KASA INFISSI</v>
          </cell>
          <cell r="B1417" t="str">
            <v>GEOM.CANTARELLI FRANCESCO</v>
          </cell>
          <cell r="D1417" t="str">
            <v>VIA PRINCIPE DI PIEMONTE, 61D</v>
          </cell>
          <cell r="E1417" t="str">
            <v>07046</v>
          </cell>
          <cell r="F1417" t="str">
            <v>PORTO TORRES</v>
          </cell>
          <cell r="G1417" t="str">
            <v>SS</v>
          </cell>
          <cell r="H1417" t="str">
            <v>ITALIA</v>
          </cell>
          <cell r="M1417" t="str">
            <v>UFFICIO ACQUISTI</v>
          </cell>
          <cell r="N1417" t="str">
            <v>079 9330307</v>
          </cell>
          <cell r="O1417" t="str">
            <v>328 3660776 FRANCESCO CANTARELLI</v>
          </cell>
          <cell r="P1417" t="str">
            <v>francescocantarelli55@gmail.com</v>
          </cell>
          <cell r="R1417" t="str">
            <v>BONIFICO BANCARIO, ALLA DATA DELLA NOSTRA CONFERMA D'ORDINE</v>
          </cell>
          <cell r="X1417">
            <v>0.2</v>
          </cell>
          <cell r="Y1417">
            <v>-0.04</v>
          </cell>
          <cell r="AB1417">
            <v>0.2</v>
          </cell>
          <cell r="AC1417">
            <v>0.2</v>
          </cell>
          <cell r="AD1417">
            <v>0.2</v>
          </cell>
          <cell r="AE1417">
            <v>0.2</v>
          </cell>
          <cell r="AF1417">
            <v>0.2</v>
          </cell>
          <cell r="AG1417">
            <v>0.2</v>
          </cell>
          <cell r="AH1417">
            <v>0.2</v>
          </cell>
          <cell r="AI1417">
            <v>0.2</v>
          </cell>
          <cell r="AJ1417">
            <v>0.2</v>
          </cell>
          <cell r="AK1417">
            <v>0.2</v>
          </cell>
          <cell r="AL1417">
            <v>0.2</v>
          </cell>
          <cell r="AM1417">
            <v>0.2</v>
          </cell>
          <cell r="AN1417">
            <v>0.2</v>
          </cell>
          <cell r="AO1417">
            <v>0.2</v>
          </cell>
          <cell r="AP1417">
            <v>0.2</v>
          </cell>
          <cell r="AQ1417">
            <v>0.2</v>
          </cell>
          <cell r="AR1417">
            <v>0.2</v>
          </cell>
          <cell r="AS1417">
            <v>0.2</v>
          </cell>
          <cell r="AT1417">
            <v>-0.04</v>
          </cell>
          <cell r="AU1417">
            <v>0.92</v>
          </cell>
          <cell r="AV1417">
            <v>20</v>
          </cell>
          <cell r="AZ1417">
            <v>0.2</v>
          </cell>
          <cell r="BA1417">
            <v>0.2</v>
          </cell>
        </row>
        <row r="1418">
          <cell r="A1418" t="str">
            <v>KEYS CONTRACT S.R.L.</v>
          </cell>
          <cell r="D1418" t="str">
            <v>VIA GIUSEPPE DE GENNARO28</v>
          </cell>
          <cell r="E1418">
            <v>70020</v>
          </cell>
          <cell r="F1418" t="str">
            <v>BITETTO</v>
          </cell>
          <cell r="G1418" t="str">
            <v>BA</v>
          </cell>
          <cell r="H1418" t="str">
            <v>ITALIA</v>
          </cell>
          <cell r="J1418" t="str">
            <v>07106340727</v>
          </cell>
          <cell r="M1418" t="str">
            <v>UFFICIO ACQUISTI</v>
          </cell>
          <cell r="N1418" t="str">
            <v>080 3825621</v>
          </cell>
          <cell r="O1418" t="str">
            <v>3357602117</v>
          </cell>
          <cell r="P1418" t="str">
            <v>info@keyscontract.it</v>
          </cell>
          <cell r="R1418" t="str">
            <v>BONIFICO BANCARIO, ALLA DATA DELLA NOSTRA CONFERMA D'ORDINE</v>
          </cell>
          <cell r="X1418">
            <v>0.25</v>
          </cell>
          <cell r="Y1418">
            <v>-0.04</v>
          </cell>
          <cell r="AB1418">
            <v>0.25</v>
          </cell>
          <cell r="AC1418">
            <v>0.25</v>
          </cell>
          <cell r="AD1418">
            <v>0.25</v>
          </cell>
          <cell r="AE1418">
            <v>0.25</v>
          </cell>
          <cell r="AF1418">
            <v>0.25</v>
          </cell>
          <cell r="AG1418">
            <v>0.25</v>
          </cell>
          <cell r="AH1418">
            <v>0.25</v>
          </cell>
          <cell r="AI1418">
            <v>0.25</v>
          </cell>
          <cell r="AJ1418">
            <v>0.25</v>
          </cell>
          <cell r="AK1418">
            <v>0.25</v>
          </cell>
          <cell r="AL1418">
            <v>0.25</v>
          </cell>
          <cell r="AM1418">
            <v>0.25</v>
          </cell>
          <cell r="AN1418">
            <v>0.25</v>
          </cell>
          <cell r="AO1418">
            <v>0.25</v>
          </cell>
          <cell r="AP1418">
            <v>0.25</v>
          </cell>
          <cell r="AQ1418">
            <v>0.25</v>
          </cell>
          <cell r="AR1418">
            <v>0.25</v>
          </cell>
          <cell r="AS1418">
            <v>0.25</v>
          </cell>
          <cell r="AT1418">
            <v>-0.04</v>
          </cell>
          <cell r="AU1418">
            <v>0.92</v>
          </cell>
          <cell r="AV1418">
            <v>20</v>
          </cell>
          <cell r="AY1418" t="str">
            <v/>
          </cell>
          <cell r="AZ1418">
            <v>0.25</v>
          </cell>
          <cell r="BA1418">
            <v>0.25</v>
          </cell>
        </row>
        <row r="1419">
          <cell r="A1419" t="str">
            <v>KIMONO PORTE SRL</v>
          </cell>
          <cell r="D1419" t="str">
            <v>SPALTO GAMONDIO 27</v>
          </cell>
          <cell r="E1419" t="str">
            <v>15121</v>
          </cell>
          <cell r="F1419" t="str">
            <v>ALESSANDRIA</v>
          </cell>
          <cell r="G1419" t="str">
            <v>AL</v>
          </cell>
          <cell r="H1419" t="str">
            <v>ITALIA</v>
          </cell>
          <cell r="J1419" t="str">
            <v>02350100067</v>
          </cell>
          <cell r="M1419" t="str">
            <v>UFFICIO ACQUISTI</v>
          </cell>
          <cell r="N1419" t="str">
            <v>0131 443445</v>
          </cell>
          <cell r="P1419" t="str">
            <v>info@kimonoporte.it</v>
          </cell>
          <cell r="R1419" t="str">
            <v>BONIFICO BANCARIO, ALLA DATA DELLA NOSTRA CONFERMA D'ORDINE</v>
          </cell>
          <cell r="W1419" t="str">
            <v>ACQUA SALATA</v>
          </cell>
          <cell r="X1419">
            <v>0.25</v>
          </cell>
          <cell r="Y1419">
            <v>-0.04</v>
          </cell>
          <cell r="AB1419">
            <v>0.25</v>
          </cell>
          <cell r="AC1419">
            <v>0.25</v>
          </cell>
          <cell r="AD1419">
            <v>0.25</v>
          </cell>
          <cell r="AE1419">
            <v>0.25</v>
          </cell>
          <cell r="AF1419">
            <v>0.25</v>
          </cell>
          <cell r="AG1419">
            <v>0.25</v>
          </cell>
          <cell r="AH1419">
            <v>0.25</v>
          </cell>
          <cell r="AI1419">
            <v>0.25</v>
          </cell>
          <cell r="AJ1419">
            <v>0.25</v>
          </cell>
          <cell r="AK1419">
            <v>0.25</v>
          </cell>
          <cell r="AL1419">
            <v>0.25</v>
          </cell>
          <cell r="AM1419">
            <v>0.25</v>
          </cell>
          <cell r="AN1419">
            <v>0.25</v>
          </cell>
          <cell r="AO1419">
            <v>0.25</v>
          </cell>
          <cell r="AP1419">
            <v>0.25</v>
          </cell>
          <cell r="AQ1419">
            <v>0.25</v>
          </cell>
          <cell r="AR1419">
            <v>0.25</v>
          </cell>
          <cell r="AS1419">
            <v>0.25</v>
          </cell>
          <cell r="AT1419">
            <v>-0.04</v>
          </cell>
          <cell r="AU1419">
            <v>0.92</v>
          </cell>
          <cell r="AV1419">
            <v>20</v>
          </cell>
          <cell r="AY1419" t="str">
            <v/>
          </cell>
          <cell r="AZ1419">
            <v>0.25</v>
          </cell>
          <cell r="BA1419">
            <v>0.25</v>
          </cell>
        </row>
        <row r="1420">
          <cell r="A1420" t="str">
            <v>KIRSCHBAUM FENSTER &amp; ROLLADEN GMBH</v>
          </cell>
          <cell r="D1420" t="str">
            <v>VON HÜHNEFELD STR. 12</v>
          </cell>
          <cell r="E1420" t="str">
            <v>50829</v>
          </cell>
          <cell r="F1420" t="str">
            <v>KÖLN-OSSENDORF</v>
          </cell>
          <cell r="H1420" t="str">
            <v>GERMANIA</v>
          </cell>
          <cell r="J1420" t="str">
            <v>DE 122800584</v>
          </cell>
          <cell r="K1420" t="str">
            <v>XXXXXXX</v>
          </cell>
          <cell r="M1420" t="str">
            <v>UFFICIO ACQUISTI</v>
          </cell>
          <cell r="N1420" t="str">
            <v>+49 2219565750</v>
          </cell>
          <cell r="P1420" t="str">
            <v>sebastian.kopernik@kirschbaum-koeln.de</v>
          </cell>
          <cell r="R1420" t="str">
            <v>BANKÜBERWEISUNG, AM DATUM UNSERER AUFTRAGSBESTÄTIGUNG</v>
          </cell>
          <cell r="X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cell r="AO1420">
            <v>0</v>
          </cell>
          <cell r="AP1420">
            <v>0</v>
          </cell>
          <cell r="AQ1420">
            <v>0</v>
          </cell>
          <cell r="AR1420">
            <v>0</v>
          </cell>
          <cell r="AS1420">
            <v>0</v>
          </cell>
          <cell r="AU1420">
            <v>0.84</v>
          </cell>
          <cell r="AV1420">
            <v>20</v>
          </cell>
          <cell r="AZ1420">
            <v>0</v>
          </cell>
          <cell r="BA1420">
            <v>0</v>
          </cell>
          <cell r="BF1420" t="str">
            <v xml:space="preserve"> CLICK RAPID con espositore 18/01/2022 -MODERNA con espositore 27/02/2023</v>
          </cell>
        </row>
        <row r="1421">
          <cell r="A1421" t="str">
            <v>KLIMAINFISSI</v>
          </cell>
          <cell r="D1421" t="str">
            <v>VIA P.GIARDINI, 398 B</v>
          </cell>
          <cell r="E1421" t="str">
            <v>41125</v>
          </cell>
          <cell r="F1421" t="str">
            <v>MODENA</v>
          </cell>
          <cell r="G1421" t="str">
            <v>MO</v>
          </cell>
          <cell r="H1421" t="str">
            <v>ITALIA</v>
          </cell>
          <cell r="J1421" t="str">
            <v>03631420365</v>
          </cell>
          <cell r="M1421" t="str">
            <v>UFFICIO ACQUISTI</v>
          </cell>
          <cell r="N1421" t="str">
            <v>059 347387</v>
          </cell>
          <cell r="O1421" t="str">
            <v>335 6550224</v>
          </cell>
          <cell r="R1421" t="str">
            <v>BONIFICO BANCARIO, ALLA DATA DELLA NOSTRA CONFERMA D'ORDINE</v>
          </cell>
          <cell r="X1421">
            <v>0</v>
          </cell>
          <cell r="Y1421">
            <v>-0.04</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cell r="AO1421">
            <v>0</v>
          </cell>
          <cell r="AP1421">
            <v>0</v>
          </cell>
          <cell r="AQ1421">
            <v>0</v>
          </cell>
          <cell r="AR1421">
            <v>0</v>
          </cell>
          <cell r="AS1421">
            <v>0</v>
          </cell>
          <cell r="AT1421">
            <v>-0.04</v>
          </cell>
          <cell r="AU1421">
            <v>0.92</v>
          </cell>
          <cell r="AV1421">
            <v>20</v>
          </cell>
          <cell r="AZ1421">
            <v>0</v>
          </cell>
          <cell r="BA1421">
            <v>0</v>
          </cell>
        </row>
        <row r="1422">
          <cell r="A1422" t="str">
            <v>KOPRALL SRL</v>
          </cell>
          <cell r="D1422" t="str">
            <v>VIA ROMA, 157</v>
          </cell>
          <cell r="E1422" t="str">
            <v>80029</v>
          </cell>
          <cell r="F1422" t="str">
            <v>S.ANTIMO</v>
          </cell>
          <cell r="G1422" t="str">
            <v>NA</v>
          </cell>
          <cell r="H1422" t="str">
            <v>ITALIA</v>
          </cell>
          <cell r="J1422" t="str">
            <v>07645301214</v>
          </cell>
          <cell r="M1422" t="str">
            <v>UFFICIO ACQUISTI</v>
          </cell>
          <cell r="N1422" t="str">
            <v>081 5056705</v>
          </cell>
          <cell r="P1422" t="str">
            <v>info@koprall.it</v>
          </cell>
          <cell r="R1422" t="str">
            <v>BONIFICO BANCARIO, ALLA DATA DELLA NOSTRA CONFERMA D'ORDINE</v>
          </cell>
          <cell r="X1422">
            <v>0.25</v>
          </cell>
          <cell r="Y1422">
            <v>-0.04</v>
          </cell>
          <cell r="AB1422">
            <v>0.25</v>
          </cell>
          <cell r="AC1422">
            <v>0.25</v>
          </cell>
          <cell r="AD1422">
            <v>0.25</v>
          </cell>
          <cell r="AE1422">
            <v>0.25</v>
          </cell>
          <cell r="AF1422">
            <v>0.25</v>
          </cell>
          <cell r="AG1422">
            <v>0.25</v>
          </cell>
          <cell r="AH1422">
            <v>0.25</v>
          </cell>
          <cell r="AI1422">
            <v>0.25</v>
          </cell>
          <cell r="AJ1422">
            <v>0.25</v>
          </cell>
          <cell r="AK1422">
            <v>0.25</v>
          </cell>
          <cell r="AL1422">
            <v>0.25</v>
          </cell>
          <cell r="AM1422">
            <v>0.25</v>
          </cell>
          <cell r="AN1422">
            <v>0.25</v>
          </cell>
          <cell r="AO1422">
            <v>0.25</v>
          </cell>
          <cell r="AP1422">
            <v>0.25</v>
          </cell>
          <cell r="AQ1422">
            <v>0.25</v>
          </cell>
          <cell r="AR1422">
            <v>0.25</v>
          </cell>
          <cell r="AS1422">
            <v>0.25</v>
          </cell>
          <cell r="AT1422">
            <v>-0.04</v>
          </cell>
          <cell r="AU1422">
            <v>0.92</v>
          </cell>
          <cell r="AV1422">
            <v>20</v>
          </cell>
          <cell r="AY1422" t="str">
            <v/>
          </cell>
          <cell r="AZ1422">
            <v>0.25</v>
          </cell>
          <cell r="BA1422">
            <v>0.25</v>
          </cell>
        </row>
        <row r="1423">
          <cell r="A1423" t="str">
            <v>KOSMICA INFISSI</v>
          </cell>
          <cell r="D1423" t="str">
            <v>VIA SIGNORINI, 9</v>
          </cell>
          <cell r="E1423">
            <v>93012</v>
          </cell>
          <cell r="F1423" t="str">
            <v>GELA</v>
          </cell>
          <cell r="G1423" t="str">
            <v>CL</v>
          </cell>
          <cell r="H1423" t="str">
            <v>ITALIA</v>
          </cell>
          <cell r="M1423" t="str">
            <v>UFFICIO ACQUISTI</v>
          </cell>
          <cell r="O1423" t="str">
            <v>347 5975941 D'angeli Sultano</v>
          </cell>
          <cell r="R1423" t="str">
            <v>BONIFICO BANCARIO, ALLA DATA DELLA NOSTRA CONFERMA D'ORDINE</v>
          </cell>
          <cell r="X1423">
            <v>0.25</v>
          </cell>
          <cell r="Y1423">
            <v>-0.04</v>
          </cell>
          <cell r="AB1423">
            <v>0.25</v>
          </cell>
          <cell r="AC1423">
            <v>0.25</v>
          </cell>
          <cell r="AD1423">
            <v>0.25</v>
          </cell>
          <cell r="AE1423">
            <v>0.25</v>
          </cell>
          <cell r="AF1423">
            <v>0.25</v>
          </cell>
          <cell r="AG1423">
            <v>0.25</v>
          </cell>
          <cell r="AH1423">
            <v>0.25</v>
          </cell>
          <cell r="AI1423">
            <v>0.25</v>
          </cell>
          <cell r="AJ1423">
            <v>0.25</v>
          </cell>
          <cell r="AK1423">
            <v>0.25</v>
          </cell>
          <cell r="AL1423">
            <v>0.25</v>
          </cell>
          <cell r="AM1423">
            <v>0.25</v>
          </cell>
          <cell r="AN1423">
            <v>0.25</v>
          </cell>
          <cell r="AO1423">
            <v>0.25</v>
          </cell>
          <cell r="AP1423">
            <v>0.25</v>
          </cell>
          <cell r="AQ1423">
            <v>0.25</v>
          </cell>
          <cell r="AR1423">
            <v>0.25</v>
          </cell>
          <cell r="AS1423">
            <v>0.25</v>
          </cell>
          <cell r="AT1423">
            <v>-0.04</v>
          </cell>
          <cell r="AU1423">
            <v>0.92</v>
          </cell>
          <cell r="AV1423">
            <v>20</v>
          </cell>
          <cell r="AY1423" t="str">
            <v/>
          </cell>
          <cell r="AZ1423">
            <v>0.25</v>
          </cell>
          <cell r="BA1423">
            <v>0.25</v>
          </cell>
        </row>
        <row r="1424">
          <cell r="A1424" t="str">
            <v>KUREL SERRAMENTI</v>
          </cell>
          <cell r="B1424" t="str">
            <v>VIGILANTE DOMATTINA</v>
          </cell>
          <cell r="D1424" t="str">
            <v>VIA EUGENIO MASI, 1</v>
          </cell>
          <cell r="E1424" t="str">
            <v>71121</v>
          </cell>
          <cell r="F1424" t="str">
            <v>FOGGIA</v>
          </cell>
          <cell r="G1424" t="str">
            <v>FG</v>
          </cell>
          <cell r="H1424" t="str">
            <v>ITALIA</v>
          </cell>
          <cell r="J1424" t="str">
            <v>03888630716</v>
          </cell>
          <cell r="M1424" t="str">
            <v>UFFICIO ACQUISTI</v>
          </cell>
          <cell r="N1424" t="str">
            <v>0881 311320</v>
          </cell>
          <cell r="P1424" t="str">
            <v>info@kurelserramenti.com</v>
          </cell>
          <cell r="R1424" t="str">
            <v>BONIFICO BANCARIO, ALLA DATA DELLA NOSTRA CONFERMA D'ORDINE</v>
          </cell>
          <cell r="X1424">
            <v>0.2</v>
          </cell>
          <cell r="Y1424">
            <v>-0.04</v>
          </cell>
          <cell r="AB1424">
            <v>0.2</v>
          </cell>
          <cell r="AC1424">
            <v>0.2</v>
          </cell>
          <cell r="AD1424">
            <v>0.2</v>
          </cell>
          <cell r="AE1424">
            <v>0.2</v>
          </cell>
          <cell r="AF1424">
            <v>0.2</v>
          </cell>
          <cell r="AG1424">
            <v>0.2</v>
          </cell>
          <cell r="AH1424">
            <v>0.2</v>
          </cell>
          <cell r="AI1424">
            <v>0.2</v>
          </cell>
          <cell r="AJ1424">
            <v>0.2</v>
          </cell>
          <cell r="AK1424">
            <v>0.2</v>
          </cell>
          <cell r="AL1424">
            <v>0.2</v>
          </cell>
          <cell r="AM1424">
            <v>0.2</v>
          </cell>
          <cell r="AN1424">
            <v>0.2</v>
          </cell>
          <cell r="AO1424">
            <v>0.2</v>
          </cell>
          <cell r="AP1424">
            <v>0.2</v>
          </cell>
          <cell r="AQ1424">
            <v>0.2</v>
          </cell>
          <cell r="AR1424">
            <v>0.2</v>
          </cell>
          <cell r="AS1424">
            <v>0.2</v>
          </cell>
          <cell r="AT1424">
            <v>-0.04</v>
          </cell>
          <cell r="AU1424">
            <v>0.92</v>
          </cell>
          <cell r="AV1424">
            <v>20</v>
          </cell>
          <cell r="AZ1424">
            <v>0.2</v>
          </cell>
          <cell r="BA1424">
            <v>0.2</v>
          </cell>
        </row>
        <row r="1425">
          <cell r="A1425" t="str">
            <v>L &amp; B SERRAMENTI</v>
          </cell>
          <cell r="D1425" t="str">
            <v>VIA DELLA LONGURA, 6</v>
          </cell>
          <cell r="E1425">
            <v>20826</v>
          </cell>
          <cell r="F1425" t="str">
            <v>MISINTO</v>
          </cell>
          <cell r="G1425" t="str">
            <v>MB</v>
          </cell>
          <cell r="H1425" t="str">
            <v>ITALIA</v>
          </cell>
          <cell r="I1425" t="str">
            <v>LSCRCS60M14B966X</v>
          </cell>
          <cell r="J1425" t="str">
            <v>09979160968</v>
          </cell>
          <cell r="M1425" t="str">
            <v>UFFICIO ACQUISTI</v>
          </cell>
          <cell r="N1425" t="str">
            <v>02 96328415</v>
          </cell>
          <cell r="O1425" t="str">
            <v>393 9018177</v>
          </cell>
          <cell r="P1425" t="str">
            <v>info@lebserramenti.it</v>
          </cell>
          <cell r="R1425" t="str">
            <v>BONIFICO BANCARIO, ALLA DATA DELLA NOSTRA CONFERMA D'ORDINE</v>
          </cell>
          <cell r="X1425">
            <v>0.25</v>
          </cell>
          <cell r="Y1425">
            <v>-0.04</v>
          </cell>
          <cell r="AB1425">
            <v>0.25</v>
          </cell>
          <cell r="AC1425">
            <v>0.25</v>
          </cell>
          <cell r="AD1425">
            <v>0.25</v>
          </cell>
          <cell r="AE1425">
            <v>0.25</v>
          </cell>
          <cell r="AF1425">
            <v>0.25</v>
          </cell>
          <cell r="AG1425">
            <v>0.25</v>
          </cell>
          <cell r="AH1425">
            <v>0.25</v>
          </cell>
          <cell r="AI1425">
            <v>0.25</v>
          </cell>
          <cell r="AJ1425">
            <v>0.25</v>
          </cell>
          <cell r="AK1425">
            <v>0.25</v>
          </cell>
          <cell r="AL1425">
            <v>0.25</v>
          </cell>
          <cell r="AM1425">
            <v>0.25</v>
          </cell>
          <cell r="AN1425">
            <v>0.25</v>
          </cell>
          <cell r="AO1425">
            <v>0.25</v>
          </cell>
          <cell r="AP1425">
            <v>0.25</v>
          </cell>
          <cell r="AQ1425">
            <v>0.25</v>
          </cell>
          <cell r="AR1425">
            <v>0.25</v>
          </cell>
          <cell r="AS1425">
            <v>0.25</v>
          </cell>
          <cell r="AT1425">
            <v>-0.04</v>
          </cell>
          <cell r="AU1425">
            <v>0.92</v>
          </cell>
          <cell r="AV1425">
            <v>20</v>
          </cell>
          <cell r="AY1425" t="str">
            <v/>
          </cell>
          <cell r="AZ1425">
            <v>0.25</v>
          </cell>
          <cell r="BA1425">
            <v>0.25</v>
          </cell>
        </row>
        <row r="1426">
          <cell r="A1426" t="str">
            <v>L.A.F.  SERVIZI DI SCIABA' G.</v>
          </cell>
          <cell r="D1426" t="str">
            <v>VIA MESSINA</v>
          </cell>
          <cell r="E1426">
            <v>98158</v>
          </cell>
          <cell r="F1426" t="str">
            <v>FARO SUP.</v>
          </cell>
          <cell r="G1426" t="str">
            <v>ME</v>
          </cell>
          <cell r="H1426" t="str">
            <v>ITALIA</v>
          </cell>
          <cell r="I1426" t="str">
            <v>SCBGRZ65R53F158S</v>
          </cell>
          <cell r="J1426" t="str">
            <v>02928360839</v>
          </cell>
          <cell r="M1426" t="str">
            <v>UFFICIO ACQUISTI</v>
          </cell>
          <cell r="N1426" t="str">
            <v>090 388599</v>
          </cell>
          <cell r="O1426" t="str">
            <v>348 7612798 - 345 3067056</v>
          </cell>
          <cell r="P1426" t="str">
            <v>dittalaf@alice.it</v>
          </cell>
          <cell r="R1426" t="str">
            <v>BONIFICO BANCARIO, ALLA DATA DELLA NOSTRA CONFERMA D'ORDINE</v>
          </cell>
          <cell r="X1426">
            <v>0.25</v>
          </cell>
          <cell r="Y1426">
            <v>-0.04</v>
          </cell>
          <cell r="AB1426">
            <v>0.25</v>
          </cell>
          <cell r="AC1426">
            <v>0.25</v>
          </cell>
          <cell r="AD1426">
            <v>0.25</v>
          </cell>
          <cell r="AE1426">
            <v>0.25</v>
          </cell>
          <cell r="AF1426">
            <v>0.25</v>
          </cell>
          <cell r="AG1426">
            <v>0.25</v>
          </cell>
          <cell r="AH1426">
            <v>0.25</v>
          </cell>
          <cell r="AI1426">
            <v>0.25</v>
          </cell>
          <cell r="AJ1426">
            <v>0.25</v>
          </cell>
          <cell r="AK1426">
            <v>0.25</v>
          </cell>
          <cell r="AL1426">
            <v>0.25</v>
          </cell>
          <cell r="AM1426">
            <v>0.25</v>
          </cell>
          <cell r="AN1426">
            <v>0.25</v>
          </cell>
          <cell r="AO1426">
            <v>0.25</v>
          </cell>
          <cell r="AP1426">
            <v>0.25</v>
          </cell>
          <cell r="AQ1426">
            <v>0.25</v>
          </cell>
          <cell r="AR1426">
            <v>0.25</v>
          </cell>
          <cell r="AS1426">
            <v>0.25</v>
          </cell>
          <cell r="AT1426">
            <v>-0.04</v>
          </cell>
          <cell r="AU1426">
            <v>0.92</v>
          </cell>
          <cell r="AV1426">
            <v>20</v>
          </cell>
          <cell r="AY1426" t="str">
            <v/>
          </cell>
          <cell r="AZ1426">
            <v>0.25</v>
          </cell>
          <cell r="BA1426">
            <v>0.25</v>
          </cell>
        </row>
        <row r="1427">
          <cell r="A1427" t="str">
            <v>L.A.F.A. SAS</v>
          </cell>
          <cell r="B1427" t="str">
            <v>RIVENDITORE ACQUASTOP 05/12 SIG. SEBASTINO O ALESSANDRO. TRATTANO ACQUASTOP. MANDATA MAIL INFO 10/01/23 DICE CHE IL MERCATO E' FERMO. NON INTERESSATI</v>
          </cell>
          <cell r="D1427" t="str">
            <v>VIA TRENTO 442</v>
          </cell>
          <cell r="E1427" t="str">
            <v>50013</v>
          </cell>
          <cell r="F1427" t="str">
            <v>SAN DONNINI</v>
          </cell>
          <cell r="G1427" t="str">
            <v>FI</v>
          </cell>
          <cell r="H1427" t="str">
            <v>ITALIA</v>
          </cell>
          <cell r="M1427" t="str">
            <v>UFFICIO ACQUISTI</v>
          </cell>
          <cell r="N1427" t="str">
            <v>055 8739425</v>
          </cell>
          <cell r="P1427" t="str">
            <v>info@lafaserramenti.com</v>
          </cell>
          <cell r="R1427" t="str">
            <v>BONIFICO BANCARIO, ALLA DATA DELLA NOSTRA CONFERMA D'ORDINE</v>
          </cell>
          <cell r="X1427">
            <v>0.25</v>
          </cell>
          <cell r="Y1427">
            <v>-0.04</v>
          </cell>
          <cell r="AB1427">
            <v>0.25</v>
          </cell>
          <cell r="AC1427">
            <v>0.25</v>
          </cell>
          <cell r="AD1427">
            <v>0.25</v>
          </cell>
          <cell r="AE1427">
            <v>0.25</v>
          </cell>
          <cell r="AF1427">
            <v>0.25</v>
          </cell>
          <cell r="AG1427">
            <v>0.25</v>
          </cell>
          <cell r="AH1427">
            <v>0.25</v>
          </cell>
          <cell r="AI1427">
            <v>0.25</v>
          </cell>
          <cell r="AJ1427">
            <v>0.25</v>
          </cell>
          <cell r="AK1427">
            <v>0.25</v>
          </cell>
          <cell r="AL1427">
            <v>0.25</v>
          </cell>
          <cell r="AM1427">
            <v>0.25</v>
          </cell>
          <cell r="AN1427">
            <v>0.25</v>
          </cell>
          <cell r="AO1427">
            <v>0.25</v>
          </cell>
          <cell r="AP1427">
            <v>0.25</v>
          </cell>
          <cell r="AQ1427">
            <v>0.25</v>
          </cell>
          <cell r="AR1427">
            <v>0.25</v>
          </cell>
          <cell r="AS1427">
            <v>0.25</v>
          </cell>
          <cell r="AT1427">
            <v>-0.04</v>
          </cell>
          <cell r="AU1427">
            <v>0.92</v>
          </cell>
          <cell r="AV1427">
            <v>20</v>
          </cell>
          <cell r="AZ1427">
            <v>0.25</v>
          </cell>
          <cell r="BA1427">
            <v>0.25</v>
          </cell>
        </row>
        <row r="1428">
          <cell r="A1428" t="str">
            <v>LA BOTTEGA DEL FABBRO</v>
          </cell>
          <cell r="D1428" t="str">
            <v>VIA SICILIA, 244 246</v>
          </cell>
          <cell r="E1428">
            <v>57124</v>
          </cell>
          <cell r="F1428" t="str">
            <v>LIVORNO</v>
          </cell>
          <cell r="G1428" t="str">
            <v>LI</v>
          </cell>
          <cell r="H1428" t="str">
            <v>ITALIA</v>
          </cell>
          <cell r="J1428" t="str">
            <v>01740460496</v>
          </cell>
          <cell r="M1428" t="str">
            <v>UFFICIO ACQUISTI</v>
          </cell>
          <cell r="O1428" t="str">
            <v>392 2504934    338 4881447</v>
          </cell>
          <cell r="P1428" t="str">
            <v>atelier.labottegadelfabbro@gmail.com</v>
          </cell>
          <cell r="R1428" t="str">
            <v>BONIFICO BANCARIO, ALLA DATA DELLA NOSTRA CONFERMA D'ORDINE</v>
          </cell>
          <cell r="X1428">
            <v>0.25</v>
          </cell>
          <cell r="Y1428">
            <v>-0.04</v>
          </cell>
          <cell r="AB1428">
            <v>0.25</v>
          </cell>
          <cell r="AC1428">
            <v>0.25</v>
          </cell>
          <cell r="AD1428">
            <v>0.25</v>
          </cell>
          <cell r="AE1428">
            <v>0.25</v>
          </cell>
          <cell r="AF1428">
            <v>0.25</v>
          </cell>
          <cell r="AG1428">
            <v>0.25</v>
          </cell>
          <cell r="AH1428">
            <v>0.25</v>
          </cell>
          <cell r="AI1428">
            <v>0.25</v>
          </cell>
          <cell r="AJ1428">
            <v>0.25</v>
          </cell>
          <cell r="AK1428">
            <v>0.25</v>
          </cell>
          <cell r="AL1428">
            <v>0.25</v>
          </cell>
          <cell r="AM1428">
            <v>0.25</v>
          </cell>
          <cell r="AN1428">
            <v>0.25</v>
          </cell>
          <cell r="AO1428">
            <v>0.25</v>
          </cell>
          <cell r="AP1428">
            <v>0.25</v>
          </cell>
          <cell r="AQ1428">
            <v>0.25</v>
          </cell>
          <cell r="AR1428">
            <v>0.25</v>
          </cell>
          <cell r="AS1428">
            <v>0.25</v>
          </cell>
          <cell r="AT1428">
            <v>-0.04</v>
          </cell>
          <cell r="AU1428">
            <v>0.92</v>
          </cell>
          <cell r="AV1428">
            <v>20</v>
          </cell>
          <cell r="AZ1428">
            <v>0.25</v>
          </cell>
          <cell r="BA1428">
            <v>0.25</v>
          </cell>
        </row>
        <row r="1429">
          <cell r="A1429" t="str">
            <v>LA BOTTEGA DEL FABBRO</v>
          </cell>
          <cell r="D1429" t="str">
            <v>VIA S.PIETRO, 25</v>
          </cell>
          <cell r="E1429">
            <v>56011</v>
          </cell>
          <cell r="F1429" t="str">
            <v>CALCI</v>
          </cell>
          <cell r="G1429" t="str">
            <v>PI</v>
          </cell>
          <cell r="H1429" t="str">
            <v>ITALIA</v>
          </cell>
          <cell r="M1429" t="str">
            <v>UFFICIO ACQUISTI</v>
          </cell>
          <cell r="O1429" t="str">
            <v>339 8757698</v>
          </cell>
          <cell r="P1429" t="str">
            <v>fabio.destri@tin.it</v>
          </cell>
          <cell r="R1429" t="str">
            <v>BONIFICO BANCARIO, ALLA DATA DELLA NOSTRA CONFERMA D'ORDINE</v>
          </cell>
          <cell r="X1429">
            <v>0.25</v>
          </cell>
          <cell r="Y1429">
            <v>-0.04</v>
          </cell>
          <cell r="AB1429">
            <v>0.25</v>
          </cell>
          <cell r="AC1429">
            <v>0.25</v>
          </cell>
          <cell r="AD1429">
            <v>0.25</v>
          </cell>
          <cell r="AE1429">
            <v>0.25</v>
          </cell>
          <cell r="AF1429">
            <v>0.25</v>
          </cell>
          <cell r="AG1429">
            <v>0.25</v>
          </cell>
          <cell r="AH1429">
            <v>0.25</v>
          </cell>
          <cell r="AI1429">
            <v>0.25</v>
          </cell>
          <cell r="AJ1429">
            <v>0.25</v>
          </cell>
          <cell r="AK1429">
            <v>0.25</v>
          </cell>
          <cell r="AL1429">
            <v>0.25</v>
          </cell>
          <cell r="AM1429">
            <v>0.25</v>
          </cell>
          <cell r="AN1429">
            <v>0.25</v>
          </cell>
          <cell r="AO1429">
            <v>0.25</v>
          </cell>
          <cell r="AP1429">
            <v>0.25</v>
          </cell>
          <cell r="AQ1429">
            <v>0.25</v>
          </cell>
          <cell r="AR1429">
            <v>0.25</v>
          </cell>
          <cell r="AS1429">
            <v>0.25</v>
          </cell>
          <cell r="AT1429">
            <v>-0.04</v>
          </cell>
          <cell r="AU1429">
            <v>0.92</v>
          </cell>
          <cell r="AV1429">
            <v>20</v>
          </cell>
          <cell r="AZ1429">
            <v>0.25</v>
          </cell>
          <cell r="BA1429">
            <v>0.25</v>
          </cell>
        </row>
        <row r="1430">
          <cell r="A1430" t="str">
            <v>LA BOTTEGA DEL LEGNO di Paolo Baglietto S.N.C.</v>
          </cell>
          <cell r="D1430" t="str">
            <v>VIA SCAVINO, 2</v>
          </cell>
          <cell r="E1430">
            <v>17019</v>
          </cell>
          <cell r="F1430" t="str">
            <v>VARAZZE</v>
          </cell>
          <cell r="G1430" t="str">
            <v>SV</v>
          </cell>
          <cell r="H1430" t="str">
            <v>ITALIA</v>
          </cell>
          <cell r="M1430" t="str">
            <v>UFFICIO ACQUISTI</v>
          </cell>
          <cell r="N1430" t="str">
            <v>019 97202</v>
          </cell>
          <cell r="P1430" t="str">
            <v>faidate@bagliettoserramenti.it</v>
          </cell>
          <cell r="R1430" t="str">
            <v>BONIFICO BANCARIO, ALLA DATA DELLA NOSTRA CONFERMA D'ORDINE</v>
          </cell>
          <cell r="X1430">
            <v>0.25</v>
          </cell>
          <cell r="Y1430">
            <v>-0.04</v>
          </cell>
          <cell r="AB1430">
            <v>0.25</v>
          </cell>
          <cell r="AC1430">
            <v>0.25</v>
          </cell>
          <cell r="AD1430">
            <v>0.25</v>
          </cell>
          <cell r="AE1430">
            <v>0.25</v>
          </cell>
          <cell r="AF1430">
            <v>0.25</v>
          </cell>
          <cell r="AG1430">
            <v>0.25</v>
          </cell>
          <cell r="AH1430">
            <v>0.25</v>
          </cell>
          <cell r="AI1430">
            <v>0.25</v>
          </cell>
          <cell r="AJ1430">
            <v>0.25</v>
          </cell>
          <cell r="AK1430">
            <v>0.25</v>
          </cell>
          <cell r="AL1430">
            <v>0.25</v>
          </cell>
          <cell r="AM1430">
            <v>0.25</v>
          </cell>
          <cell r="AN1430">
            <v>0.25</v>
          </cell>
          <cell r="AO1430">
            <v>0.25</v>
          </cell>
          <cell r="AP1430">
            <v>0.25</v>
          </cell>
          <cell r="AQ1430">
            <v>0.25</v>
          </cell>
          <cell r="AR1430">
            <v>0.25</v>
          </cell>
          <cell r="AS1430">
            <v>0.25</v>
          </cell>
          <cell r="AT1430">
            <v>-0.04</v>
          </cell>
          <cell r="AU1430">
            <v>0.92</v>
          </cell>
          <cell r="AV1430">
            <v>20</v>
          </cell>
          <cell r="AY1430" t="str">
            <v/>
          </cell>
          <cell r="AZ1430">
            <v>0.25</v>
          </cell>
          <cell r="BA1430">
            <v>0.25</v>
          </cell>
        </row>
        <row r="1431">
          <cell r="A1431" t="str">
            <v>LA CASA DEL SERRAMENTO</v>
          </cell>
          <cell r="D1431" t="str">
            <v>VIA  LOVARINI, 21  23  25</v>
          </cell>
          <cell r="E1431">
            <v>35127</v>
          </cell>
          <cell r="F1431" t="str">
            <v>PADOVA</v>
          </cell>
          <cell r="G1431" t="str">
            <v>PD</v>
          </cell>
          <cell r="H1431" t="str">
            <v>ITALIA</v>
          </cell>
          <cell r="I1431" t="str">
            <v>04778510281</v>
          </cell>
          <cell r="J1431" t="str">
            <v>04778510281</v>
          </cell>
          <cell r="M1431" t="str">
            <v>UFFICIO ACQUISTI</v>
          </cell>
          <cell r="N1431" t="str">
            <v>049 8023946</v>
          </cell>
          <cell r="O1431" t="str">
            <v>345 5417951</v>
          </cell>
          <cell r="P1431" t="str">
            <v>info@lacasadelserramento.it</v>
          </cell>
          <cell r="R1431" t="str">
            <v>BONIFICO BANCARIO, ALLA DATA DELLA NOSTRA CONFERMA D'ORDINE</v>
          </cell>
          <cell r="X1431">
            <v>0.25</v>
          </cell>
          <cell r="Y1431">
            <v>-0.04</v>
          </cell>
          <cell r="AB1431">
            <v>0.25</v>
          </cell>
          <cell r="AC1431">
            <v>0.25</v>
          </cell>
          <cell r="AD1431">
            <v>0.25</v>
          </cell>
          <cell r="AE1431">
            <v>0.25</v>
          </cell>
          <cell r="AF1431">
            <v>0.25</v>
          </cell>
          <cell r="AG1431">
            <v>0.25</v>
          </cell>
          <cell r="AH1431">
            <v>0.25</v>
          </cell>
          <cell r="AI1431">
            <v>0.25</v>
          </cell>
          <cell r="AJ1431">
            <v>0.25</v>
          </cell>
          <cell r="AK1431">
            <v>0.25</v>
          </cell>
          <cell r="AL1431">
            <v>0.25</v>
          </cell>
          <cell r="AM1431">
            <v>0.25</v>
          </cell>
          <cell r="AN1431">
            <v>0.25</v>
          </cell>
          <cell r="AO1431">
            <v>0.25</v>
          </cell>
          <cell r="AP1431">
            <v>0.25</v>
          </cell>
          <cell r="AQ1431">
            <v>0.25</v>
          </cell>
          <cell r="AR1431">
            <v>0.25</v>
          </cell>
          <cell r="AS1431">
            <v>0.25</v>
          </cell>
          <cell r="AT1431">
            <v>-0.04</v>
          </cell>
          <cell r="AU1431">
            <v>0.92</v>
          </cell>
          <cell r="AV1431">
            <v>20</v>
          </cell>
          <cell r="AY1431" t="str">
            <v/>
          </cell>
          <cell r="AZ1431">
            <v>0.25</v>
          </cell>
          <cell r="BA1431">
            <v>0.25</v>
          </cell>
        </row>
        <row r="1432">
          <cell r="A1432" t="str">
            <v>LA CASA DELL' INFISSO SNC</v>
          </cell>
          <cell r="D1432" t="str">
            <v>STRADA DELLE CAMPORE, 13</v>
          </cell>
          <cell r="E1432" t="str">
            <v>05100</v>
          </cell>
          <cell r="F1432" t="str">
            <v>TERNI</v>
          </cell>
          <cell r="G1432" t="str">
            <v>TR</v>
          </cell>
          <cell r="H1432" t="str">
            <v>ITALIA</v>
          </cell>
          <cell r="J1432" t="str">
            <v>01244240550</v>
          </cell>
          <cell r="M1432" t="str">
            <v>UFFICIO ACQUISTI</v>
          </cell>
          <cell r="N1432" t="str">
            <v>0744 800810</v>
          </cell>
          <cell r="O1432" t="str">
            <v>368 7748928 - 328 5372184</v>
          </cell>
          <cell r="P1432" t="str">
            <v>lacasade22@casainfisso.191.it</v>
          </cell>
          <cell r="R1432" t="str">
            <v>BONIFICO BANCARIO, ALLA DATA DELLA NOSTRA CONFERMA D'ORDINE</v>
          </cell>
          <cell r="Y1432">
            <v>-0.04</v>
          </cell>
          <cell r="AT1432">
            <v>-0.04</v>
          </cell>
          <cell r="AV1432">
            <v>20</v>
          </cell>
          <cell r="AZ1432">
            <v>0</v>
          </cell>
          <cell r="BA1432">
            <v>0</v>
          </cell>
        </row>
        <row r="1433">
          <cell r="A1433" t="str">
            <v>LA CASA DELL'ARTIGIANO S.A.S. DI GARANTE G.&amp; C.</v>
          </cell>
          <cell r="D1433" t="str">
            <v>VIA TESSITORI DI SETA SNC</v>
          </cell>
          <cell r="E1433" t="str">
            <v>80144</v>
          </cell>
          <cell r="F1433" t="str">
            <v>NAPOLI</v>
          </cell>
          <cell r="G1433" t="str">
            <v>NA</v>
          </cell>
          <cell r="H1433" t="str">
            <v>ITALIA</v>
          </cell>
          <cell r="M1433" t="str">
            <v>UFFICIO ACQUISTI</v>
          </cell>
          <cell r="N1433" t="str">
            <v>081 0124807</v>
          </cell>
          <cell r="O1433" t="str">
            <v>Gaetano Garante 333 4282110</v>
          </cell>
          <cell r="P1433" t="str">
            <v>garantegaetano@libero.it</v>
          </cell>
          <cell r="R1433" t="str">
            <v>BONIFICO BANCARIO, ALLA DATA DELLA NOSTRA CONFERMA D'ORDINE</v>
          </cell>
          <cell r="X1433">
            <v>0.25</v>
          </cell>
          <cell r="Y1433">
            <v>-0.04</v>
          </cell>
          <cell r="AB1433">
            <v>0.25</v>
          </cell>
          <cell r="AC1433">
            <v>0.25</v>
          </cell>
          <cell r="AD1433">
            <v>0.25</v>
          </cell>
          <cell r="AE1433">
            <v>0.25</v>
          </cell>
          <cell r="AF1433">
            <v>0.25</v>
          </cell>
          <cell r="AG1433">
            <v>0.25</v>
          </cell>
          <cell r="AH1433">
            <v>0.25</v>
          </cell>
          <cell r="AI1433">
            <v>0.25</v>
          </cell>
          <cell r="AJ1433">
            <v>0.25</v>
          </cell>
          <cell r="AK1433">
            <v>0.25</v>
          </cell>
          <cell r="AL1433">
            <v>0.25</v>
          </cell>
          <cell r="AM1433">
            <v>0.25</v>
          </cell>
          <cell r="AN1433">
            <v>0.25</v>
          </cell>
          <cell r="AO1433">
            <v>0.25</v>
          </cell>
          <cell r="AP1433">
            <v>0.25</v>
          </cell>
          <cell r="AQ1433">
            <v>0.25</v>
          </cell>
          <cell r="AR1433">
            <v>0.25</v>
          </cell>
          <cell r="AS1433">
            <v>0.25</v>
          </cell>
          <cell r="AT1433">
            <v>-0.04</v>
          </cell>
          <cell r="AU1433">
            <v>0.92</v>
          </cell>
          <cell r="AV1433">
            <v>20</v>
          </cell>
          <cell r="AY1433" t="str">
            <v/>
          </cell>
          <cell r="AZ1433">
            <v>0.25</v>
          </cell>
          <cell r="BA1433">
            <v>0.25</v>
          </cell>
        </row>
        <row r="1434">
          <cell r="A1434" t="str">
            <v>LA DUE ESSE</v>
          </cell>
          <cell r="D1434" t="str">
            <v>VIA JORI, 104 106R</v>
          </cell>
          <cell r="E1434" t="str">
            <v>16159</v>
          </cell>
          <cell r="F1434" t="str">
            <v>GENOVA</v>
          </cell>
          <cell r="G1434" t="str">
            <v>GE</v>
          </cell>
          <cell r="H1434" t="str">
            <v>ITALIA</v>
          </cell>
          <cell r="I1434" t="str">
            <v>SRBSST66M09D969H</v>
          </cell>
          <cell r="J1434" t="str">
            <v>03778150106</v>
          </cell>
          <cell r="K1434" t="str">
            <v>SUBM70N</v>
          </cell>
          <cell r="M1434" t="str">
            <v>UFFICIO ACQUISTI</v>
          </cell>
          <cell r="N1434" t="str">
            <v>010 2723617</v>
          </cell>
          <cell r="P1434" t="str">
            <v>ladueesse@gmail.com</v>
          </cell>
          <cell r="R1434" t="str">
            <v>BONIFICO BANCARIO, ALLA DATA DELLA NOSTRA CONFERMA D'ORDINE</v>
          </cell>
          <cell r="X1434">
            <v>0.25</v>
          </cell>
          <cell r="Y1434">
            <v>-0.04</v>
          </cell>
          <cell r="AB1434">
            <v>0.25</v>
          </cell>
          <cell r="AC1434">
            <v>0.25</v>
          </cell>
          <cell r="AD1434">
            <v>0.25</v>
          </cell>
          <cell r="AE1434">
            <v>0.25</v>
          </cell>
          <cell r="AF1434">
            <v>0.25</v>
          </cell>
          <cell r="AG1434">
            <v>0.25</v>
          </cell>
          <cell r="AH1434">
            <v>0.25</v>
          </cell>
          <cell r="AI1434">
            <v>0.25</v>
          </cell>
          <cell r="AJ1434">
            <v>0.25</v>
          </cell>
          <cell r="AK1434">
            <v>0.25</v>
          </cell>
          <cell r="AL1434">
            <v>0.25</v>
          </cell>
          <cell r="AM1434">
            <v>0.25</v>
          </cell>
          <cell r="AN1434">
            <v>0.25</v>
          </cell>
          <cell r="AO1434">
            <v>0.25</v>
          </cell>
          <cell r="AP1434">
            <v>0.25</v>
          </cell>
          <cell r="AQ1434">
            <v>0.25</v>
          </cell>
          <cell r="AR1434">
            <v>0.25</v>
          </cell>
          <cell r="AS1434">
            <v>0.25</v>
          </cell>
          <cell r="AT1434">
            <v>-0.04</v>
          </cell>
          <cell r="AU1434">
            <v>0.92</v>
          </cell>
          <cell r="AV1434">
            <v>20</v>
          </cell>
          <cell r="AZ1434">
            <v>0.25</v>
          </cell>
          <cell r="BA1434">
            <v>0.25</v>
          </cell>
          <cell r="BF1434" t="str">
            <v>CLICK RAPID con carpenteria 05/12/2020</v>
          </cell>
        </row>
        <row r="1435">
          <cell r="A1435" t="str">
            <v>LA FALEGNAMERIA RAMPINI</v>
          </cell>
          <cell r="D1435" t="str">
            <v>VIA LAZIO, 18</v>
          </cell>
          <cell r="F1435" t="str">
            <v>MANERBIO</v>
          </cell>
          <cell r="G1435" t="str">
            <v>BS</v>
          </cell>
          <cell r="H1435" t="str">
            <v>ITALIA</v>
          </cell>
          <cell r="J1435" t="str">
            <v>03946530981</v>
          </cell>
          <cell r="M1435" t="str">
            <v>UFFICIO ACQUISTI</v>
          </cell>
          <cell r="N1435" t="str">
            <v>030 9383555</v>
          </cell>
          <cell r="P1435" t="str">
            <v>info@lafalegnameriarampini.it</v>
          </cell>
          <cell r="R1435" t="str">
            <v>BONIFICO BANCARIO, ALLA DATA DELLA NOSTRA CONFERMA D'ORDINE</v>
          </cell>
          <cell r="Y1435">
            <v>-0.04</v>
          </cell>
          <cell r="AT1435">
            <v>-0.04</v>
          </cell>
          <cell r="AV1435">
            <v>20</v>
          </cell>
          <cell r="AZ1435">
            <v>0</v>
          </cell>
          <cell r="BA1435">
            <v>0</v>
          </cell>
        </row>
        <row r="1436">
          <cell r="A1436" t="str">
            <v>LA FERRAMENTA DI CORRADINI DANIELE</v>
          </cell>
          <cell r="F1436" t="str">
            <v>NEGRAR DI VALPOLICELLA</v>
          </cell>
          <cell r="G1436" t="str">
            <v>VR</v>
          </cell>
          <cell r="H1436" t="str">
            <v>ITALIA</v>
          </cell>
          <cell r="M1436" t="str">
            <v>UFFICIO ACQUISTI</v>
          </cell>
          <cell r="O1436" t="str">
            <v>346 2892329</v>
          </cell>
          <cell r="R1436" t="str">
            <v>BONIFICO BANCARIO, ALLA DATA DELLA NOSTRA CONFERMA D'ORDINE</v>
          </cell>
          <cell r="Y1436">
            <v>-0.04</v>
          </cell>
          <cell r="AT1436">
            <v>-0.04</v>
          </cell>
          <cell r="AV1436">
            <v>20</v>
          </cell>
          <cell r="AZ1436">
            <v>0</v>
          </cell>
          <cell r="BA1436">
            <v>0</v>
          </cell>
        </row>
        <row r="1437">
          <cell r="A1437" t="str">
            <v>LA FERRAMENTA SNC</v>
          </cell>
          <cell r="D1437" t="str">
            <v>VIA PAPA GIOVANNI XXII, 28/30</v>
          </cell>
          <cell r="E1437" t="str">
            <v>24054</v>
          </cell>
          <cell r="F1437" t="str">
            <v>CALCIO</v>
          </cell>
          <cell r="G1437" t="str">
            <v>BG</v>
          </cell>
          <cell r="H1437" t="str">
            <v>ITALIA</v>
          </cell>
          <cell r="M1437" t="str">
            <v>UFFICIO ACQUISTI</v>
          </cell>
          <cell r="N1437" t="str">
            <v>0363 969221</v>
          </cell>
          <cell r="O1437" t="str">
            <v>338 6891914 TEODORI BRUNO</v>
          </cell>
          <cell r="P1437" t="str">
            <v>lafer.calcio@libero.it</v>
          </cell>
          <cell r="R1437" t="str">
            <v>BONIFICO BANCARIO, ALLA DATA DELLA NOSTRA CONFERMA D'ORDINE</v>
          </cell>
          <cell r="X1437">
            <v>0.2</v>
          </cell>
          <cell r="Y1437">
            <v>-0.04</v>
          </cell>
          <cell r="AB1437">
            <v>0.2</v>
          </cell>
          <cell r="AC1437">
            <v>0.2</v>
          </cell>
          <cell r="AD1437">
            <v>0.2</v>
          </cell>
          <cell r="AE1437">
            <v>0.2</v>
          </cell>
          <cell r="AF1437">
            <v>0.2</v>
          </cell>
          <cell r="AG1437">
            <v>0.2</v>
          </cell>
          <cell r="AH1437">
            <v>0.2</v>
          </cell>
          <cell r="AI1437">
            <v>0.2</v>
          </cell>
          <cell r="AJ1437">
            <v>0.2</v>
          </cell>
          <cell r="AK1437">
            <v>0.2</v>
          </cell>
          <cell r="AL1437">
            <v>0.2</v>
          </cell>
          <cell r="AM1437">
            <v>0.2</v>
          </cell>
          <cell r="AN1437">
            <v>0.2</v>
          </cell>
          <cell r="AO1437">
            <v>0.2</v>
          </cell>
          <cell r="AP1437">
            <v>0.2</v>
          </cell>
          <cell r="AQ1437">
            <v>0.2</v>
          </cell>
          <cell r="AR1437">
            <v>0.2</v>
          </cell>
          <cell r="AS1437">
            <v>0.2</v>
          </cell>
          <cell r="AT1437">
            <v>-0.04</v>
          </cell>
          <cell r="AU1437">
            <v>0.92</v>
          </cell>
          <cell r="AV1437">
            <v>20</v>
          </cell>
          <cell r="AZ1437">
            <v>0.2</v>
          </cell>
          <cell r="BA1437">
            <v>0.2</v>
          </cell>
        </row>
        <row r="1438">
          <cell r="A1438" t="str">
            <v>LA FINESTRA</v>
          </cell>
          <cell r="D1438" t="str">
            <v>VIA DEL FORNO, 19A</v>
          </cell>
          <cell r="E1438">
            <v>19126</v>
          </cell>
          <cell r="F1438" t="str">
            <v>LA SPEZIA</v>
          </cell>
          <cell r="G1438" t="str">
            <v>SP</v>
          </cell>
          <cell r="H1438" t="str">
            <v>ITALIA</v>
          </cell>
          <cell r="I1438" t="str">
            <v>00308390111</v>
          </cell>
          <cell r="J1438" t="str">
            <v>00308390111</v>
          </cell>
          <cell r="M1438" t="str">
            <v>UFFICIO ACQUISTI</v>
          </cell>
          <cell r="N1438" t="str">
            <v>0187 507355</v>
          </cell>
          <cell r="O1438" t="str">
            <v>335 5264527</v>
          </cell>
          <cell r="P1438" t="str">
            <v>info@lafinestraweb.it</v>
          </cell>
          <cell r="R1438" t="str">
            <v>BONIFICO BANCARIO, ALLA DATA DELLA NOSTRA CONFERMA D'ORDINE</v>
          </cell>
          <cell r="X1438">
            <v>0.25</v>
          </cell>
          <cell r="Y1438">
            <v>-0.04</v>
          </cell>
          <cell r="AB1438">
            <v>0.25</v>
          </cell>
          <cell r="AC1438">
            <v>0.25</v>
          </cell>
          <cell r="AD1438">
            <v>0.25</v>
          </cell>
          <cell r="AE1438">
            <v>0.25</v>
          </cell>
          <cell r="AF1438">
            <v>0.25</v>
          </cell>
          <cell r="AG1438">
            <v>0.25</v>
          </cell>
          <cell r="AH1438">
            <v>0.25</v>
          </cell>
          <cell r="AI1438">
            <v>0.25</v>
          </cell>
          <cell r="AJ1438">
            <v>0.25</v>
          </cell>
          <cell r="AK1438">
            <v>0.25</v>
          </cell>
          <cell r="AL1438">
            <v>0.25</v>
          </cell>
          <cell r="AM1438">
            <v>0.25</v>
          </cell>
          <cell r="AN1438">
            <v>0.25</v>
          </cell>
          <cell r="AO1438">
            <v>0.25</v>
          </cell>
          <cell r="AP1438">
            <v>0.25</v>
          </cell>
          <cell r="AQ1438">
            <v>0.25</v>
          </cell>
          <cell r="AR1438">
            <v>0.25</v>
          </cell>
          <cell r="AS1438">
            <v>0.25</v>
          </cell>
          <cell r="AT1438">
            <v>-0.04</v>
          </cell>
          <cell r="AU1438">
            <v>0.92</v>
          </cell>
          <cell r="AV1438">
            <v>20</v>
          </cell>
          <cell r="AY1438" t="str">
            <v/>
          </cell>
          <cell r="AZ1438">
            <v>0.25</v>
          </cell>
          <cell r="BA1438">
            <v>0.25</v>
          </cell>
        </row>
        <row r="1439">
          <cell r="A1439" t="str">
            <v>LA FINESTRA DI ENRICO ZUDDAS</v>
          </cell>
          <cell r="B1439" t="str">
            <v>SOLO BIGLIETTO DA VISITA    SE LE FANNO IN PVC</v>
          </cell>
          <cell r="D1439" t="str">
            <v>VIALE EUROPA, 43/R - S.S.554</v>
          </cell>
          <cell r="E1439" t="str">
            <v>08045</v>
          </cell>
          <cell r="F1439" t="str">
            <v>QUARTU S.ELENA</v>
          </cell>
          <cell r="G1439" t="str">
            <v>CA</v>
          </cell>
          <cell r="H1439" t="str">
            <v>ITALIA</v>
          </cell>
          <cell r="I1439" t="str">
            <v>ZDDNRC81T04B354R</v>
          </cell>
          <cell r="J1439" t="str">
            <v>03843240924</v>
          </cell>
          <cell r="M1439" t="str">
            <v>UFFICIO ACQUISTI</v>
          </cell>
          <cell r="N1439" t="str">
            <v>070 8676601</v>
          </cell>
          <cell r="R1439" t="str">
            <v>BONIFICO BANCARIO, ALLA DATA DELLA NOSTRA CONFERMA D'ORDINE</v>
          </cell>
          <cell r="X1439">
            <v>0.25</v>
          </cell>
          <cell r="Y1439">
            <v>-0.04</v>
          </cell>
          <cell r="AB1439">
            <v>0.25</v>
          </cell>
          <cell r="AC1439">
            <v>0.25</v>
          </cell>
          <cell r="AD1439">
            <v>0.25</v>
          </cell>
          <cell r="AE1439">
            <v>0.25</v>
          </cell>
          <cell r="AF1439">
            <v>0.25</v>
          </cell>
          <cell r="AG1439">
            <v>0.25</v>
          </cell>
          <cell r="AH1439">
            <v>0.25</v>
          </cell>
          <cell r="AI1439">
            <v>0.25</v>
          </cell>
          <cell r="AJ1439">
            <v>0.25</v>
          </cell>
          <cell r="AK1439">
            <v>0.25</v>
          </cell>
          <cell r="AL1439">
            <v>0.25</v>
          </cell>
          <cell r="AM1439">
            <v>0.25</v>
          </cell>
          <cell r="AN1439">
            <v>0.25</v>
          </cell>
          <cell r="AO1439">
            <v>0.25</v>
          </cell>
          <cell r="AP1439">
            <v>0.25</v>
          </cell>
          <cell r="AQ1439">
            <v>0.25</v>
          </cell>
          <cell r="AR1439">
            <v>0.25</v>
          </cell>
          <cell r="AS1439">
            <v>0.25</v>
          </cell>
          <cell r="AT1439">
            <v>-0.04</v>
          </cell>
          <cell r="AU1439">
            <v>0.92</v>
          </cell>
          <cell r="AV1439">
            <v>20</v>
          </cell>
          <cell r="AZ1439">
            <v>0.25</v>
          </cell>
          <cell r="BA1439">
            <v>0.25</v>
          </cell>
        </row>
        <row r="1440">
          <cell r="A1440" t="str">
            <v>LA FINESTRA DI PIETRO CIACCIO E C. S.A.S.</v>
          </cell>
          <cell r="D1440" t="str">
            <v>2A TRAVERSA VIALE CASSIODORO, 3</v>
          </cell>
          <cell r="E1440" t="str">
            <v>88060</v>
          </cell>
          <cell r="F1440" t="str">
            <v>DAVOLI MARINA</v>
          </cell>
          <cell r="G1440" t="str">
            <v>CZ</v>
          </cell>
          <cell r="H1440" t="str">
            <v>ITALIA</v>
          </cell>
          <cell r="J1440" t="str">
            <v>03489300792</v>
          </cell>
          <cell r="K1440" t="str">
            <v>USAL8PV</v>
          </cell>
          <cell r="M1440" t="str">
            <v>UFFICIO ACQUISTI</v>
          </cell>
          <cell r="N1440" t="str">
            <v>0967 632829</v>
          </cell>
          <cell r="O1440" t="str">
            <v>339 4265393</v>
          </cell>
          <cell r="P1440" t="str">
            <v>info@lafinestrasas.com</v>
          </cell>
          <cell r="R1440" t="str">
            <v>BONIFICO BANCARIO, ALLA DATA DELLA NOSTRA CONFERMA D'ORDINE</v>
          </cell>
          <cell r="X1440">
            <v>0.25</v>
          </cell>
          <cell r="Y1440">
            <v>-0.04</v>
          </cell>
          <cell r="AB1440">
            <v>0.25</v>
          </cell>
          <cell r="AC1440">
            <v>0.25</v>
          </cell>
          <cell r="AD1440">
            <v>0.25</v>
          </cell>
          <cell r="AE1440">
            <v>0.25</v>
          </cell>
          <cell r="AF1440">
            <v>0.25</v>
          </cell>
          <cell r="AG1440">
            <v>0.25</v>
          </cell>
          <cell r="AH1440">
            <v>0.25</v>
          </cell>
          <cell r="AI1440">
            <v>0.25</v>
          </cell>
          <cell r="AJ1440">
            <v>0.25</v>
          </cell>
          <cell r="AK1440">
            <v>0.25</v>
          </cell>
          <cell r="AL1440">
            <v>0.25</v>
          </cell>
          <cell r="AM1440">
            <v>0.25</v>
          </cell>
          <cell r="AN1440">
            <v>0.25</v>
          </cell>
          <cell r="AO1440">
            <v>0.25</v>
          </cell>
          <cell r="AP1440">
            <v>0.25</v>
          </cell>
          <cell r="AQ1440">
            <v>0.25</v>
          </cell>
          <cell r="AR1440">
            <v>0.25</v>
          </cell>
          <cell r="AS1440">
            <v>0.25</v>
          </cell>
          <cell r="AT1440">
            <v>-0.04</v>
          </cell>
          <cell r="AU1440">
            <v>0.92</v>
          </cell>
          <cell r="AV1440">
            <v>20</v>
          </cell>
          <cell r="AW1440" t="str">
            <v>PIETRO OLIVADOTI</v>
          </cell>
          <cell r="AX1440">
            <v>0.95</v>
          </cell>
          <cell r="AZ1440">
            <v>0.25</v>
          </cell>
          <cell r="BA1440">
            <v>0.25</v>
          </cell>
        </row>
        <row r="1441">
          <cell r="A1441" t="str">
            <v>LA GIUSA FINESTRE</v>
          </cell>
          <cell r="B1441" t="str">
            <v>GEOM. ENEA LA GIUSA</v>
          </cell>
          <cell r="D1441" t="str">
            <v>VIA FIRENZE, 145</v>
          </cell>
          <cell r="F1441" t="str">
            <v>CATANIA</v>
          </cell>
          <cell r="G1441" t="str">
            <v>CT</v>
          </cell>
          <cell r="H1441" t="str">
            <v>ITALIA</v>
          </cell>
          <cell r="M1441" t="str">
            <v>UFFICIO ACQUISTI</v>
          </cell>
          <cell r="O1441" t="str">
            <v>329 9810067</v>
          </cell>
          <cell r="P1441" t="str">
            <v>enealagiusa@outlook.it</v>
          </cell>
          <cell r="R1441" t="str">
            <v>BONIFICO BANCARIO, ALLA DATA DELLA NOSTRA CONFERMA D'ORDINE</v>
          </cell>
          <cell r="X1441">
            <v>0.25</v>
          </cell>
          <cell r="Y1441">
            <v>-0.04</v>
          </cell>
          <cell r="AB1441">
            <v>0.25</v>
          </cell>
          <cell r="AC1441">
            <v>0.25</v>
          </cell>
          <cell r="AD1441">
            <v>0.25</v>
          </cell>
          <cell r="AE1441">
            <v>0.25</v>
          </cell>
          <cell r="AF1441">
            <v>0.25</v>
          </cell>
          <cell r="AG1441">
            <v>0.25</v>
          </cell>
          <cell r="AH1441">
            <v>0.25</v>
          </cell>
          <cell r="AI1441">
            <v>0.25</v>
          </cell>
          <cell r="AJ1441">
            <v>0.25</v>
          </cell>
          <cell r="AK1441">
            <v>0.25</v>
          </cell>
          <cell r="AL1441">
            <v>0.25</v>
          </cell>
          <cell r="AM1441">
            <v>0.25</v>
          </cell>
          <cell r="AN1441">
            <v>0.25</v>
          </cell>
          <cell r="AO1441">
            <v>0.25</v>
          </cell>
          <cell r="AP1441">
            <v>0.25</v>
          </cell>
          <cell r="AQ1441">
            <v>0.25</v>
          </cell>
          <cell r="AR1441">
            <v>0.25</v>
          </cell>
          <cell r="AS1441">
            <v>0.25</v>
          </cell>
          <cell r="AT1441">
            <v>-0.04</v>
          </cell>
          <cell r="AU1441">
            <v>0.92</v>
          </cell>
          <cell r="AV1441">
            <v>20</v>
          </cell>
          <cell r="AY1441" t="str">
            <v/>
          </cell>
          <cell r="AZ1441">
            <v>0.25</v>
          </cell>
          <cell r="BA1441">
            <v>0.25</v>
          </cell>
        </row>
        <row r="1442">
          <cell r="A1442" t="str">
            <v>LA MAURITANA</v>
          </cell>
          <cell r="D1442" t="str">
            <v>S.S. 142- VIA 2 GIUGNO, 97</v>
          </cell>
          <cell r="E1442">
            <v>13866</v>
          </cell>
          <cell r="F1442" t="str">
            <v>MASSERANO</v>
          </cell>
          <cell r="G1442" t="str">
            <v>BI</v>
          </cell>
          <cell r="H1442" t="str">
            <v>ITALIA</v>
          </cell>
          <cell r="I1442" t="str">
            <v>01851830024</v>
          </cell>
          <cell r="J1442" t="str">
            <v>01851830024</v>
          </cell>
          <cell r="M1442" t="str">
            <v>UFFICIO ACQUISTI</v>
          </cell>
          <cell r="N1442" t="str">
            <v>015 99378</v>
          </cell>
          <cell r="P1442" t="str">
            <v>info@lamauritana.it</v>
          </cell>
          <cell r="R1442" t="str">
            <v>BONIFICO BANCARIO, ALLA DATA DELLA NOSTRA CONFERMA D'ORDINE</v>
          </cell>
          <cell r="X1442">
            <v>0.25</v>
          </cell>
          <cell r="Y1442">
            <v>-0.04</v>
          </cell>
          <cell r="AB1442">
            <v>0.25</v>
          </cell>
          <cell r="AC1442">
            <v>0.25</v>
          </cell>
          <cell r="AD1442">
            <v>0.25</v>
          </cell>
          <cell r="AE1442">
            <v>0.25</v>
          </cell>
          <cell r="AF1442">
            <v>0.25</v>
          </cell>
          <cell r="AG1442">
            <v>0.25</v>
          </cell>
          <cell r="AH1442">
            <v>0.25</v>
          </cell>
          <cell r="AI1442">
            <v>0.25</v>
          </cell>
          <cell r="AJ1442">
            <v>0.25</v>
          </cell>
          <cell r="AK1442">
            <v>0.25</v>
          </cell>
          <cell r="AL1442">
            <v>0.25</v>
          </cell>
          <cell r="AM1442">
            <v>0.25</v>
          </cell>
          <cell r="AN1442">
            <v>0.25</v>
          </cell>
          <cell r="AO1442">
            <v>0.25</v>
          </cell>
          <cell r="AP1442">
            <v>0.25</v>
          </cell>
          <cell r="AQ1442">
            <v>0.25</v>
          </cell>
          <cell r="AR1442">
            <v>0.25</v>
          </cell>
          <cell r="AS1442">
            <v>0.25</v>
          </cell>
          <cell r="AT1442">
            <v>-0.04</v>
          </cell>
          <cell r="AU1442">
            <v>0.92</v>
          </cell>
          <cell r="AV1442">
            <v>20</v>
          </cell>
          <cell r="AY1442" t="str">
            <v/>
          </cell>
          <cell r="AZ1442">
            <v>0.25</v>
          </cell>
          <cell r="BA1442">
            <v>0.25</v>
          </cell>
        </row>
        <row r="1443">
          <cell r="A1443" t="str">
            <v>LA METAL DESIGN</v>
          </cell>
          <cell r="D1443" t="str">
            <v>VIA PIAVE, 28</v>
          </cell>
          <cell r="E1443">
            <v>21022</v>
          </cell>
          <cell r="F1443" t="str">
            <v>AZZATE</v>
          </cell>
          <cell r="G1443" t="str">
            <v>VA</v>
          </cell>
          <cell r="H1443" t="str">
            <v>ITALIA</v>
          </cell>
          <cell r="M1443" t="str">
            <v>UFFICIO ACQUISTI</v>
          </cell>
          <cell r="N1443" t="str">
            <v>0332 1507492</v>
          </cell>
          <cell r="P1443" t="str">
            <v>segreteria@lametadeldesign.com</v>
          </cell>
          <cell r="R1443" t="str">
            <v>BONIFICO BANCARIO, ALLA DATA DELLA NOSTRA CONFERMA D'ORDINE</v>
          </cell>
          <cell r="X1443">
            <v>0.25</v>
          </cell>
          <cell r="Y1443">
            <v>-0.04</v>
          </cell>
          <cell r="AB1443">
            <v>0.25</v>
          </cell>
          <cell r="AC1443">
            <v>0.25</v>
          </cell>
          <cell r="AD1443">
            <v>0.25</v>
          </cell>
          <cell r="AE1443">
            <v>0.25</v>
          </cell>
          <cell r="AF1443">
            <v>0.25</v>
          </cell>
          <cell r="AG1443">
            <v>0.25</v>
          </cell>
          <cell r="AH1443">
            <v>0.25</v>
          </cell>
          <cell r="AI1443">
            <v>0.25</v>
          </cell>
          <cell r="AJ1443">
            <v>0.25</v>
          </cell>
          <cell r="AK1443">
            <v>0.25</v>
          </cell>
          <cell r="AL1443">
            <v>0.25</v>
          </cell>
          <cell r="AM1443">
            <v>0.25</v>
          </cell>
          <cell r="AN1443">
            <v>0.25</v>
          </cell>
          <cell r="AO1443">
            <v>0.25</v>
          </cell>
          <cell r="AP1443">
            <v>0.25</v>
          </cell>
          <cell r="AQ1443">
            <v>0.25</v>
          </cell>
          <cell r="AR1443">
            <v>0.25</v>
          </cell>
          <cell r="AS1443">
            <v>0.25</v>
          </cell>
          <cell r="AT1443">
            <v>-0.04</v>
          </cell>
          <cell r="AU1443">
            <v>0.92</v>
          </cell>
          <cell r="AV1443">
            <v>20</v>
          </cell>
          <cell r="AY1443" t="str">
            <v/>
          </cell>
          <cell r="AZ1443">
            <v>0.25</v>
          </cell>
          <cell r="BA1443">
            <v>0.25</v>
          </cell>
        </row>
        <row r="1444">
          <cell r="A1444" t="str">
            <v xml:space="preserve">LA MODERNA DUE </v>
          </cell>
          <cell r="B1444" t="str">
            <v>RIVENDITORE ACQUASTOP 05/12 CONFERMA DI ESSERE RIVENDITORE ACQUASTOP. HA VOLUTO SAPERE LE NOSTRE MIGLIORIE. CONOSCEVA BENE IL PRODOTTO. MANDATA MAIL</v>
          </cell>
          <cell r="D1444" t="str">
            <v>CORSO E.FILIBERTO 8</v>
          </cell>
          <cell r="E1444" t="str">
            <v>23900</v>
          </cell>
          <cell r="F1444" t="str">
            <v>LECCO</v>
          </cell>
          <cell r="G1444" t="str">
            <v>LC</v>
          </cell>
          <cell r="H1444" t="str">
            <v>ITALIA</v>
          </cell>
          <cell r="M1444" t="str">
            <v>UFFICIO ACQUISTI</v>
          </cell>
          <cell r="N1444" t="str">
            <v>0341 220396</v>
          </cell>
          <cell r="O1444" t="str">
            <v>335 7772554 GIANLUCA CASCHILI</v>
          </cell>
          <cell r="P1444" t="str">
            <v>info@lamodernadue.it - gianluca.caschili@lamodernadue.it</v>
          </cell>
          <cell r="R1444" t="str">
            <v>BONIFICO BANCARIO, ALLA DATA DELLA NOSTRA CONFERMA D'ORDINE</v>
          </cell>
          <cell r="X1444">
            <v>0.25</v>
          </cell>
          <cell r="Y1444">
            <v>-0.04</v>
          </cell>
          <cell r="AB1444">
            <v>0.25</v>
          </cell>
          <cell r="AC1444">
            <v>0.25</v>
          </cell>
          <cell r="AD1444">
            <v>0.25</v>
          </cell>
          <cell r="AE1444">
            <v>0.25</v>
          </cell>
          <cell r="AF1444">
            <v>0.25</v>
          </cell>
          <cell r="AG1444">
            <v>0.25</v>
          </cell>
          <cell r="AH1444">
            <v>0.25</v>
          </cell>
          <cell r="AI1444">
            <v>0.25</v>
          </cell>
          <cell r="AJ1444">
            <v>0.25</v>
          </cell>
          <cell r="AK1444">
            <v>0.25</v>
          </cell>
          <cell r="AL1444">
            <v>0.25</v>
          </cell>
          <cell r="AM1444">
            <v>0.25</v>
          </cell>
          <cell r="AN1444">
            <v>0.25</v>
          </cell>
          <cell r="AO1444">
            <v>0.25</v>
          </cell>
          <cell r="AP1444">
            <v>0.25</v>
          </cell>
          <cell r="AQ1444">
            <v>0.25</v>
          </cell>
          <cell r="AR1444">
            <v>0.25</v>
          </cell>
          <cell r="AS1444">
            <v>0.25</v>
          </cell>
          <cell r="AT1444">
            <v>-0.04</v>
          </cell>
          <cell r="AU1444">
            <v>0.92</v>
          </cell>
          <cell r="AV1444">
            <v>20</v>
          </cell>
          <cell r="AY1444" t="str">
            <v/>
          </cell>
          <cell r="AZ1444">
            <v>0.25</v>
          </cell>
          <cell r="BA1444">
            <v>0.25</v>
          </cell>
        </row>
        <row r="1445">
          <cell r="A1445" t="str">
            <v>LA NUOVA ASSO EDIL SRL</v>
          </cell>
          <cell r="B1445" t="str">
            <v>30/03/23 NON CONOSCE PRODOTTO. MANDATA MAIL</v>
          </cell>
          <cell r="D1445" t="str">
            <v>C.DA SAN GIOVANNI, 10 PORTO D'ASCOLI</v>
          </cell>
          <cell r="E1445" t="str">
            <v>63074</v>
          </cell>
          <cell r="F1445" t="str">
            <v>SAN BENEDETTO DEL TRONTO</v>
          </cell>
          <cell r="G1445" t="str">
            <v>AP</v>
          </cell>
          <cell r="H1445" t="str">
            <v>ITALIA</v>
          </cell>
          <cell r="J1445" t="str">
            <v>01590960447</v>
          </cell>
          <cell r="M1445" t="str">
            <v>SIG. NAZZARENO PORTELLI</v>
          </cell>
          <cell r="N1445" t="str">
            <v>0735 751308</v>
          </cell>
          <cell r="O1445" t="str">
            <v>348 7000413</v>
          </cell>
          <cell r="P1445" t="str">
            <v>lanuovaassoedil@hotmail.it</v>
          </cell>
          <cell r="R1445" t="str">
            <v>BONIFICO BANCARIO, ALLA DATA DELLA NOSTRA CONFERMA D'ORDINE</v>
          </cell>
          <cell r="X1445">
            <v>0.2</v>
          </cell>
          <cell r="Y1445">
            <v>-0.04</v>
          </cell>
          <cell r="AB1445">
            <v>0.2</v>
          </cell>
          <cell r="AC1445">
            <v>0.2</v>
          </cell>
          <cell r="AD1445">
            <v>0.2</v>
          </cell>
          <cell r="AE1445">
            <v>0.2</v>
          </cell>
          <cell r="AF1445">
            <v>0.2</v>
          </cell>
          <cell r="AG1445">
            <v>0.2</v>
          </cell>
          <cell r="AH1445">
            <v>0.2</v>
          </cell>
          <cell r="AI1445">
            <v>0.2</v>
          </cell>
          <cell r="AJ1445">
            <v>0.2</v>
          </cell>
          <cell r="AK1445">
            <v>0.2</v>
          </cell>
          <cell r="AL1445">
            <v>0.2</v>
          </cell>
          <cell r="AM1445">
            <v>0.2</v>
          </cell>
          <cell r="AN1445">
            <v>0.2</v>
          </cell>
          <cell r="AO1445">
            <v>0.2</v>
          </cell>
          <cell r="AP1445">
            <v>0.2</v>
          </cell>
          <cell r="AQ1445">
            <v>0.2</v>
          </cell>
          <cell r="AR1445">
            <v>0.2</v>
          </cell>
          <cell r="AS1445">
            <v>0.2</v>
          </cell>
          <cell r="AT1445">
            <v>-0.04</v>
          </cell>
          <cell r="AU1445">
            <v>0.92</v>
          </cell>
          <cell r="AV1445">
            <v>20</v>
          </cell>
          <cell r="AZ1445">
            <v>0.2</v>
          </cell>
          <cell r="BA1445">
            <v>0.2</v>
          </cell>
        </row>
        <row r="1446">
          <cell r="A1446" t="str">
            <v>LA NUOVA SERRANDA</v>
          </cell>
          <cell r="D1446" t="str">
            <v>VIA G.FERRAIS, 28</v>
          </cell>
          <cell r="E1446">
            <v>21047</v>
          </cell>
          <cell r="F1446" t="str">
            <v>SARONNO</v>
          </cell>
          <cell r="G1446" t="str">
            <v>VA</v>
          </cell>
          <cell r="H1446" t="str">
            <v>ITALIA</v>
          </cell>
          <cell r="I1446" t="str">
            <v>00547860122</v>
          </cell>
          <cell r="J1446" t="str">
            <v>00547860122</v>
          </cell>
          <cell r="M1446" t="str">
            <v>UFFICIO ACQUISTI</v>
          </cell>
          <cell r="N1446" t="str">
            <v>02 9603131</v>
          </cell>
          <cell r="P1446" t="str">
            <v>info@lanuovaserranda.it</v>
          </cell>
          <cell r="R1446" t="str">
            <v>BONIFICO BANCARIO, ALLA DATA DELLA NOSTRA CONFERMA D'ORDINE</v>
          </cell>
          <cell r="X1446">
            <v>0.25</v>
          </cell>
          <cell r="Y1446">
            <v>-0.04</v>
          </cell>
          <cell r="AB1446">
            <v>0.25</v>
          </cell>
          <cell r="AC1446">
            <v>0.25</v>
          </cell>
          <cell r="AD1446">
            <v>0.25</v>
          </cell>
          <cell r="AE1446">
            <v>0.25</v>
          </cell>
          <cell r="AF1446">
            <v>0.25</v>
          </cell>
          <cell r="AG1446">
            <v>0.25</v>
          </cell>
          <cell r="AH1446">
            <v>0.25</v>
          </cell>
          <cell r="AI1446">
            <v>0.25</v>
          </cell>
          <cell r="AJ1446">
            <v>0.25</v>
          </cell>
          <cell r="AK1446">
            <v>0.25</v>
          </cell>
          <cell r="AL1446">
            <v>0.25</v>
          </cell>
          <cell r="AM1446">
            <v>0.25</v>
          </cell>
          <cell r="AN1446">
            <v>0.25</v>
          </cell>
          <cell r="AO1446">
            <v>0.25</v>
          </cell>
          <cell r="AP1446">
            <v>0.25</v>
          </cell>
          <cell r="AQ1446">
            <v>0.25</v>
          </cell>
          <cell r="AR1446">
            <v>0.25</v>
          </cell>
          <cell r="AS1446">
            <v>0.25</v>
          </cell>
          <cell r="AT1446">
            <v>-0.04</v>
          </cell>
          <cell r="AU1446">
            <v>0.92</v>
          </cell>
          <cell r="AV1446">
            <v>20</v>
          </cell>
          <cell r="AY1446" t="str">
            <v/>
          </cell>
          <cell r="AZ1446">
            <v>0.25</v>
          </cell>
          <cell r="BA1446">
            <v>0.25</v>
          </cell>
        </row>
        <row r="1447">
          <cell r="A1447" t="str">
            <v>LA PORTA IMMOBILIARE DI GAIA SERGIO &amp; C. SAS</v>
          </cell>
          <cell r="B1447" t="str">
            <v>K TERMICO 31/03/23 STANNO CHIUDENDO ATTIVITA'</v>
          </cell>
          <cell r="D1447" t="str">
            <v>PIAZZA DEI LUPI, 10</v>
          </cell>
          <cell r="E1447">
            <v>15041</v>
          </cell>
          <cell r="F1447" t="str">
            <v>ALTAVILLA MONFERRATO</v>
          </cell>
          <cell r="G1447" t="str">
            <v>AL</v>
          </cell>
          <cell r="H1447" t="str">
            <v>ITALIA</v>
          </cell>
          <cell r="J1447" t="str">
            <v>01968510063</v>
          </cell>
          <cell r="M1447" t="str">
            <v>UFFICIO ACQUISTI</v>
          </cell>
          <cell r="O1447" t="str">
            <v>333 9642644 Sergio</v>
          </cell>
          <cell r="P1447" t="str">
            <v>ktermico@gmail.com</v>
          </cell>
          <cell r="R1447" t="str">
            <v>BONIFICO BANCARIO, ALLA DATA DELLA NOSTRA CONFERMA D'ORDINE</v>
          </cell>
          <cell r="X1447">
            <v>0.25</v>
          </cell>
          <cell r="Y1447">
            <v>-0.04</v>
          </cell>
          <cell r="AB1447">
            <v>0.25</v>
          </cell>
          <cell r="AC1447">
            <v>0.25</v>
          </cell>
          <cell r="AD1447">
            <v>0.25</v>
          </cell>
          <cell r="AE1447">
            <v>0.25</v>
          </cell>
          <cell r="AF1447">
            <v>0.25</v>
          </cell>
          <cell r="AG1447">
            <v>0.25</v>
          </cell>
          <cell r="AH1447">
            <v>0.25</v>
          </cell>
          <cell r="AI1447">
            <v>0.25</v>
          </cell>
          <cell r="AJ1447">
            <v>0.25</v>
          </cell>
          <cell r="AK1447">
            <v>0.25</v>
          </cell>
          <cell r="AL1447">
            <v>0.25</v>
          </cell>
          <cell r="AM1447">
            <v>0.25</v>
          </cell>
          <cell r="AN1447">
            <v>0.25</v>
          </cell>
          <cell r="AO1447">
            <v>0.25</v>
          </cell>
          <cell r="AP1447">
            <v>0.25</v>
          </cell>
          <cell r="AQ1447">
            <v>0.25</v>
          </cell>
          <cell r="AR1447">
            <v>0.25</v>
          </cell>
          <cell r="AS1447">
            <v>0.25</v>
          </cell>
          <cell r="AT1447">
            <v>-0.04</v>
          </cell>
          <cell r="AU1447">
            <v>0.92</v>
          </cell>
          <cell r="AV1447">
            <v>20</v>
          </cell>
          <cell r="AZ1447">
            <v>0.25</v>
          </cell>
          <cell r="BA1447">
            <v>0.25</v>
          </cell>
        </row>
        <row r="1448">
          <cell r="A1448" t="str">
            <v>LA PORTA SRLS</v>
          </cell>
          <cell r="B1448" t="str">
            <v>E' DIVENTATO RIVENDITORE</v>
          </cell>
          <cell r="D1448" t="str">
            <v>VIA MARCO TULLIO CICERONE, 122</v>
          </cell>
          <cell r="E1448" t="str">
            <v>03100</v>
          </cell>
          <cell r="F1448" t="str">
            <v>FROSINONE</v>
          </cell>
          <cell r="G1448" t="str">
            <v>FR</v>
          </cell>
          <cell r="H1448" t="str">
            <v>ITALIA</v>
          </cell>
          <cell r="J1448" t="str">
            <v>02807510603</v>
          </cell>
          <cell r="K1448" t="str">
            <v>W7YVJK9</v>
          </cell>
          <cell r="M1448" t="str">
            <v>UFFICIO ACQUISTI</v>
          </cell>
          <cell r="N1448" t="str">
            <v>0775 294101</v>
          </cell>
          <cell r="P1448" t="str">
            <v>commerciale@laportasrl.com</v>
          </cell>
          <cell r="R1448" t="str">
            <v>BONIFICO BANCARIO, ALLA DATA DELLA NOSTRA CONFERMA D'ORDINE</v>
          </cell>
          <cell r="X1448">
            <v>0.25</v>
          </cell>
          <cell r="Y1448">
            <v>-0.04</v>
          </cell>
          <cell r="AB1448">
            <v>0.25</v>
          </cell>
          <cell r="AC1448">
            <v>0.25</v>
          </cell>
          <cell r="AD1448">
            <v>0.25</v>
          </cell>
          <cell r="AE1448">
            <v>0.25</v>
          </cell>
          <cell r="AF1448">
            <v>0.25</v>
          </cell>
          <cell r="AG1448">
            <v>0.25</v>
          </cell>
          <cell r="AH1448">
            <v>0.25</v>
          </cell>
          <cell r="AI1448">
            <v>0.25</v>
          </cell>
          <cell r="AJ1448">
            <v>0.25</v>
          </cell>
          <cell r="AK1448">
            <v>0.25</v>
          </cell>
          <cell r="AL1448">
            <v>0.25</v>
          </cell>
          <cell r="AM1448">
            <v>0.25</v>
          </cell>
          <cell r="AN1448">
            <v>0.25</v>
          </cell>
          <cell r="AO1448">
            <v>0.25</v>
          </cell>
          <cell r="AP1448">
            <v>0.25</v>
          </cell>
          <cell r="AQ1448">
            <v>0.25</v>
          </cell>
          <cell r="AR1448">
            <v>0.25</v>
          </cell>
          <cell r="AS1448">
            <v>0.25</v>
          </cell>
          <cell r="AT1448">
            <v>-0.04</v>
          </cell>
          <cell r="AU1448">
            <v>0.88</v>
          </cell>
          <cell r="AV1448">
            <v>20</v>
          </cell>
          <cell r="AY1448" t="str">
            <v/>
          </cell>
          <cell r="AZ1448">
            <v>0.25</v>
          </cell>
          <cell r="BA1448">
            <v>0.25</v>
          </cell>
          <cell r="BF1448" t="str">
            <v>CLICK RAPID con carpenteria 07/01/2021</v>
          </cell>
        </row>
        <row r="1449">
          <cell r="A1449" t="str">
            <v>LA SER-MA S.A.S.</v>
          </cell>
          <cell r="D1449" t="str">
            <v>VIA DELL' ARTIGIANATO 31</v>
          </cell>
          <cell r="E1449" t="str">
            <v>25030</v>
          </cell>
          <cell r="F1449" t="str">
            <v xml:space="preserve">TORBOLE CASAGLIA </v>
          </cell>
          <cell r="G1449" t="str">
            <v>BS</v>
          </cell>
          <cell r="H1449" t="str">
            <v>ITALIA</v>
          </cell>
          <cell r="M1449" t="str">
            <v>UFFICIO ACQUISTI</v>
          </cell>
          <cell r="N1449" t="str">
            <v>030 2582922</v>
          </cell>
          <cell r="O1449" t="str">
            <v>335 5313043</v>
          </cell>
          <cell r="P1449" t="str">
            <v>laserma@libero.it</v>
          </cell>
          <cell r="R1449" t="str">
            <v>BONIFICO BANCARIO, ALLA DATA DELLA NOSTRA CONFERMA D'ORDINE</v>
          </cell>
          <cell r="X1449">
            <v>0.25</v>
          </cell>
          <cell r="Y1449">
            <v>-0.04</v>
          </cell>
          <cell r="AB1449">
            <v>0.25</v>
          </cell>
          <cell r="AC1449">
            <v>0.25</v>
          </cell>
          <cell r="AD1449">
            <v>0.25</v>
          </cell>
          <cell r="AE1449">
            <v>0.25</v>
          </cell>
          <cell r="AF1449">
            <v>0.25</v>
          </cell>
          <cell r="AG1449">
            <v>0.25</v>
          </cell>
          <cell r="AH1449">
            <v>0.25</v>
          </cell>
          <cell r="AI1449">
            <v>0.25</v>
          </cell>
          <cell r="AJ1449">
            <v>0.25</v>
          </cell>
          <cell r="AK1449">
            <v>0.25</v>
          </cell>
          <cell r="AL1449">
            <v>0.25</v>
          </cell>
          <cell r="AM1449">
            <v>0.25</v>
          </cell>
          <cell r="AN1449">
            <v>0.25</v>
          </cell>
          <cell r="AO1449">
            <v>0.25</v>
          </cell>
          <cell r="AP1449">
            <v>0.25</v>
          </cell>
          <cell r="AQ1449">
            <v>0.25</v>
          </cell>
          <cell r="AR1449">
            <v>0.25</v>
          </cell>
          <cell r="AS1449">
            <v>0.25</v>
          </cell>
          <cell r="AT1449">
            <v>-0.04</v>
          </cell>
          <cell r="AU1449">
            <v>0.92</v>
          </cell>
          <cell r="AV1449">
            <v>20</v>
          </cell>
          <cell r="AY1449" t="str">
            <v/>
          </cell>
          <cell r="AZ1449">
            <v>0.25</v>
          </cell>
          <cell r="BA1449">
            <v>0.25</v>
          </cell>
        </row>
        <row r="1450">
          <cell r="A1450" t="str">
            <v>CASA SICUREZZA</v>
          </cell>
          <cell r="B1450" t="str">
            <v>27/04/23 CHIAMATA DI VALENTI. VARIATA RAGIONE SOCIALE (PRIMA ERA "LA SICUREZZA"). PAPA' ANDATO IN PENSIONE. SONO RIMASTI CON ACQUASTOP CHE GLI HA MANTENUTO STESSE CONDIZIONI, PREZZI… E LORO SI TROVANO BENE. MA, PAROLE DEL TITOLARE, "NON HANNO SPOSATO NESSUNO". GRADISCONO VISITA</v>
          </cell>
          <cell r="D1450" t="str">
            <v>VIA GIOSUE' CARDUCCI 18</v>
          </cell>
          <cell r="E1450">
            <v>35010</v>
          </cell>
          <cell r="F1450" t="str">
            <v>VIGODARZERE</v>
          </cell>
          <cell r="G1450" t="str">
            <v>PD</v>
          </cell>
          <cell r="H1450" t="str">
            <v>ITALIA</v>
          </cell>
          <cell r="J1450" t="str">
            <v>01297090282</v>
          </cell>
          <cell r="M1450" t="str">
            <v>SIGG.RI TONELLO GIOVANNI E GIULIANO</v>
          </cell>
          <cell r="N1450" t="str">
            <v>049 702136</v>
          </cell>
          <cell r="O1450" t="str">
            <v>347 1626513 FABIO
347 1631341 GIULIANO</v>
          </cell>
          <cell r="P1450" t="str">
            <v>info@casasicurezza.it</v>
          </cell>
          <cell r="R1450" t="str">
            <v>BONIFICO BANCARIO, ALLA DATA DELLA NOSTRA CONFERMA D'ORDINE</v>
          </cell>
          <cell r="X1450">
            <v>0.25</v>
          </cell>
          <cell r="Y1450">
            <v>-0.04</v>
          </cell>
          <cell r="AB1450">
            <v>0.25</v>
          </cell>
          <cell r="AC1450">
            <v>0.25</v>
          </cell>
          <cell r="AD1450">
            <v>0.25</v>
          </cell>
          <cell r="AE1450">
            <v>0.25</v>
          </cell>
          <cell r="AF1450">
            <v>0.25</v>
          </cell>
          <cell r="AG1450">
            <v>0.25</v>
          </cell>
          <cell r="AH1450">
            <v>0.25</v>
          </cell>
          <cell r="AI1450">
            <v>0.25</v>
          </cell>
          <cell r="AJ1450">
            <v>0.25</v>
          </cell>
          <cell r="AK1450">
            <v>0.25</v>
          </cell>
          <cell r="AL1450">
            <v>0.25</v>
          </cell>
          <cell r="AM1450">
            <v>0.25</v>
          </cell>
          <cell r="AN1450">
            <v>0.25</v>
          </cell>
          <cell r="AO1450">
            <v>0.25</v>
          </cell>
          <cell r="AP1450">
            <v>0.25</v>
          </cell>
          <cell r="AQ1450">
            <v>0.25</v>
          </cell>
          <cell r="AR1450">
            <v>0.25</v>
          </cell>
          <cell r="AS1450">
            <v>0.25</v>
          </cell>
          <cell r="AT1450">
            <v>-0.04</v>
          </cell>
          <cell r="AU1450">
            <v>0.92</v>
          </cell>
          <cell r="AV1450">
            <v>20</v>
          </cell>
          <cell r="AY1450" t="str">
            <v/>
          </cell>
          <cell r="AZ1450">
            <v>0.25</v>
          </cell>
          <cell r="BA1450">
            <v>0.25</v>
          </cell>
        </row>
        <row r="1451">
          <cell r="A1451" t="str">
            <v>LA SOLUZIONE SERRAMENTI</v>
          </cell>
          <cell r="D1451" t="str">
            <v>VIA VOLDOMINO, 40</v>
          </cell>
          <cell r="E1451">
            <v>21016</v>
          </cell>
          <cell r="F1451" t="str">
            <v>LUINO</v>
          </cell>
          <cell r="G1451" t="str">
            <v>VA</v>
          </cell>
          <cell r="H1451" t="str">
            <v>ITALIA</v>
          </cell>
          <cell r="J1451" t="str">
            <v>02910290127</v>
          </cell>
          <cell r="M1451" t="str">
            <v>UFFICIO ACQUISTI</v>
          </cell>
          <cell r="N1451" t="str">
            <v>0333 50226</v>
          </cell>
          <cell r="P1451" t="str">
            <v>info@lasoluzione serramenti.it</v>
          </cell>
          <cell r="R1451" t="str">
            <v>BONIFICO BANCARIO, ALLA DATA DELLA NOSTRA CONFERMA D'ORDINE</v>
          </cell>
          <cell r="X1451">
            <v>0.25</v>
          </cell>
          <cell r="Y1451">
            <v>-0.04</v>
          </cell>
          <cell r="AB1451">
            <v>0.25</v>
          </cell>
          <cell r="AC1451">
            <v>0.25</v>
          </cell>
          <cell r="AD1451">
            <v>0.25</v>
          </cell>
          <cell r="AE1451">
            <v>0.25</v>
          </cell>
          <cell r="AF1451">
            <v>0.25</v>
          </cell>
          <cell r="AG1451">
            <v>0.25</v>
          </cell>
          <cell r="AH1451">
            <v>0.25</v>
          </cell>
          <cell r="AI1451">
            <v>0.25</v>
          </cell>
          <cell r="AJ1451">
            <v>0.25</v>
          </cell>
          <cell r="AK1451">
            <v>0.25</v>
          </cell>
          <cell r="AL1451">
            <v>0.25</v>
          </cell>
          <cell r="AM1451">
            <v>0.25</v>
          </cell>
          <cell r="AN1451">
            <v>0.25</v>
          </cell>
          <cell r="AO1451">
            <v>0.25</v>
          </cell>
          <cell r="AP1451">
            <v>0.25</v>
          </cell>
          <cell r="AQ1451">
            <v>0.25</v>
          </cell>
          <cell r="AR1451">
            <v>0.25</v>
          </cell>
          <cell r="AS1451">
            <v>0.25</v>
          </cell>
          <cell r="AT1451">
            <v>-0.04</v>
          </cell>
          <cell r="AU1451">
            <v>0.92</v>
          </cell>
          <cell r="AV1451">
            <v>20</v>
          </cell>
          <cell r="AY1451" t="str">
            <v/>
          </cell>
          <cell r="AZ1451">
            <v>0.25</v>
          </cell>
          <cell r="BA1451">
            <v>0.25</v>
          </cell>
        </row>
        <row r="1452">
          <cell r="A1452" t="str">
            <v>LA SOVRANA INFISSI</v>
          </cell>
          <cell r="D1452" t="str">
            <v>STRADA DI SABBIONE, 63 A</v>
          </cell>
          <cell r="E1452" t="str">
            <v>05100</v>
          </cell>
          <cell r="F1452" t="str">
            <v>TERNI</v>
          </cell>
          <cell r="G1452" t="str">
            <v>TR</v>
          </cell>
          <cell r="H1452" t="str">
            <v>ITALIA</v>
          </cell>
          <cell r="M1452" t="str">
            <v>UFFICIO ACQUISTI</v>
          </cell>
          <cell r="N1452" t="str">
            <v>0744 814265</v>
          </cell>
          <cell r="O1452" t="str">
            <v>333 5274744</v>
          </cell>
          <cell r="P1452" t="str">
            <v>info@lasovranainfissi.it</v>
          </cell>
          <cell r="R1452" t="str">
            <v>BONIFICO BANCARIO, ALLA DATA DELLA NOSTRA CONFERMA D'ORDINE</v>
          </cell>
          <cell r="Y1452">
            <v>-0.04</v>
          </cell>
          <cell r="AT1452">
            <v>-0.04</v>
          </cell>
          <cell r="AV1452">
            <v>20</v>
          </cell>
          <cell r="AZ1452">
            <v>0</v>
          </cell>
          <cell r="BA1452">
            <v>0</v>
          </cell>
        </row>
        <row r="1453">
          <cell r="A1453" t="str">
            <v>LA TAPPARELLA</v>
          </cell>
          <cell r="D1453" t="str">
            <v>VIA PANARO, 303</v>
          </cell>
          <cell r="E1453" t="str">
            <v>41056</v>
          </cell>
          <cell r="F1453" t="str">
            <v>SAVIGNANO SUL PA.</v>
          </cell>
          <cell r="G1453" t="str">
            <v>MO</v>
          </cell>
          <cell r="H1453" t="str">
            <v>ITALIA</v>
          </cell>
          <cell r="J1453" t="str">
            <v>02632940363</v>
          </cell>
          <cell r="M1453" t="str">
            <v>UFFICIO ACQUISTI</v>
          </cell>
          <cell r="N1453" t="str">
            <v>059 773859</v>
          </cell>
          <cell r="P1453" t="str">
            <v>info@tapparella.net</v>
          </cell>
          <cell r="R1453" t="str">
            <v>BONIFICO BANCARIO, ALLA DATA DELLA NOSTRA CONFERMA D'ORDINE</v>
          </cell>
          <cell r="X1453">
            <v>0.25</v>
          </cell>
          <cell r="Y1453">
            <v>-0.04</v>
          </cell>
          <cell r="AB1453">
            <v>0.25</v>
          </cell>
          <cell r="AC1453">
            <v>0.25</v>
          </cell>
          <cell r="AD1453">
            <v>0.25</v>
          </cell>
          <cell r="AE1453">
            <v>0.25</v>
          </cell>
          <cell r="AF1453">
            <v>0.25</v>
          </cell>
          <cell r="AG1453">
            <v>0.25</v>
          </cell>
          <cell r="AH1453">
            <v>0.25</v>
          </cell>
          <cell r="AI1453">
            <v>0.25</v>
          </cell>
          <cell r="AJ1453">
            <v>0.25</v>
          </cell>
          <cell r="AK1453">
            <v>0.25</v>
          </cell>
          <cell r="AL1453">
            <v>0.25</v>
          </cell>
          <cell r="AM1453">
            <v>0.25</v>
          </cell>
          <cell r="AN1453">
            <v>0.25</v>
          </cell>
          <cell r="AO1453">
            <v>0.25</v>
          </cell>
          <cell r="AP1453">
            <v>0.25</v>
          </cell>
          <cell r="AQ1453">
            <v>0.25</v>
          </cell>
          <cell r="AR1453">
            <v>0.25</v>
          </cell>
          <cell r="AS1453">
            <v>0.25</v>
          </cell>
          <cell r="AT1453">
            <v>-0.04</v>
          </cell>
          <cell r="AU1453">
            <v>0.92</v>
          </cell>
          <cell r="AV1453">
            <v>20</v>
          </cell>
          <cell r="AZ1453">
            <v>0.25</v>
          </cell>
          <cell r="BA1453">
            <v>0.25</v>
          </cell>
        </row>
        <row r="1454">
          <cell r="A1454" t="str">
            <v>LA TECNICA DEL GESSO S.A.S.</v>
          </cell>
          <cell r="D1454" t="str">
            <v>VIA CICERONE, 51</v>
          </cell>
          <cell r="E1454" t="str">
            <v>81031</v>
          </cell>
          <cell r="F1454" t="str">
            <v>AVERSA</v>
          </cell>
          <cell r="G1454" t="str">
            <v>CE</v>
          </cell>
          <cell r="H1454" t="str">
            <v>ITALIA</v>
          </cell>
          <cell r="J1454" t="str">
            <v>04106210612</v>
          </cell>
          <cell r="M1454" t="str">
            <v>UFFICIO ACQUISTI</v>
          </cell>
          <cell r="N1454" t="str">
            <v>081 3533838</v>
          </cell>
          <cell r="O1454" t="str">
            <v>339 3995902</v>
          </cell>
          <cell r="P1454" t="str">
            <v>legione2012@gmail.com</v>
          </cell>
          <cell r="R1454" t="str">
            <v>BONIFICO BANCARIO, ALLA DATA DELLA NOSTRA CONFERMA D'ORDINE</v>
          </cell>
          <cell r="X1454">
            <v>0.25</v>
          </cell>
          <cell r="Y1454">
            <v>-0.04</v>
          </cell>
          <cell r="AB1454">
            <v>0.25</v>
          </cell>
          <cell r="AC1454">
            <v>0.25</v>
          </cell>
          <cell r="AD1454">
            <v>0.25</v>
          </cell>
          <cell r="AE1454">
            <v>0.25</v>
          </cell>
          <cell r="AF1454">
            <v>0.25</v>
          </cell>
          <cell r="AG1454">
            <v>0.25</v>
          </cell>
          <cell r="AH1454">
            <v>0.25</v>
          </cell>
          <cell r="AI1454">
            <v>0.25</v>
          </cell>
          <cell r="AJ1454">
            <v>0.25</v>
          </cell>
          <cell r="AK1454">
            <v>0.25</v>
          </cell>
          <cell r="AL1454">
            <v>0.25</v>
          </cell>
          <cell r="AM1454">
            <v>0.25</v>
          </cell>
          <cell r="AN1454">
            <v>0.25</v>
          </cell>
          <cell r="AO1454">
            <v>0.25</v>
          </cell>
          <cell r="AP1454">
            <v>0.25</v>
          </cell>
          <cell r="AQ1454">
            <v>0.25</v>
          </cell>
          <cell r="AR1454">
            <v>0.25</v>
          </cell>
          <cell r="AS1454">
            <v>0.25</v>
          </cell>
          <cell r="AT1454">
            <v>-0.04</v>
          </cell>
          <cell r="AU1454">
            <v>0.92</v>
          </cell>
          <cell r="AV1454">
            <v>20</v>
          </cell>
          <cell r="AY1454" t="str">
            <v/>
          </cell>
          <cell r="AZ1454">
            <v>0.25</v>
          </cell>
          <cell r="BA1454">
            <v>0.25</v>
          </cell>
        </row>
        <row r="1455">
          <cell r="A1455" t="str">
            <v>LA TUA TENDA</v>
          </cell>
          <cell r="D1455" t="str">
            <v>VIA CASONI, 30</v>
          </cell>
          <cell r="E1455">
            <v>19122</v>
          </cell>
          <cell r="F1455" t="str">
            <v>LA SPEZIA</v>
          </cell>
          <cell r="G1455" t="str">
            <v>SP</v>
          </cell>
          <cell r="H1455" t="str">
            <v>ITALIA</v>
          </cell>
          <cell r="I1455" t="str">
            <v>SMBSBL64H56Z321N</v>
          </cell>
          <cell r="J1455" t="str">
            <v>00897240115</v>
          </cell>
          <cell r="M1455" t="str">
            <v>UFFICIO ACQUISTI</v>
          </cell>
          <cell r="N1455" t="str">
            <v>0187 715678</v>
          </cell>
          <cell r="O1455" t="str">
            <v>348 5921209</v>
          </cell>
          <cell r="P1455" t="str">
            <v>info@latuatenda.it</v>
          </cell>
          <cell r="R1455" t="str">
            <v>BONIFICO BANCARIO, ALLA DATA DELLA NOSTRA CONFERMA D'ORDINE</v>
          </cell>
          <cell r="X1455">
            <v>0.25</v>
          </cell>
          <cell r="Y1455">
            <v>-0.04</v>
          </cell>
          <cell r="AB1455">
            <v>0.25</v>
          </cell>
          <cell r="AC1455">
            <v>0.25</v>
          </cell>
          <cell r="AD1455">
            <v>0.25</v>
          </cell>
          <cell r="AE1455">
            <v>0.25</v>
          </cell>
          <cell r="AF1455">
            <v>0.25</v>
          </cell>
          <cell r="AG1455">
            <v>0.25</v>
          </cell>
          <cell r="AH1455">
            <v>0.25</v>
          </cell>
          <cell r="AI1455">
            <v>0.25</v>
          </cell>
          <cell r="AJ1455">
            <v>0.25</v>
          </cell>
          <cell r="AK1455">
            <v>0.25</v>
          </cell>
          <cell r="AL1455">
            <v>0.25</v>
          </cell>
          <cell r="AM1455">
            <v>0.25</v>
          </cell>
          <cell r="AN1455">
            <v>0.25</v>
          </cell>
          <cell r="AO1455">
            <v>0.25</v>
          </cell>
          <cell r="AP1455">
            <v>0.25</v>
          </cell>
          <cell r="AQ1455">
            <v>0.25</v>
          </cell>
          <cell r="AR1455">
            <v>0.25</v>
          </cell>
          <cell r="AS1455">
            <v>0.25</v>
          </cell>
          <cell r="AT1455">
            <v>-0.04</v>
          </cell>
          <cell r="AU1455">
            <v>0.92</v>
          </cell>
          <cell r="AV1455">
            <v>20</v>
          </cell>
          <cell r="AY1455" t="str">
            <v/>
          </cell>
          <cell r="AZ1455">
            <v>0.25</v>
          </cell>
          <cell r="BA1455">
            <v>0.25</v>
          </cell>
        </row>
        <row r="1456">
          <cell r="A1456" t="str">
            <v>LA VETRERIA CIRIGNANO</v>
          </cell>
          <cell r="B1456" t="str">
            <v>OKNOPLAST</v>
          </cell>
          <cell r="D1456" t="str">
            <v>VICOLO EMPOLITANA, 2</v>
          </cell>
          <cell r="E1456" t="str">
            <v>00019</v>
          </cell>
          <cell r="F1456" t="str">
            <v>TIVOLI</v>
          </cell>
          <cell r="G1456" t="str">
            <v>RM</v>
          </cell>
          <cell r="H1456" t="str">
            <v>ITALIA</v>
          </cell>
          <cell r="M1456" t="str">
            <v>UFFICIO ACQUISTI</v>
          </cell>
          <cell r="N1456" t="str">
            <v>0774 313993</v>
          </cell>
          <cell r="O1456" t="str">
            <v>346 3586021</v>
          </cell>
          <cell r="P1456" t="str">
            <v>vetreriacirignano@libero.it</v>
          </cell>
          <cell r="R1456" t="str">
            <v>BONIFICO BANCARIO, ALLA DATA DELLA NOSTRA CONFERMA D'ORDINE</v>
          </cell>
          <cell r="X1456">
            <v>0.25</v>
          </cell>
          <cell r="Y1456">
            <v>-0.04</v>
          </cell>
          <cell r="AB1456">
            <v>0.25</v>
          </cell>
          <cell r="AC1456">
            <v>0.25</v>
          </cell>
          <cell r="AD1456">
            <v>0.25</v>
          </cell>
          <cell r="AE1456">
            <v>0.25</v>
          </cell>
          <cell r="AF1456">
            <v>0.25</v>
          </cell>
          <cell r="AG1456">
            <v>0.25</v>
          </cell>
          <cell r="AH1456">
            <v>0.25</v>
          </cell>
          <cell r="AI1456">
            <v>0.25</v>
          </cell>
          <cell r="AJ1456">
            <v>0.25</v>
          </cell>
          <cell r="AK1456">
            <v>0.25</v>
          </cell>
          <cell r="AL1456">
            <v>0.25</v>
          </cell>
          <cell r="AM1456">
            <v>0.25</v>
          </cell>
          <cell r="AN1456">
            <v>0.25</v>
          </cell>
          <cell r="AO1456">
            <v>0.25</v>
          </cell>
          <cell r="AP1456">
            <v>0.25</v>
          </cell>
          <cell r="AQ1456">
            <v>0.25</v>
          </cell>
          <cell r="AR1456">
            <v>0.25</v>
          </cell>
          <cell r="AS1456">
            <v>0.25</v>
          </cell>
          <cell r="AT1456">
            <v>-0.04</v>
          </cell>
          <cell r="AU1456">
            <v>0.92</v>
          </cell>
          <cell r="AV1456">
            <v>20</v>
          </cell>
          <cell r="AZ1456">
            <v>0.25</v>
          </cell>
          <cell r="BA1456">
            <v>0.25</v>
          </cell>
        </row>
        <row r="1457">
          <cell r="A1457" t="str">
            <v>LA Z SERRAMENTI di Zorba Luigi &amp; Zanella Nigle S.N.C</v>
          </cell>
          <cell r="C1457" t="str">
            <v>GO1</v>
          </cell>
          <cell r="D1457" t="str">
            <v>VIA CHICO MENDES, 22</v>
          </cell>
          <cell r="E1457">
            <v>34074</v>
          </cell>
          <cell r="F1457" t="str">
            <v>MONFALCONE</v>
          </cell>
          <cell r="G1457" t="str">
            <v>GO</v>
          </cell>
          <cell r="H1457" t="str">
            <v>ITALIA</v>
          </cell>
          <cell r="I1457" t="str">
            <v>00545970311</v>
          </cell>
          <cell r="J1457" t="str">
            <v>00545970311</v>
          </cell>
          <cell r="K1457" t="str">
            <v>W7YVJK9</v>
          </cell>
          <cell r="M1457" t="str">
            <v>UFFICIO ACQUISTI</v>
          </cell>
          <cell r="N1457" t="str">
            <v>0481 722141</v>
          </cell>
          <cell r="P1457" t="str">
            <v>LAZSERRAMENTI@LIBERO.IT</v>
          </cell>
          <cell r="R1457" t="str">
            <v>BONIFICO BANCARIO, ALLA DATA DELLA NOSTRA CONFERMA D'ORDINE</v>
          </cell>
          <cell r="X1457">
            <v>0.25</v>
          </cell>
          <cell r="Y1457">
            <v>-0.04</v>
          </cell>
          <cell r="AB1457">
            <v>0.25</v>
          </cell>
          <cell r="AC1457">
            <v>0.25</v>
          </cell>
          <cell r="AD1457">
            <v>0.25</v>
          </cell>
          <cell r="AE1457">
            <v>0.25</v>
          </cell>
          <cell r="AF1457">
            <v>0.25</v>
          </cell>
          <cell r="AG1457">
            <v>0.25</v>
          </cell>
          <cell r="AH1457">
            <v>0.25</v>
          </cell>
          <cell r="AI1457">
            <v>0.25</v>
          </cell>
          <cell r="AJ1457">
            <v>0.25</v>
          </cell>
          <cell r="AK1457">
            <v>0.25</v>
          </cell>
          <cell r="AL1457">
            <v>0.25</v>
          </cell>
          <cell r="AM1457">
            <v>0.25</v>
          </cell>
          <cell r="AN1457">
            <v>0.25</v>
          </cell>
          <cell r="AO1457">
            <v>0.25</v>
          </cell>
          <cell r="AP1457">
            <v>0.25</v>
          </cell>
          <cell r="AQ1457">
            <v>0.25</v>
          </cell>
          <cell r="AR1457">
            <v>0.25</v>
          </cell>
          <cell r="AS1457">
            <v>0.25</v>
          </cell>
          <cell r="AT1457">
            <v>-0.04</v>
          </cell>
          <cell r="AU1457">
            <v>0.92</v>
          </cell>
          <cell r="AV1457">
            <v>20</v>
          </cell>
          <cell r="AY1457" t="str">
            <v/>
          </cell>
          <cell r="AZ1457">
            <v>0.25</v>
          </cell>
          <cell r="BA1457">
            <v>0.25</v>
          </cell>
        </row>
        <row r="1458">
          <cell r="A1458" t="str">
            <v>LA.VE.AL.SNC DEI F.LLI AGUS</v>
          </cell>
          <cell r="B1458" t="str">
            <v>USA TRITONE  ERA MEGLIO SEGEI,FACEVO IL 25%</v>
          </cell>
          <cell r="D1458" t="str">
            <v>ZONAART.LOC.BARDELLA</v>
          </cell>
          <cell r="E1458" t="str">
            <v>09041</v>
          </cell>
          <cell r="F1458" t="str">
            <v>DOLIANOVA</v>
          </cell>
          <cell r="G1458" t="str">
            <v>CA</v>
          </cell>
          <cell r="H1458" t="str">
            <v>ITALIA</v>
          </cell>
          <cell r="M1458" t="str">
            <v>UFFICIO ACQUISTI</v>
          </cell>
          <cell r="N1458" t="str">
            <v>070 740829</v>
          </cell>
          <cell r="O1458" t="str">
            <v>333 4822697</v>
          </cell>
          <cell r="P1458" t="str">
            <v>aguslaveal@tiscali.it</v>
          </cell>
          <cell r="R1458" t="str">
            <v>BONIFICO BANCARIO, ALLA DATA DELLA NOSTRA CONFERMA D'ORDINE</v>
          </cell>
          <cell r="X1458">
            <v>0.15</v>
          </cell>
          <cell r="Y1458">
            <v>-0.04</v>
          </cell>
          <cell r="AB1458">
            <v>0.15</v>
          </cell>
          <cell r="AC1458">
            <v>0.15</v>
          </cell>
          <cell r="AD1458">
            <v>0.15</v>
          </cell>
          <cell r="AE1458">
            <v>0.15</v>
          </cell>
          <cell r="AF1458">
            <v>0.15</v>
          </cell>
          <cell r="AG1458">
            <v>0.15</v>
          </cell>
          <cell r="AH1458">
            <v>0.15</v>
          </cell>
          <cell r="AI1458">
            <v>0.15</v>
          </cell>
          <cell r="AJ1458">
            <v>0.15</v>
          </cell>
          <cell r="AK1458">
            <v>0.15</v>
          </cell>
          <cell r="AL1458">
            <v>0.15</v>
          </cell>
          <cell r="AM1458">
            <v>0.15</v>
          </cell>
          <cell r="AN1458">
            <v>0.15</v>
          </cell>
          <cell r="AO1458">
            <v>0.15</v>
          </cell>
          <cell r="AP1458">
            <v>0.15</v>
          </cell>
          <cell r="AQ1458">
            <v>0.15</v>
          </cell>
          <cell r="AR1458">
            <v>0.15</v>
          </cell>
          <cell r="AS1458">
            <v>0.15</v>
          </cell>
          <cell r="AT1458">
            <v>-0.04</v>
          </cell>
          <cell r="AU1458">
            <v>0.92</v>
          </cell>
          <cell r="AV1458">
            <v>20</v>
          </cell>
          <cell r="AZ1458">
            <v>0.15</v>
          </cell>
          <cell r="BA1458">
            <v>0.15</v>
          </cell>
        </row>
        <row r="1459">
          <cell r="A1459" t="str">
            <v>LABITADESIGN</v>
          </cell>
          <cell r="D1459" t="str">
            <v xml:space="preserve">CORSO MATUZIA, 187 </v>
          </cell>
          <cell r="E1459">
            <v>18038</v>
          </cell>
          <cell r="F1459" t="str">
            <v>SANREMO</v>
          </cell>
          <cell r="G1459" t="str">
            <v>IM</v>
          </cell>
          <cell r="H1459" t="str">
            <v>ITALIA</v>
          </cell>
          <cell r="M1459" t="str">
            <v>UFFICIO ACQUISTI</v>
          </cell>
          <cell r="N1459" t="str">
            <v>0184 990772</v>
          </cell>
          <cell r="P1459" t="str">
            <v>info@labitadesign.it</v>
          </cell>
          <cell r="R1459" t="str">
            <v>BONIFICO BANCARIO, ALLA DATA DELLA NOSTRA CONFERMA D'ORDINE</v>
          </cell>
          <cell r="X1459">
            <v>0.25</v>
          </cell>
          <cell r="Y1459">
            <v>-0.04</v>
          </cell>
          <cell r="AB1459">
            <v>0.25</v>
          </cell>
          <cell r="AC1459">
            <v>0.25</v>
          </cell>
          <cell r="AD1459">
            <v>0.25</v>
          </cell>
          <cell r="AE1459">
            <v>0.25</v>
          </cell>
          <cell r="AF1459">
            <v>0.25</v>
          </cell>
          <cell r="AG1459">
            <v>0.25</v>
          </cell>
          <cell r="AH1459">
            <v>0.25</v>
          </cell>
          <cell r="AI1459">
            <v>0.25</v>
          </cell>
          <cell r="AJ1459">
            <v>0.25</v>
          </cell>
          <cell r="AK1459">
            <v>0.25</v>
          </cell>
          <cell r="AL1459">
            <v>0.25</v>
          </cell>
          <cell r="AM1459">
            <v>0.25</v>
          </cell>
          <cell r="AN1459">
            <v>0.25</v>
          </cell>
          <cell r="AO1459">
            <v>0.25</v>
          </cell>
          <cell r="AP1459">
            <v>0.25</v>
          </cell>
          <cell r="AQ1459">
            <v>0.25</v>
          </cell>
          <cell r="AR1459">
            <v>0.25</v>
          </cell>
          <cell r="AS1459">
            <v>0.25</v>
          </cell>
          <cell r="AT1459">
            <v>-0.04</v>
          </cell>
          <cell r="AU1459">
            <v>0.92</v>
          </cell>
          <cell r="AV1459">
            <v>20</v>
          </cell>
          <cell r="AY1459" t="str">
            <v/>
          </cell>
          <cell r="AZ1459">
            <v>0.25</v>
          </cell>
          <cell r="BA1459">
            <v>0.25</v>
          </cell>
        </row>
        <row r="1460">
          <cell r="A1460" t="str">
            <v>LABORATORIO ARTIGIANO DI CORRIAS ANDREA</v>
          </cell>
          <cell r="D1460" t="str">
            <v>VIA ARMANDO DIAZ, 15</v>
          </cell>
          <cell r="E1460" t="str">
            <v>09041</v>
          </cell>
          <cell r="F1460" t="str">
            <v>DOLIANOVA</v>
          </cell>
          <cell r="G1460" t="str">
            <v>CA</v>
          </cell>
          <cell r="H1460" t="str">
            <v>ITALIA</v>
          </cell>
          <cell r="I1460" t="str">
            <v>CRRNRM75A30B354I</v>
          </cell>
          <cell r="J1460" t="str">
            <v>03211290923</v>
          </cell>
          <cell r="M1460" t="str">
            <v>UFFICIO ACQUISTI</v>
          </cell>
          <cell r="O1460" t="str">
            <v>320 0668212</v>
          </cell>
          <cell r="R1460" t="str">
            <v>BONIFICO BANCARIO, ALLA DATA DELLA NOSTRA CONFERMA D'ORDINE</v>
          </cell>
          <cell r="X1460">
            <v>0.15</v>
          </cell>
          <cell r="Y1460">
            <v>-0.04</v>
          </cell>
          <cell r="AB1460">
            <v>0.15</v>
          </cell>
          <cell r="AC1460">
            <v>0.15</v>
          </cell>
          <cell r="AD1460">
            <v>0.15</v>
          </cell>
          <cell r="AE1460">
            <v>0.15</v>
          </cell>
          <cell r="AF1460">
            <v>0.15</v>
          </cell>
          <cell r="AG1460">
            <v>0.15</v>
          </cell>
          <cell r="AH1460">
            <v>0.15</v>
          </cell>
          <cell r="AI1460">
            <v>0.15</v>
          </cell>
          <cell r="AJ1460">
            <v>0.15</v>
          </cell>
          <cell r="AK1460">
            <v>0.15</v>
          </cell>
          <cell r="AL1460">
            <v>0.15</v>
          </cell>
          <cell r="AM1460">
            <v>0.15</v>
          </cell>
          <cell r="AN1460">
            <v>0.15</v>
          </cell>
          <cell r="AO1460">
            <v>0.15</v>
          </cell>
          <cell r="AP1460">
            <v>0.15</v>
          </cell>
          <cell r="AQ1460">
            <v>0.15</v>
          </cell>
          <cell r="AR1460">
            <v>0.15</v>
          </cell>
          <cell r="AS1460">
            <v>0.15</v>
          </cell>
          <cell r="AT1460">
            <v>-0.04</v>
          </cell>
          <cell r="AU1460">
            <v>0.92</v>
          </cell>
          <cell r="AV1460">
            <v>20</v>
          </cell>
          <cell r="AZ1460">
            <v>0.15</v>
          </cell>
          <cell r="BA1460">
            <v>0.15</v>
          </cell>
        </row>
        <row r="1461">
          <cell r="A1461" t="str">
            <v xml:space="preserve">LADISA SERRAMENTI </v>
          </cell>
          <cell r="D1461" t="str">
            <v>VIA G. TRISORIO LIUZZI, 23</v>
          </cell>
          <cell r="E1461">
            <v>70124</v>
          </cell>
          <cell r="F1461" t="str">
            <v>BARI</v>
          </cell>
          <cell r="G1461" t="str">
            <v>BA</v>
          </cell>
          <cell r="H1461" t="str">
            <v>ITALIA</v>
          </cell>
          <cell r="M1461" t="str">
            <v>UFFICIO ACQUISTI</v>
          </cell>
          <cell r="O1461" t="str">
            <v>Eugenio  331 6030142</v>
          </cell>
          <cell r="P1461" t="str">
            <v>saverio.ladisa@alice.it</v>
          </cell>
          <cell r="R1461" t="str">
            <v>BONIFICO BANCARIO, ALLA DATA DELLA NOSTRA CONFERMA D'ORDINE</v>
          </cell>
          <cell r="X1461">
            <v>0.25</v>
          </cell>
          <cell r="Y1461">
            <v>-0.04</v>
          </cell>
          <cell r="AB1461">
            <v>0.25</v>
          </cell>
          <cell r="AC1461">
            <v>0.25</v>
          </cell>
          <cell r="AD1461">
            <v>0.25</v>
          </cell>
          <cell r="AE1461">
            <v>0.25</v>
          </cell>
          <cell r="AF1461">
            <v>0.25</v>
          </cell>
          <cell r="AG1461">
            <v>0.25</v>
          </cell>
          <cell r="AH1461">
            <v>0.25</v>
          </cell>
          <cell r="AI1461">
            <v>0.25</v>
          </cell>
          <cell r="AJ1461">
            <v>0.25</v>
          </cell>
          <cell r="AK1461">
            <v>0.25</v>
          </cell>
          <cell r="AL1461">
            <v>0.25</v>
          </cell>
          <cell r="AM1461">
            <v>0.25</v>
          </cell>
          <cell r="AN1461">
            <v>0.25</v>
          </cell>
          <cell r="AO1461">
            <v>0.25</v>
          </cell>
          <cell r="AP1461">
            <v>0.25</v>
          </cell>
          <cell r="AQ1461">
            <v>0.25</v>
          </cell>
          <cell r="AR1461">
            <v>0.25</v>
          </cell>
          <cell r="AS1461">
            <v>0.25</v>
          </cell>
          <cell r="AT1461">
            <v>-0.04</v>
          </cell>
          <cell r="AU1461">
            <v>0.92</v>
          </cell>
          <cell r="AV1461">
            <v>20</v>
          </cell>
          <cell r="AY1461" t="str">
            <v/>
          </cell>
          <cell r="AZ1461">
            <v>0.25</v>
          </cell>
          <cell r="BA1461">
            <v>0.25</v>
          </cell>
        </row>
        <row r="1462">
          <cell r="A1462" t="str">
            <v>LAF INFISSI SNC DI BISIRRI E FIGLI</v>
          </cell>
          <cell r="B1462" t="str">
            <v>SHOOW ROOM :VIA MARE, 85/a PORTO D'ASCOLI (AP) 30/03/23 NON INTERESSA</v>
          </cell>
          <cell r="D1462" t="str">
            <v>VIA 2 GIUGNO, 17/19</v>
          </cell>
          <cell r="E1462" t="str">
            <v>63076</v>
          </cell>
          <cell r="F1462" t="str">
            <v>MONTEPRANDONE</v>
          </cell>
          <cell r="G1462" t="str">
            <v>AP</v>
          </cell>
          <cell r="H1462" t="str">
            <v>ITALIA</v>
          </cell>
          <cell r="J1462" t="str">
            <v>00155390446</v>
          </cell>
          <cell r="M1462" t="str">
            <v>UFFICIO ACQUISTI</v>
          </cell>
          <cell r="N1462" t="str">
            <v>0735 701491</v>
          </cell>
          <cell r="P1462" t="str">
            <v>info@lainfissi.it</v>
          </cell>
          <cell r="R1462" t="str">
            <v>BONIFICO BANCARIO, ALLA DATA DELLA NOSTRA CONFERMA D'ORDINE</v>
          </cell>
          <cell r="X1462">
            <v>0.2</v>
          </cell>
          <cell r="Y1462">
            <v>-0.04</v>
          </cell>
          <cell r="AB1462">
            <v>0.2</v>
          </cell>
          <cell r="AC1462">
            <v>0.2</v>
          </cell>
          <cell r="AD1462">
            <v>0.2</v>
          </cell>
          <cell r="AE1462">
            <v>0.2</v>
          </cell>
          <cell r="AF1462">
            <v>0.2</v>
          </cell>
          <cell r="AG1462">
            <v>0.2</v>
          </cell>
          <cell r="AH1462">
            <v>0.2</v>
          </cell>
          <cell r="AI1462">
            <v>0.2</v>
          </cell>
          <cell r="AJ1462">
            <v>0.2</v>
          </cell>
          <cell r="AK1462">
            <v>0.2</v>
          </cell>
          <cell r="AL1462">
            <v>0.2</v>
          </cell>
          <cell r="AM1462">
            <v>0.2</v>
          </cell>
          <cell r="AN1462">
            <v>0.2</v>
          </cell>
          <cell r="AO1462">
            <v>0.2</v>
          </cell>
          <cell r="AP1462">
            <v>0.2</v>
          </cell>
          <cell r="AQ1462">
            <v>0.2</v>
          </cell>
          <cell r="AR1462">
            <v>0.2</v>
          </cell>
          <cell r="AS1462">
            <v>0.2</v>
          </cell>
          <cell r="AT1462">
            <v>-0.04</v>
          </cell>
          <cell r="AU1462">
            <v>0.92</v>
          </cell>
          <cell r="AV1462">
            <v>20</v>
          </cell>
          <cell r="AZ1462">
            <v>0.2</v>
          </cell>
          <cell r="BA1462">
            <v>0.2</v>
          </cell>
        </row>
        <row r="1463">
          <cell r="A1463" t="str">
            <v>LAFA DI SIRACUSANO EMANUELE</v>
          </cell>
          <cell r="D1463" t="str">
            <v>VIALE LIBERTA' 100</v>
          </cell>
          <cell r="E1463" t="str">
            <v>20900</v>
          </cell>
          <cell r="F1463" t="str">
            <v>MONZA</v>
          </cell>
          <cell r="G1463" t="str">
            <v>MB</v>
          </cell>
          <cell r="H1463" t="str">
            <v>ITALIA</v>
          </cell>
          <cell r="J1463" t="str">
            <v>03825820966</v>
          </cell>
          <cell r="M1463" t="str">
            <v>UFFICIO ACQUISTI</v>
          </cell>
          <cell r="N1463" t="str">
            <v>039 2021997</v>
          </cell>
          <cell r="O1463" t="str">
            <v>339 4626063 EMANUELE 336 558859 ANTONIO</v>
          </cell>
          <cell r="R1463" t="str">
            <v>BONIFICO BANCARIO, ALLA DATA DELLA NOSTRA CONFERMA D'ORDINE</v>
          </cell>
          <cell r="X1463">
            <v>0.25</v>
          </cell>
          <cell r="Y1463">
            <v>-0.04</v>
          </cell>
          <cell r="AB1463">
            <v>0.25</v>
          </cell>
          <cell r="AC1463">
            <v>0.25</v>
          </cell>
          <cell r="AD1463">
            <v>0.25</v>
          </cell>
          <cell r="AE1463">
            <v>0.25</v>
          </cell>
          <cell r="AF1463">
            <v>0.25</v>
          </cell>
          <cell r="AG1463">
            <v>0.25</v>
          </cell>
          <cell r="AH1463">
            <v>0.25</v>
          </cell>
          <cell r="AI1463">
            <v>0.25</v>
          </cell>
          <cell r="AJ1463">
            <v>0.25</v>
          </cell>
          <cell r="AK1463">
            <v>0.25</v>
          </cell>
          <cell r="AL1463">
            <v>0.25</v>
          </cell>
          <cell r="AM1463">
            <v>0.25</v>
          </cell>
          <cell r="AN1463">
            <v>0.25</v>
          </cell>
          <cell r="AO1463">
            <v>0.25</v>
          </cell>
          <cell r="AP1463">
            <v>0.25</v>
          </cell>
          <cell r="AQ1463">
            <v>0.25</v>
          </cell>
          <cell r="AR1463">
            <v>0.25</v>
          </cell>
          <cell r="AS1463">
            <v>0.25</v>
          </cell>
          <cell r="AT1463">
            <v>-0.04</v>
          </cell>
          <cell r="AU1463">
            <v>0.92</v>
          </cell>
          <cell r="AV1463">
            <v>20</v>
          </cell>
          <cell r="AY1463" t="str">
            <v/>
          </cell>
          <cell r="AZ1463">
            <v>0.25</v>
          </cell>
          <cell r="BA1463">
            <v>0.25</v>
          </cell>
        </row>
        <row r="1464">
          <cell r="A1464" t="str">
            <v>LAFAS EREDI ATZA SERGIO DI ATZA STEFANO</v>
          </cell>
          <cell r="B1464" t="str">
            <v>SOLO BIGLIETTO DA VISITA</v>
          </cell>
          <cell r="D1464" t="str">
            <v>VIA L.PASTEUR, 1</v>
          </cell>
          <cell r="E1464" t="str">
            <v>09041</v>
          </cell>
          <cell r="F1464" t="str">
            <v>DOLIANOVA</v>
          </cell>
          <cell r="G1464" t="str">
            <v>CA</v>
          </cell>
          <cell r="H1464" t="str">
            <v>ITALIA</v>
          </cell>
          <cell r="M1464" t="str">
            <v>UFFICIO ACQUISTI</v>
          </cell>
          <cell r="N1464" t="str">
            <v>070 740371</v>
          </cell>
          <cell r="P1464" t="str">
            <v>info@lafasmetallici.it</v>
          </cell>
          <cell r="R1464" t="str">
            <v>BONIFICO BANCARIO, ALLA DATA DELLA NOSTRA CONFERMA D'ORDINE</v>
          </cell>
          <cell r="X1464">
            <v>0.25</v>
          </cell>
          <cell r="Y1464">
            <v>-0.04</v>
          </cell>
          <cell r="AB1464">
            <v>0.25</v>
          </cell>
          <cell r="AC1464">
            <v>0.25</v>
          </cell>
          <cell r="AD1464">
            <v>0.25</v>
          </cell>
          <cell r="AE1464">
            <v>0.25</v>
          </cell>
          <cell r="AF1464">
            <v>0.25</v>
          </cell>
          <cell r="AG1464">
            <v>0.25</v>
          </cell>
          <cell r="AH1464">
            <v>0.25</v>
          </cell>
          <cell r="AI1464">
            <v>0.25</v>
          </cell>
          <cell r="AJ1464">
            <v>0.25</v>
          </cell>
          <cell r="AK1464">
            <v>0.25</v>
          </cell>
          <cell r="AL1464">
            <v>0.25</v>
          </cell>
          <cell r="AM1464">
            <v>0.25</v>
          </cell>
          <cell r="AN1464">
            <v>0.25</v>
          </cell>
          <cell r="AO1464">
            <v>0.25</v>
          </cell>
          <cell r="AP1464">
            <v>0.25</v>
          </cell>
          <cell r="AQ1464">
            <v>0.25</v>
          </cell>
          <cell r="AR1464">
            <v>0.25</v>
          </cell>
          <cell r="AS1464">
            <v>0.25</v>
          </cell>
          <cell r="AT1464">
            <v>-0.04</v>
          </cell>
          <cell r="AU1464">
            <v>0.92</v>
          </cell>
          <cell r="AV1464">
            <v>20</v>
          </cell>
          <cell r="AZ1464">
            <v>0.25</v>
          </cell>
          <cell r="BA1464">
            <v>0.25</v>
          </cell>
        </row>
        <row r="1465">
          <cell r="A1465" t="str">
            <v xml:space="preserve">LAFERALEXPO </v>
          </cell>
          <cell r="B1465" t="str">
            <v>NICOLA PISTILLO, MOLTO INTERESSATO E FA UN LAVORO INTERESSANTE PER NOI, FA SCALE IN FERRO E PORTONI GARAGE.</v>
          </cell>
          <cell r="D1465" t="str">
            <v>SP ANDRIA - TRANI KM 2+15</v>
          </cell>
          <cell r="E1465" t="str">
            <v>76123</v>
          </cell>
          <cell r="F1465" t="str">
            <v>ANDRIA</v>
          </cell>
          <cell r="G1465" t="str">
            <v>BT</v>
          </cell>
          <cell r="H1465" t="str">
            <v>ITALIA</v>
          </cell>
          <cell r="J1465" t="str">
            <v>07121430727</v>
          </cell>
          <cell r="M1465" t="str">
            <v>UFFICIO ACQUISTI</v>
          </cell>
          <cell r="N1465" t="str">
            <v>0883 542770</v>
          </cell>
          <cell r="O1465" t="str">
            <v>338 2288034</v>
          </cell>
          <cell r="P1465" t="str">
            <v>commerciale@laferalexpo.com</v>
          </cell>
          <cell r="R1465" t="str">
            <v>BONIFICO BANCARIO, ALLA DATA DELLA NOSTRA CONFERMA D'ORDINE</v>
          </cell>
          <cell r="X1465">
            <v>0.25</v>
          </cell>
          <cell r="Y1465">
            <v>-0.04</v>
          </cell>
          <cell r="AB1465">
            <v>0.25</v>
          </cell>
          <cell r="AC1465">
            <v>0.25</v>
          </cell>
          <cell r="AD1465">
            <v>0.25</v>
          </cell>
          <cell r="AE1465">
            <v>0.25</v>
          </cell>
          <cell r="AF1465">
            <v>0.25</v>
          </cell>
          <cell r="AG1465">
            <v>0.25</v>
          </cell>
          <cell r="AH1465">
            <v>0.25</v>
          </cell>
          <cell r="AI1465">
            <v>0.25</v>
          </cell>
          <cell r="AJ1465">
            <v>0.25</v>
          </cell>
          <cell r="AK1465">
            <v>0.25</v>
          </cell>
          <cell r="AL1465">
            <v>0.25</v>
          </cell>
          <cell r="AM1465">
            <v>0.25</v>
          </cell>
          <cell r="AN1465">
            <v>0.25</v>
          </cell>
          <cell r="AO1465">
            <v>0.25</v>
          </cell>
          <cell r="AP1465">
            <v>0.25</v>
          </cell>
          <cell r="AQ1465">
            <v>0.25</v>
          </cell>
          <cell r="AR1465">
            <v>0.25</v>
          </cell>
          <cell r="AS1465">
            <v>0.25</v>
          </cell>
          <cell r="AT1465">
            <v>-0.04</v>
          </cell>
          <cell r="AU1465">
            <v>0.92</v>
          </cell>
          <cell r="AV1465">
            <v>20</v>
          </cell>
          <cell r="AY1465" t="str">
            <v/>
          </cell>
          <cell r="AZ1465">
            <v>0.25</v>
          </cell>
          <cell r="BA1465">
            <v>0.25</v>
          </cell>
        </row>
        <row r="1466">
          <cell r="A1466" t="str">
            <v>L'ALTERNATIVA</v>
          </cell>
          <cell r="B1466" t="str">
            <v>SEDE A MOTTA</v>
          </cell>
          <cell r="D1466" t="str">
            <v>VIA DEL PLANTON, 5</v>
          </cell>
          <cell r="E1466" t="str">
            <v>33170</v>
          </cell>
          <cell r="F1466" t="str">
            <v>PORDENONE</v>
          </cell>
          <cell r="G1466" t="str">
            <v>PN</v>
          </cell>
          <cell r="H1466" t="str">
            <v>ITALIA</v>
          </cell>
          <cell r="J1466" t="str">
            <v>01539880938</v>
          </cell>
          <cell r="M1466" t="str">
            <v>UFFICIO ACQUISTI</v>
          </cell>
          <cell r="N1466" t="str">
            <v>0434 555191</v>
          </cell>
          <cell r="O1466" t="str">
            <v>Claudia  351 0143475</v>
          </cell>
          <cell r="P1466" t="str">
            <v>claudia@alternativasrl.it</v>
          </cell>
          <cell r="R1466" t="str">
            <v>BONIFICO BANCARIO, ALLA DATA DELLA NOSTRA CONFERMA D'ORDINE</v>
          </cell>
          <cell r="X1466">
            <v>0.2</v>
          </cell>
          <cell r="Y1466">
            <v>-0.04</v>
          </cell>
          <cell r="AB1466">
            <v>0.2</v>
          </cell>
          <cell r="AC1466">
            <v>0.2</v>
          </cell>
          <cell r="AD1466">
            <v>0.2</v>
          </cell>
          <cell r="AE1466">
            <v>0.2</v>
          </cell>
          <cell r="AF1466">
            <v>0.2</v>
          </cell>
          <cell r="AG1466">
            <v>0.2</v>
          </cell>
          <cell r="AH1466">
            <v>0.2</v>
          </cell>
          <cell r="AI1466">
            <v>0.2</v>
          </cell>
          <cell r="AJ1466">
            <v>0.2</v>
          </cell>
          <cell r="AK1466">
            <v>0.2</v>
          </cell>
          <cell r="AL1466">
            <v>0.2</v>
          </cell>
          <cell r="AM1466">
            <v>0.2</v>
          </cell>
          <cell r="AN1466">
            <v>0.2</v>
          </cell>
          <cell r="AO1466">
            <v>0.2</v>
          </cell>
          <cell r="AP1466">
            <v>0.2</v>
          </cell>
          <cell r="AQ1466">
            <v>0.2</v>
          </cell>
          <cell r="AR1466">
            <v>0.2</v>
          </cell>
          <cell r="AS1466">
            <v>0.2</v>
          </cell>
          <cell r="AT1466">
            <v>-0.04</v>
          </cell>
          <cell r="AU1466">
            <v>0.92</v>
          </cell>
          <cell r="AV1466">
            <v>20</v>
          </cell>
          <cell r="AZ1466">
            <v>0.2</v>
          </cell>
          <cell r="BA1466">
            <v>0.2</v>
          </cell>
        </row>
        <row r="1467">
          <cell r="A1467" t="str">
            <v>L.A.I.M. SRL</v>
          </cell>
          <cell r="B1467" t="str">
            <v>24/10 HANNO RICHIESTE. Mandata mail info - 25/10 Risposto che sono interessati a una collaborazione 15/01/23 MANDATO WA. NESSUNA RISP DA SUO CLIENTE. SI FARA' SENTIRE LUI IN CASO DI BISOGNO</v>
          </cell>
          <cell r="D1467" t="str">
            <v xml:space="preserve">VIA VIALE CROCCI, 7  </v>
          </cell>
          <cell r="E1467">
            <v>91016</v>
          </cell>
          <cell r="F1467" t="str">
            <v>ERICE</v>
          </cell>
          <cell r="G1467" t="str">
            <v>TP</v>
          </cell>
          <cell r="H1467" t="str">
            <v>ITALIA</v>
          </cell>
          <cell r="J1467" t="str">
            <v>0205420813</v>
          </cell>
          <cell r="M1467" t="str">
            <v>UFFICIO ACQUISTI</v>
          </cell>
          <cell r="N1467" t="str">
            <v>0923 555400</v>
          </cell>
          <cell r="O1467" t="str">
            <v>342 1303927 Giulio</v>
          </cell>
          <cell r="P1467" t="str">
            <v>info@laimserramenti.com</v>
          </cell>
          <cell r="R1467" t="str">
            <v>BONIFICO BANCARIO, ALLA DATA DELLA NOSTRA CONFERMA D'ORDINE</v>
          </cell>
          <cell r="X1467">
            <v>0.25</v>
          </cell>
          <cell r="Y1467">
            <v>-0.04</v>
          </cell>
          <cell r="AB1467">
            <v>0.25</v>
          </cell>
          <cell r="AC1467">
            <v>0.25</v>
          </cell>
          <cell r="AD1467">
            <v>0.25</v>
          </cell>
          <cell r="AE1467">
            <v>0.25</v>
          </cell>
          <cell r="AF1467">
            <v>0.25</v>
          </cell>
          <cell r="AG1467">
            <v>0.25</v>
          </cell>
          <cell r="AH1467">
            <v>0.25</v>
          </cell>
          <cell r="AI1467">
            <v>0.25</v>
          </cell>
          <cell r="AJ1467">
            <v>0.25</v>
          </cell>
          <cell r="AK1467">
            <v>0.25</v>
          </cell>
          <cell r="AL1467">
            <v>0.25</v>
          </cell>
          <cell r="AM1467">
            <v>0.25</v>
          </cell>
          <cell r="AN1467">
            <v>0.25</v>
          </cell>
          <cell r="AO1467">
            <v>0.25</v>
          </cell>
          <cell r="AP1467">
            <v>0.25</v>
          </cell>
          <cell r="AQ1467">
            <v>0.25</v>
          </cell>
          <cell r="AR1467">
            <v>0.25</v>
          </cell>
          <cell r="AS1467">
            <v>0.25</v>
          </cell>
          <cell r="AT1467">
            <v>-0.04</v>
          </cell>
          <cell r="AU1467">
            <v>0.88</v>
          </cell>
          <cell r="AV1467">
            <v>20</v>
          </cell>
          <cell r="AY1467" t="str">
            <v/>
          </cell>
          <cell r="AZ1467">
            <v>0.25</v>
          </cell>
          <cell r="BA1467">
            <v>0.25</v>
          </cell>
        </row>
        <row r="1468">
          <cell r="A1468" t="str">
            <v>LAMPO ENERGY S.R.L.</v>
          </cell>
          <cell r="B1468" t="str">
            <v>BUONO</v>
          </cell>
          <cell r="D1468" t="str">
            <v>VIA PROVINCIALE EST, 6 C</v>
          </cell>
          <cell r="E1468" t="str">
            <v>40053</v>
          </cell>
          <cell r="F1468" t="str">
            <v>BAZZANO</v>
          </cell>
          <cell r="G1468" t="str">
            <v>BO</v>
          </cell>
          <cell r="H1468" t="str">
            <v>ITALIA</v>
          </cell>
          <cell r="M1468" t="str">
            <v>UFFICIO ACQUISTI</v>
          </cell>
          <cell r="N1468" t="str">
            <v>051 831850</v>
          </cell>
          <cell r="P1468" t="str">
            <v>celesti@lampoenergy.it</v>
          </cell>
          <cell r="R1468" t="str">
            <v>BONIFICO BANCARIO, ALLA DATA DELLA NOSTRA CONFERMA D'ORDINE</v>
          </cell>
          <cell r="X1468">
            <v>0.25</v>
          </cell>
          <cell r="Y1468">
            <v>-0.04</v>
          </cell>
          <cell r="AB1468">
            <v>0.25</v>
          </cell>
          <cell r="AC1468">
            <v>0.25</v>
          </cell>
          <cell r="AD1468">
            <v>0.25</v>
          </cell>
          <cell r="AE1468">
            <v>0.25</v>
          </cell>
          <cell r="AF1468">
            <v>0.25</v>
          </cell>
          <cell r="AG1468">
            <v>0.25</v>
          </cell>
          <cell r="AH1468">
            <v>0.25</v>
          </cell>
          <cell r="AI1468">
            <v>0.25</v>
          </cell>
          <cell r="AJ1468">
            <v>0.25</v>
          </cell>
          <cell r="AK1468">
            <v>0.25</v>
          </cell>
          <cell r="AL1468">
            <v>0.25</v>
          </cell>
          <cell r="AM1468">
            <v>0.25</v>
          </cell>
          <cell r="AN1468">
            <v>0.25</v>
          </cell>
          <cell r="AO1468">
            <v>0.25</v>
          </cell>
          <cell r="AP1468">
            <v>0.25</v>
          </cell>
          <cell r="AQ1468">
            <v>0.25</v>
          </cell>
          <cell r="AR1468">
            <v>0.25</v>
          </cell>
          <cell r="AS1468">
            <v>0.25</v>
          </cell>
          <cell r="AT1468">
            <v>-0.04</v>
          </cell>
          <cell r="AU1468">
            <v>0.92</v>
          </cell>
          <cell r="AV1468">
            <v>20</v>
          </cell>
          <cell r="AZ1468">
            <v>0.25</v>
          </cell>
          <cell r="BA1468">
            <v>0.25</v>
          </cell>
        </row>
        <row r="1469">
          <cell r="A1469" t="str">
            <v>LANCEROTTI MASSIMO</v>
          </cell>
          <cell r="D1469" t="str">
            <v>CANNAREGGIO, 5399 A</v>
          </cell>
          <cell r="E1469">
            <v>30121</v>
          </cell>
          <cell r="F1469" t="str">
            <v>VENEZIA</v>
          </cell>
          <cell r="G1469" t="str">
            <v>VE</v>
          </cell>
          <cell r="H1469" t="str">
            <v>ITALIA</v>
          </cell>
          <cell r="K1469" t="str">
            <v>SUBM70N</v>
          </cell>
          <cell r="M1469" t="str">
            <v>UFFICIO ACQUISTI</v>
          </cell>
          <cell r="N1469" t="str">
            <v>0415 220900</v>
          </cell>
          <cell r="O1469" t="str">
            <v>339 6762004</v>
          </cell>
          <cell r="P1469" t="str">
            <v>lancerotti@lancerotti.it</v>
          </cell>
          <cell r="R1469" t="str">
            <v>BONIFICO BANCARIO, ALLA DATA DELLA NOSTRA CONFERMA D'ORDINE</v>
          </cell>
          <cell r="W1469" t="str">
            <v>ACQUA SALATA</v>
          </cell>
          <cell r="X1469">
            <v>0.25</v>
          </cell>
          <cell r="Y1469">
            <v>-0.04</v>
          </cell>
          <cell r="AB1469">
            <v>0.25</v>
          </cell>
          <cell r="AC1469">
            <v>0.25</v>
          </cell>
          <cell r="AD1469">
            <v>0.25</v>
          </cell>
          <cell r="AE1469">
            <v>0.25</v>
          </cell>
          <cell r="AF1469">
            <v>0.25</v>
          </cell>
          <cell r="AG1469">
            <v>0.25</v>
          </cell>
          <cell r="AH1469">
            <v>0.25</v>
          </cell>
          <cell r="AI1469">
            <v>0.25</v>
          </cell>
          <cell r="AJ1469">
            <v>0.25</v>
          </cell>
          <cell r="AK1469">
            <v>0.25</v>
          </cell>
          <cell r="AL1469">
            <v>0.25</v>
          </cell>
          <cell r="AM1469">
            <v>0.25</v>
          </cell>
          <cell r="AN1469">
            <v>0.25</v>
          </cell>
          <cell r="AO1469">
            <v>0.25</v>
          </cell>
          <cell r="AP1469">
            <v>0.25</v>
          </cell>
          <cell r="AQ1469">
            <v>0.25</v>
          </cell>
          <cell r="AR1469">
            <v>0.25</v>
          </cell>
          <cell r="AS1469">
            <v>0.25</v>
          </cell>
          <cell r="AT1469">
            <v>-0.04</v>
          </cell>
          <cell r="AU1469">
            <v>0.92</v>
          </cell>
          <cell r="AV1469">
            <v>20</v>
          </cell>
          <cell r="AY1469" t="str">
            <v/>
          </cell>
          <cell r="AZ1469">
            <v>0.25</v>
          </cell>
          <cell r="BA1469">
            <v>0.25</v>
          </cell>
        </row>
        <row r="1470">
          <cell r="A1470" t="str">
            <v>LANDA DESIGN</v>
          </cell>
          <cell r="B1470" t="str">
            <v xml:space="preserve"> ESTETICA:  TAPPI PER SPIGOLI SUPERIORI GUIDE  VERIFICA ARROTONDARE BREVETTO SUPERIORE POSTERIORMENTE  CATENACCIOLI VERIFICA PER BLOCCARLI IN CHE MODO ?</v>
          </cell>
          <cell r="D1470" t="str">
            <v>VIA GIARDINO, 59</v>
          </cell>
          <cell r="E1470">
            <v>81034</v>
          </cell>
          <cell r="F1470" t="str">
            <v>MONDRAGINE</v>
          </cell>
          <cell r="G1470" t="str">
            <v>CE</v>
          </cell>
          <cell r="H1470" t="str">
            <v>ITALIA</v>
          </cell>
          <cell r="M1470" t="str">
            <v>UFFICIO ACQUISTI</v>
          </cell>
          <cell r="N1470" t="str">
            <v>0823 972526</v>
          </cell>
          <cell r="P1470" t="str">
            <v>info@landadesign.it</v>
          </cell>
          <cell r="R1470" t="str">
            <v>BONIFICO BANCARIO, ALLA DATA DELLA NOSTRA CONFERMA D'ORDINE</v>
          </cell>
          <cell r="X1470">
            <v>0.25</v>
          </cell>
          <cell r="Y1470">
            <v>-0.04</v>
          </cell>
          <cell r="AB1470">
            <v>0.25</v>
          </cell>
          <cell r="AC1470">
            <v>0.25</v>
          </cell>
          <cell r="AD1470">
            <v>0.25</v>
          </cell>
          <cell r="AE1470">
            <v>0.25</v>
          </cell>
          <cell r="AF1470">
            <v>0.25</v>
          </cell>
          <cell r="AG1470">
            <v>0.25</v>
          </cell>
          <cell r="AH1470">
            <v>0.25</v>
          </cell>
          <cell r="AI1470">
            <v>0.25</v>
          </cell>
          <cell r="AJ1470">
            <v>0.25</v>
          </cell>
          <cell r="AK1470">
            <v>0.25</v>
          </cell>
          <cell r="AL1470">
            <v>0.25</v>
          </cell>
          <cell r="AM1470">
            <v>0.25</v>
          </cell>
          <cell r="AN1470">
            <v>0.25</v>
          </cell>
          <cell r="AO1470">
            <v>0.25</v>
          </cell>
          <cell r="AP1470">
            <v>0.25</v>
          </cell>
          <cell r="AQ1470">
            <v>0.25</v>
          </cell>
          <cell r="AR1470">
            <v>0.25</v>
          </cell>
          <cell r="AS1470">
            <v>0.25</v>
          </cell>
          <cell r="AT1470">
            <v>-0.04</v>
          </cell>
          <cell r="AU1470">
            <v>0.92</v>
          </cell>
          <cell r="AV1470">
            <v>20</v>
          </cell>
          <cell r="AY1470" t="str">
            <v/>
          </cell>
          <cell r="AZ1470">
            <v>0.25</v>
          </cell>
          <cell r="BA1470">
            <v>0.25</v>
          </cell>
        </row>
        <row r="1471">
          <cell r="A1471" t="str">
            <v>LANZONI FILIPPO SERRAMENTI</v>
          </cell>
          <cell r="D1471" t="str">
            <v>VIA PROVINCIALE 42  B</v>
          </cell>
          <cell r="E1471">
            <v>18036</v>
          </cell>
          <cell r="F1471" t="str">
            <v>S.BIAGIO DELLA CIMA</v>
          </cell>
          <cell r="G1471" t="str">
            <v>IM</v>
          </cell>
          <cell r="H1471" t="str">
            <v>ITALIA</v>
          </cell>
          <cell r="M1471" t="str">
            <v>UFFICIO ACQUISTI</v>
          </cell>
          <cell r="N1471" t="str">
            <v>0184 289764</v>
          </cell>
          <cell r="P1471" t="str">
            <v>info@lanzonifilippo.it</v>
          </cell>
          <cell r="R1471" t="str">
            <v>BONIFICO BANCARIO, ALLA DATA DELLA NOSTRA CONFERMA D'ORDINE</v>
          </cell>
          <cell r="X1471">
            <v>0.25</v>
          </cell>
          <cell r="Y1471">
            <v>-0.04</v>
          </cell>
          <cell r="AB1471">
            <v>0.25</v>
          </cell>
          <cell r="AC1471">
            <v>0.25</v>
          </cell>
          <cell r="AD1471">
            <v>0.25</v>
          </cell>
          <cell r="AE1471">
            <v>0.25</v>
          </cell>
          <cell r="AF1471">
            <v>0.25</v>
          </cell>
          <cell r="AG1471">
            <v>0.25</v>
          </cell>
          <cell r="AH1471">
            <v>0.25</v>
          </cell>
          <cell r="AI1471">
            <v>0.25</v>
          </cell>
          <cell r="AJ1471">
            <v>0.25</v>
          </cell>
          <cell r="AK1471">
            <v>0.25</v>
          </cell>
          <cell r="AL1471">
            <v>0.25</v>
          </cell>
          <cell r="AM1471">
            <v>0.25</v>
          </cell>
          <cell r="AN1471">
            <v>0.25</v>
          </cell>
          <cell r="AO1471">
            <v>0.25</v>
          </cell>
          <cell r="AP1471">
            <v>0.25</v>
          </cell>
          <cell r="AQ1471">
            <v>0.25</v>
          </cell>
          <cell r="AR1471">
            <v>0.25</v>
          </cell>
          <cell r="AS1471">
            <v>0.25</v>
          </cell>
          <cell r="AT1471">
            <v>-0.04</v>
          </cell>
          <cell r="AU1471">
            <v>0.92</v>
          </cell>
          <cell r="AV1471">
            <v>20</v>
          </cell>
          <cell r="AY1471" t="str">
            <v/>
          </cell>
          <cell r="AZ1471">
            <v>0.25</v>
          </cell>
          <cell r="BA1471">
            <v>0.25</v>
          </cell>
        </row>
        <row r="1472">
          <cell r="A1472" t="str">
            <v>L'ARTE DEL FERRO DI SCOZZARO FERNANDO</v>
          </cell>
          <cell r="D1472" t="str">
            <v>VIA COSCHI, 106</v>
          </cell>
          <cell r="E1472" t="str">
            <v>88046</v>
          </cell>
          <cell r="F1472" t="str">
            <v>LAMEZIA TERME</v>
          </cell>
          <cell r="G1472" t="str">
            <v>CZ</v>
          </cell>
          <cell r="H1472" t="str">
            <v>ITALIA</v>
          </cell>
          <cell r="J1472" t="str">
            <v>02086510795</v>
          </cell>
          <cell r="M1472" t="str">
            <v>UFFICIO ACQUISTI</v>
          </cell>
          <cell r="O1472" t="str">
            <v>329 1233851</v>
          </cell>
          <cell r="P1472" t="str">
            <v>scozzaro89@hotmail.it</v>
          </cell>
          <cell r="R1472" t="str">
            <v>BONIFICO BANCARIO, ALLA DATA DELLA NOSTRA CONFERMA D'ORDINE</v>
          </cell>
          <cell r="X1472">
            <v>0.25</v>
          </cell>
          <cell r="Y1472">
            <v>-0.04</v>
          </cell>
          <cell r="AB1472">
            <v>0.25</v>
          </cell>
          <cell r="AC1472">
            <v>0.25</v>
          </cell>
          <cell r="AD1472">
            <v>0.25</v>
          </cell>
          <cell r="AE1472">
            <v>0.25</v>
          </cell>
          <cell r="AF1472">
            <v>0.25</v>
          </cell>
          <cell r="AG1472">
            <v>0.25</v>
          </cell>
          <cell r="AH1472">
            <v>0.25</v>
          </cell>
          <cell r="AI1472">
            <v>0.25</v>
          </cell>
          <cell r="AJ1472">
            <v>0.25</v>
          </cell>
          <cell r="AK1472">
            <v>0.25</v>
          </cell>
          <cell r="AL1472">
            <v>0.25</v>
          </cell>
          <cell r="AM1472">
            <v>0.25</v>
          </cell>
          <cell r="AN1472">
            <v>0.25</v>
          </cell>
          <cell r="AO1472">
            <v>0.25</v>
          </cell>
          <cell r="AP1472">
            <v>0.25</v>
          </cell>
          <cell r="AQ1472">
            <v>0.25</v>
          </cell>
          <cell r="AR1472">
            <v>0.25</v>
          </cell>
          <cell r="AS1472">
            <v>0.25</v>
          </cell>
          <cell r="AT1472">
            <v>-0.04</v>
          </cell>
          <cell r="AU1472">
            <v>0.92</v>
          </cell>
          <cell r="AV1472">
            <v>20</v>
          </cell>
          <cell r="AW1472" t="str">
            <v>PIETRO OLIVADOTI</v>
          </cell>
          <cell r="AX1472">
            <v>0.95</v>
          </cell>
          <cell r="AZ1472">
            <v>0.25</v>
          </cell>
          <cell r="BA1472">
            <v>0.25</v>
          </cell>
        </row>
        <row r="1473">
          <cell r="A1473" t="str">
            <v>L'ARTIGIANO</v>
          </cell>
          <cell r="D1473" t="str">
            <v>VIA MONTELLO, 1</v>
          </cell>
          <cell r="E1473">
            <v>20094</v>
          </cell>
          <cell r="F1473" t="str">
            <v>CORSICO</v>
          </cell>
          <cell r="G1473" t="str">
            <v>MI</v>
          </cell>
          <cell r="H1473" t="str">
            <v>ITALIA</v>
          </cell>
          <cell r="J1473" t="str">
            <v>07718320158</v>
          </cell>
          <cell r="K1473" t="str">
            <v>T9K4ZH0</v>
          </cell>
          <cell r="M1473" t="str">
            <v>UFFICIO ACQUISTI</v>
          </cell>
          <cell r="N1473" t="str">
            <v>02 4405282</v>
          </cell>
          <cell r="P1473" t="str">
            <v>delmonte.applica85@gmail.com</v>
          </cell>
          <cell r="R1473" t="str">
            <v>BONIFICO BANCARIO, ALLA DATA DELLA NOSTRA CONFERMA D'ORDINE</v>
          </cell>
          <cell r="X1473">
            <v>0.25</v>
          </cell>
          <cell r="Y1473">
            <v>-0.04</v>
          </cell>
          <cell r="AB1473">
            <v>0.25</v>
          </cell>
          <cell r="AC1473">
            <v>0.25</v>
          </cell>
          <cell r="AD1473">
            <v>0.25</v>
          </cell>
          <cell r="AE1473">
            <v>0.25</v>
          </cell>
          <cell r="AF1473">
            <v>0.25</v>
          </cell>
          <cell r="AG1473">
            <v>0.25</v>
          </cell>
          <cell r="AH1473">
            <v>0.25</v>
          </cell>
          <cell r="AI1473">
            <v>0.25</v>
          </cell>
          <cell r="AJ1473">
            <v>0.25</v>
          </cell>
          <cell r="AK1473">
            <v>0.25</v>
          </cell>
          <cell r="AL1473">
            <v>0.25</v>
          </cell>
          <cell r="AM1473">
            <v>0.25</v>
          </cell>
          <cell r="AN1473">
            <v>0.25</v>
          </cell>
          <cell r="AO1473">
            <v>0.25</v>
          </cell>
          <cell r="AP1473">
            <v>0.25</v>
          </cell>
          <cell r="AQ1473">
            <v>0.25</v>
          </cell>
          <cell r="AR1473">
            <v>0.25</v>
          </cell>
          <cell r="AS1473">
            <v>0.25</v>
          </cell>
          <cell r="AT1473">
            <v>-0.04</v>
          </cell>
          <cell r="AU1473">
            <v>0.92</v>
          </cell>
          <cell r="AV1473">
            <v>20</v>
          </cell>
          <cell r="AY1473" t="str">
            <v/>
          </cell>
          <cell r="AZ1473">
            <v>0.25</v>
          </cell>
          <cell r="BA1473">
            <v>0.25</v>
          </cell>
        </row>
        <row r="1474">
          <cell r="A1474" t="str">
            <v>LATINO &amp;SPADARO srl</v>
          </cell>
          <cell r="B1474" t="str">
            <v>14/02/23 HANNO NS DEPLIANT MA MAI ARRIVATA UNARICHIESTA</v>
          </cell>
          <cell r="D1474" t="str">
            <v>VIA SS. 115  ROSOLINI-NOTO</v>
          </cell>
          <cell r="E1474">
            <v>96019</v>
          </cell>
          <cell r="F1474" t="str">
            <v>ROSOLINI</v>
          </cell>
          <cell r="G1474" t="str">
            <v>SR</v>
          </cell>
          <cell r="H1474" t="str">
            <v>ITALIA</v>
          </cell>
          <cell r="J1474" t="str">
            <v>00149860892</v>
          </cell>
          <cell r="M1474" t="str">
            <v>UFFICIO ACQUISTI</v>
          </cell>
          <cell r="O1474" t="str">
            <v>348 8873498 Marcello Latino</v>
          </cell>
          <cell r="P1474" t="str">
            <v>latinoespadarosrl@virgilio.it - marcellolatino@live.it</v>
          </cell>
          <cell r="R1474" t="str">
            <v>BONIFICO BANCARIO, ALLA DATA DELLA NOSTRA CONFERMA D'ORDINE</v>
          </cell>
          <cell r="X1474">
            <v>0.25</v>
          </cell>
          <cell r="Y1474">
            <v>-0.04</v>
          </cell>
          <cell r="AB1474">
            <v>0.25</v>
          </cell>
          <cell r="AC1474">
            <v>0.25</v>
          </cell>
          <cell r="AD1474">
            <v>0.25</v>
          </cell>
          <cell r="AE1474">
            <v>0.25</v>
          </cell>
          <cell r="AF1474">
            <v>0.25</v>
          </cell>
          <cell r="AG1474">
            <v>0.25</v>
          </cell>
          <cell r="AH1474">
            <v>0.25</v>
          </cell>
          <cell r="AI1474">
            <v>0.25</v>
          </cell>
          <cell r="AJ1474">
            <v>0.25</v>
          </cell>
          <cell r="AK1474">
            <v>0.25</v>
          </cell>
          <cell r="AL1474">
            <v>0.25</v>
          </cell>
          <cell r="AM1474">
            <v>0.25</v>
          </cell>
          <cell r="AN1474">
            <v>0.25</v>
          </cell>
          <cell r="AO1474">
            <v>0.25</v>
          </cell>
          <cell r="AP1474">
            <v>0.25</v>
          </cell>
          <cell r="AQ1474">
            <v>0.25</v>
          </cell>
          <cell r="AR1474">
            <v>0.25</v>
          </cell>
          <cell r="AS1474">
            <v>0.25</v>
          </cell>
          <cell r="AT1474">
            <v>-0.04</v>
          </cell>
          <cell r="AU1474">
            <v>0.92</v>
          </cell>
          <cell r="AV1474">
            <v>20</v>
          </cell>
          <cell r="AY1474" t="str">
            <v/>
          </cell>
          <cell r="AZ1474">
            <v>0.25</v>
          </cell>
          <cell r="BA1474">
            <v>0.25</v>
          </cell>
        </row>
        <row r="1475">
          <cell r="A1475" t="str">
            <v>LAURENZI SAMUELE</v>
          </cell>
          <cell r="G1475" t="str">
            <v>TE</v>
          </cell>
          <cell r="H1475" t="str">
            <v>ITALIA</v>
          </cell>
          <cell r="M1475" t="str">
            <v>UFFICIO ACQUISTI</v>
          </cell>
          <cell r="O1475" t="str">
            <v>340 7067561</v>
          </cell>
          <cell r="R1475" t="str">
            <v>BONIFICO BANCARIO, ALLA DATA DELLA NOSTRA CONFERMA D'ORDINE</v>
          </cell>
          <cell r="X1475">
            <v>0.25</v>
          </cell>
          <cell r="Y1475">
            <v>-0.04</v>
          </cell>
          <cell r="AB1475">
            <v>0.25</v>
          </cell>
          <cell r="AC1475">
            <v>0.25</v>
          </cell>
          <cell r="AD1475">
            <v>0.25</v>
          </cell>
          <cell r="AE1475">
            <v>0.25</v>
          </cell>
          <cell r="AF1475">
            <v>0.25</v>
          </cell>
          <cell r="AG1475">
            <v>0.25</v>
          </cell>
          <cell r="AH1475">
            <v>0.25</v>
          </cell>
          <cell r="AI1475">
            <v>0.25</v>
          </cell>
          <cell r="AJ1475">
            <v>0.25</v>
          </cell>
          <cell r="AK1475">
            <v>0.25</v>
          </cell>
          <cell r="AL1475">
            <v>0.25</v>
          </cell>
          <cell r="AM1475">
            <v>0.25</v>
          </cell>
          <cell r="AN1475">
            <v>0.25</v>
          </cell>
          <cell r="AO1475">
            <v>0.25</v>
          </cell>
          <cell r="AP1475">
            <v>0.25</v>
          </cell>
          <cell r="AQ1475">
            <v>0.25</v>
          </cell>
          <cell r="AR1475">
            <v>0.25</v>
          </cell>
          <cell r="AS1475">
            <v>0.25</v>
          </cell>
          <cell r="AT1475">
            <v>-0.04</v>
          </cell>
          <cell r="AU1475">
            <v>0.92</v>
          </cell>
          <cell r="AV1475">
            <v>20</v>
          </cell>
          <cell r="AY1475" t="str">
            <v/>
          </cell>
          <cell r="AZ1475">
            <v>0.25</v>
          </cell>
          <cell r="BA1475">
            <v>0.25</v>
          </cell>
        </row>
        <row r="1476">
          <cell r="A1476" t="str">
            <v>LAURO</v>
          </cell>
          <cell r="D1476" t="str">
            <v>VIA BIANCHERI, 18</v>
          </cell>
          <cell r="E1476">
            <v>18039</v>
          </cell>
          <cell r="F1476" t="str">
            <v>VENTIMIGLIA</v>
          </cell>
          <cell r="G1476" t="str">
            <v>IM</v>
          </cell>
          <cell r="H1476" t="str">
            <v>ITALIA</v>
          </cell>
          <cell r="M1476" t="str">
            <v>UFFICIO ACQUISTI</v>
          </cell>
          <cell r="N1476" t="str">
            <v>0184 238505</v>
          </cell>
          <cell r="P1476" t="str">
            <v>lauroserramenti1967@gmail.com</v>
          </cell>
          <cell r="R1476" t="str">
            <v>BONIFICO BANCARIO, ALLA DATA DELLA NOSTRA CONFERMA D'ORDINE</v>
          </cell>
          <cell r="X1476">
            <v>0.25</v>
          </cell>
          <cell r="Y1476">
            <v>-0.04</v>
          </cell>
          <cell r="AB1476">
            <v>0.25</v>
          </cell>
          <cell r="AC1476">
            <v>0.25</v>
          </cell>
          <cell r="AD1476">
            <v>0.25</v>
          </cell>
          <cell r="AE1476">
            <v>0.25</v>
          </cell>
          <cell r="AF1476">
            <v>0.25</v>
          </cell>
          <cell r="AG1476">
            <v>0.25</v>
          </cell>
          <cell r="AH1476">
            <v>0.25</v>
          </cell>
          <cell r="AI1476">
            <v>0.25</v>
          </cell>
          <cell r="AJ1476">
            <v>0.25</v>
          </cell>
          <cell r="AK1476">
            <v>0.25</v>
          </cell>
          <cell r="AL1476">
            <v>0.25</v>
          </cell>
          <cell r="AM1476">
            <v>0.25</v>
          </cell>
          <cell r="AN1476">
            <v>0.25</v>
          </cell>
          <cell r="AO1476">
            <v>0.25</v>
          </cell>
          <cell r="AP1476">
            <v>0.25</v>
          </cell>
          <cell r="AQ1476">
            <v>0.25</v>
          </cell>
          <cell r="AR1476">
            <v>0.25</v>
          </cell>
          <cell r="AS1476">
            <v>0.25</v>
          </cell>
          <cell r="AT1476">
            <v>-0.04</v>
          </cell>
          <cell r="AU1476">
            <v>0.92</v>
          </cell>
          <cell r="AV1476">
            <v>20</v>
          </cell>
          <cell r="AY1476" t="str">
            <v/>
          </cell>
          <cell r="AZ1476">
            <v>0.25</v>
          </cell>
          <cell r="BA1476">
            <v>0.25</v>
          </cell>
        </row>
        <row r="1477">
          <cell r="A1477" t="str">
            <v>LAV DI FABRIZIO ESPOSITO</v>
          </cell>
          <cell r="D1477" t="str">
            <v>VIALE DELLA REPUBBLICA 7</v>
          </cell>
          <cell r="E1477" t="str">
            <v>57023</v>
          </cell>
          <cell r="F1477" t="str">
            <v>CECINA</v>
          </cell>
          <cell r="G1477" t="str">
            <v>LI</v>
          </cell>
          <cell r="H1477" t="str">
            <v>ITALIA</v>
          </cell>
          <cell r="J1477" t="str">
            <v>00868060492</v>
          </cell>
          <cell r="M1477" t="str">
            <v>UFFICIO ACQUISTI</v>
          </cell>
          <cell r="N1477" t="str">
            <v>0586 681095</v>
          </cell>
          <cell r="O1477" t="str">
            <v>336 469604</v>
          </cell>
          <cell r="R1477" t="str">
            <v>BONIFICO BANCARIO, ALLA DATA DELLA NOSTRA CONFERMA D'ORDINE</v>
          </cell>
          <cell r="X1477">
            <v>0.25</v>
          </cell>
          <cell r="Y1477">
            <v>-0.04</v>
          </cell>
          <cell r="AB1477">
            <v>0.25</v>
          </cell>
          <cell r="AC1477">
            <v>0.25</v>
          </cell>
          <cell r="AD1477">
            <v>0.25</v>
          </cell>
          <cell r="AE1477">
            <v>0.25</v>
          </cell>
          <cell r="AF1477">
            <v>0.25</v>
          </cell>
          <cell r="AG1477">
            <v>0.25</v>
          </cell>
          <cell r="AH1477">
            <v>0.25</v>
          </cell>
          <cell r="AI1477">
            <v>0.25</v>
          </cell>
          <cell r="AJ1477">
            <v>0.25</v>
          </cell>
          <cell r="AK1477">
            <v>0.25</v>
          </cell>
          <cell r="AL1477">
            <v>0.25</v>
          </cell>
          <cell r="AM1477">
            <v>0.25</v>
          </cell>
          <cell r="AN1477">
            <v>0.25</v>
          </cell>
          <cell r="AO1477">
            <v>0.25</v>
          </cell>
          <cell r="AP1477">
            <v>0.25</v>
          </cell>
          <cell r="AQ1477">
            <v>0.25</v>
          </cell>
          <cell r="AR1477">
            <v>0.25</v>
          </cell>
          <cell r="AS1477">
            <v>0.25</v>
          </cell>
          <cell r="AT1477">
            <v>-0.04</v>
          </cell>
          <cell r="AU1477">
            <v>0.92</v>
          </cell>
          <cell r="AV1477">
            <v>20</v>
          </cell>
          <cell r="AY1477" t="str">
            <v/>
          </cell>
          <cell r="AZ1477">
            <v>0.25</v>
          </cell>
          <cell r="BA1477">
            <v>0.25</v>
          </cell>
        </row>
        <row r="1478">
          <cell r="A1478" t="str">
            <v>LAVORAZIONE ARTISTICA DEL FERRO DI BERENGAN ANTONELLA</v>
          </cell>
          <cell r="D1478" t="str">
            <v>VIA G. VERDI, 2857 B</v>
          </cell>
          <cell r="E1478" t="str">
            <v>45021</v>
          </cell>
          <cell r="F1478" t="str">
            <v>VILLA D'ADIGE</v>
          </cell>
          <cell r="G1478" t="str">
            <v>RO</v>
          </cell>
          <cell r="H1478" t="str">
            <v>ITALIA</v>
          </cell>
          <cell r="J1478" t="str">
            <v>00894060292</v>
          </cell>
          <cell r="M1478" t="str">
            <v>UFFICIO ACQUISTI</v>
          </cell>
          <cell r="N1478" t="str">
            <v>0425 546110</v>
          </cell>
          <cell r="O1478" t="str">
            <v>334 8963993</v>
          </cell>
          <cell r="R1478" t="str">
            <v>BONIFICO BANCARIO, ALLA DATA DELLA NOSTRA CONFERMA D'ORDINE</v>
          </cell>
          <cell r="X1478">
            <v>0.25</v>
          </cell>
          <cell r="Y1478">
            <v>-0.04</v>
          </cell>
          <cell r="AB1478">
            <v>0.25</v>
          </cell>
          <cell r="AC1478">
            <v>0.25</v>
          </cell>
          <cell r="AD1478">
            <v>0.25</v>
          </cell>
          <cell r="AE1478">
            <v>0.25</v>
          </cell>
          <cell r="AF1478">
            <v>0.25</v>
          </cell>
          <cell r="AG1478">
            <v>0.25</v>
          </cell>
          <cell r="AH1478">
            <v>0.25</v>
          </cell>
          <cell r="AI1478">
            <v>0.25</v>
          </cell>
          <cell r="AJ1478">
            <v>0.25</v>
          </cell>
          <cell r="AK1478">
            <v>0.25</v>
          </cell>
          <cell r="AL1478">
            <v>0.25</v>
          </cell>
          <cell r="AM1478">
            <v>0.25</v>
          </cell>
          <cell r="AN1478">
            <v>0.25</v>
          </cell>
          <cell r="AO1478">
            <v>0.25</v>
          </cell>
          <cell r="AP1478">
            <v>0.25</v>
          </cell>
          <cell r="AQ1478">
            <v>0.25</v>
          </cell>
          <cell r="AR1478">
            <v>0.25</v>
          </cell>
          <cell r="AS1478">
            <v>0.25</v>
          </cell>
          <cell r="AT1478">
            <v>-0.04</v>
          </cell>
          <cell r="AV1478">
            <v>20</v>
          </cell>
          <cell r="AZ1478">
            <v>0.25</v>
          </cell>
          <cell r="BA1478">
            <v>0.25</v>
          </cell>
        </row>
        <row r="1479">
          <cell r="A1479" t="str">
            <v>LAVORAZIONI METALLICHE</v>
          </cell>
          <cell r="D1479" t="str">
            <v>VIA DEL COMMERCIO, 42</v>
          </cell>
          <cell r="E1479" t="str">
            <v>37066</v>
          </cell>
          <cell r="F1479" t="str">
            <v>SOMMACAMPAGNA</v>
          </cell>
          <cell r="G1479" t="str">
            <v>VR</v>
          </cell>
          <cell r="H1479" t="str">
            <v>ITALIA</v>
          </cell>
          <cell r="M1479" t="str">
            <v>UFFICIO ACQUISTI</v>
          </cell>
          <cell r="N1479" t="str">
            <v>0458961117</v>
          </cell>
          <cell r="R1479" t="str">
            <v>BONIFICO BANCARIO, ALLA DATA DELLA NOSTRA CONFERMA D'ORDINE</v>
          </cell>
          <cell r="X1479">
            <v>0.25</v>
          </cell>
          <cell r="Y1479">
            <v>-0.04</v>
          </cell>
          <cell r="AB1479">
            <v>0.25</v>
          </cell>
          <cell r="AC1479">
            <v>0.25</v>
          </cell>
          <cell r="AD1479">
            <v>0.25</v>
          </cell>
          <cell r="AE1479">
            <v>0.25</v>
          </cell>
          <cell r="AF1479">
            <v>0.25</v>
          </cell>
          <cell r="AG1479">
            <v>0.25</v>
          </cell>
          <cell r="AH1479">
            <v>0.25</v>
          </cell>
          <cell r="AI1479">
            <v>0.25</v>
          </cell>
          <cell r="AJ1479">
            <v>0.25</v>
          </cell>
          <cell r="AK1479">
            <v>0.25</v>
          </cell>
          <cell r="AL1479">
            <v>0.25</v>
          </cell>
          <cell r="AM1479">
            <v>0.25</v>
          </cell>
          <cell r="AN1479">
            <v>0.25</v>
          </cell>
          <cell r="AO1479">
            <v>0.25</v>
          </cell>
          <cell r="AP1479">
            <v>0.25</v>
          </cell>
          <cell r="AQ1479">
            <v>0.25</v>
          </cell>
          <cell r="AR1479">
            <v>0.25</v>
          </cell>
          <cell r="AS1479">
            <v>0.25</v>
          </cell>
          <cell r="AT1479">
            <v>-0.04</v>
          </cell>
          <cell r="AU1479">
            <v>0.92</v>
          </cell>
          <cell r="AV1479">
            <v>20</v>
          </cell>
          <cell r="AY1479" t="str">
            <v/>
          </cell>
          <cell r="AZ1479">
            <v>0.25</v>
          </cell>
          <cell r="BA1479">
            <v>0.25</v>
          </cell>
        </row>
        <row r="1480">
          <cell r="A1480" t="str">
            <v>L'AVVOLGIBILE</v>
          </cell>
          <cell r="D1480" t="str">
            <v>VIA DI PRATALE, 1</v>
          </cell>
          <cell r="E1480">
            <v>56122</v>
          </cell>
          <cell r="F1480" t="str">
            <v>PISA</v>
          </cell>
          <cell r="G1480" t="str">
            <v>PI</v>
          </cell>
          <cell r="H1480" t="str">
            <v>ITALIA</v>
          </cell>
          <cell r="M1480" t="str">
            <v>UFFICIO ACQUISTI</v>
          </cell>
          <cell r="N1480" t="str">
            <v>050 830892</v>
          </cell>
          <cell r="R1480" t="str">
            <v>BONIFICO BANCARIO, ALLA DATA DELLA NOSTRA CONFERMA D'ORDINE</v>
          </cell>
          <cell r="X1480">
            <v>0.25</v>
          </cell>
          <cell r="Y1480">
            <v>-0.04</v>
          </cell>
          <cell r="AB1480">
            <v>0.25</v>
          </cell>
          <cell r="AC1480">
            <v>0.25</v>
          </cell>
          <cell r="AD1480">
            <v>0.25</v>
          </cell>
          <cell r="AE1480">
            <v>0.25</v>
          </cell>
          <cell r="AF1480">
            <v>0.25</v>
          </cell>
          <cell r="AG1480">
            <v>0.25</v>
          </cell>
          <cell r="AH1480">
            <v>0.25</v>
          </cell>
          <cell r="AI1480">
            <v>0.25</v>
          </cell>
          <cell r="AJ1480">
            <v>0.25</v>
          </cell>
          <cell r="AK1480">
            <v>0.25</v>
          </cell>
          <cell r="AL1480">
            <v>0.25</v>
          </cell>
          <cell r="AM1480">
            <v>0.25</v>
          </cell>
          <cell r="AN1480">
            <v>0.25</v>
          </cell>
          <cell r="AO1480">
            <v>0.25</v>
          </cell>
          <cell r="AP1480">
            <v>0.25</v>
          </cell>
          <cell r="AQ1480">
            <v>0.25</v>
          </cell>
          <cell r="AR1480">
            <v>0.25</v>
          </cell>
          <cell r="AS1480">
            <v>0.25</v>
          </cell>
          <cell r="AT1480">
            <v>-0.04</v>
          </cell>
          <cell r="AU1480">
            <v>0.92</v>
          </cell>
          <cell r="AV1480">
            <v>20</v>
          </cell>
          <cell r="AY1480" t="str">
            <v/>
          </cell>
          <cell r="AZ1480">
            <v>0.25</v>
          </cell>
          <cell r="BA1480">
            <v>0.25</v>
          </cell>
        </row>
        <row r="1481">
          <cell r="A1481" t="str">
            <v>LBG SERRAMENTI SRL</v>
          </cell>
          <cell r="D1481" t="str">
            <v>VIA S. CAFASSO, 7</v>
          </cell>
          <cell r="E1481" t="str">
            <v>00156</v>
          </cell>
          <cell r="F1481" t="str">
            <v>ROMA</v>
          </cell>
          <cell r="G1481" t="str">
            <v>RM</v>
          </cell>
          <cell r="H1481" t="str">
            <v>ITALIA</v>
          </cell>
          <cell r="I1481" t="str">
            <v>07291451008</v>
          </cell>
          <cell r="J1481" t="str">
            <v>07291451008</v>
          </cell>
          <cell r="M1481" t="str">
            <v>UFFICIO ACQUISTI</v>
          </cell>
          <cell r="O1481" t="str">
            <v>328 9254574</v>
          </cell>
          <cell r="R1481" t="str">
            <v>BONIFICO BANCARIO, ALLA DATA DELLA NOSTRA CONFERMA D'ORDINE</v>
          </cell>
          <cell r="X1481">
            <v>0.25</v>
          </cell>
          <cell r="Y1481">
            <v>-0.04</v>
          </cell>
          <cell r="AB1481">
            <v>0.25</v>
          </cell>
          <cell r="AC1481">
            <v>0.25</v>
          </cell>
          <cell r="AD1481">
            <v>0.25</v>
          </cell>
          <cell r="AE1481">
            <v>0.25</v>
          </cell>
          <cell r="AF1481">
            <v>0.25</v>
          </cell>
          <cell r="AG1481">
            <v>0.25</v>
          </cell>
          <cell r="AH1481">
            <v>0.25</v>
          </cell>
          <cell r="AI1481">
            <v>0.25</v>
          </cell>
          <cell r="AJ1481">
            <v>0.25</v>
          </cell>
          <cell r="AK1481">
            <v>0.25</v>
          </cell>
          <cell r="AL1481">
            <v>0.25</v>
          </cell>
          <cell r="AM1481">
            <v>0.25</v>
          </cell>
          <cell r="AN1481">
            <v>0.25</v>
          </cell>
          <cell r="AO1481">
            <v>0.25</v>
          </cell>
          <cell r="AP1481">
            <v>0.25</v>
          </cell>
          <cell r="AQ1481">
            <v>0.25</v>
          </cell>
          <cell r="AR1481">
            <v>0.25</v>
          </cell>
          <cell r="AS1481">
            <v>0.25</v>
          </cell>
          <cell r="AT1481">
            <v>-0.04</v>
          </cell>
          <cell r="AU1481">
            <v>0.92</v>
          </cell>
          <cell r="AV1481">
            <v>20</v>
          </cell>
          <cell r="AZ1481">
            <v>0.25</v>
          </cell>
          <cell r="BA1481">
            <v>0.25</v>
          </cell>
        </row>
        <row r="1482">
          <cell r="A1482" t="str">
            <v>LBL SNC DI LORENZINI DARIO &amp; C</v>
          </cell>
          <cell r="D1482" t="str">
            <v>VIA G. ROSSA 36</v>
          </cell>
          <cell r="E1482" t="str">
            <v>57016</v>
          </cell>
          <cell r="F1482" t="str">
            <v>ROSIGNANO SOLVAY</v>
          </cell>
          <cell r="G1482" t="str">
            <v>LI</v>
          </cell>
          <cell r="H1482" t="str">
            <v>ITALIA</v>
          </cell>
          <cell r="J1482" t="str">
            <v>00638280495</v>
          </cell>
          <cell r="M1482" t="str">
            <v>UFFICIO ACQUISTI</v>
          </cell>
          <cell r="N1482" t="str">
            <v>0586 790734</v>
          </cell>
          <cell r="P1482" t="str">
            <v>lblsnc@virgilio.it</v>
          </cell>
          <cell r="R1482" t="str">
            <v>BONIFICO BANCARIO, ALLA DATA DELLA NOSTRA CONFERMA D'ORDINE</v>
          </cell>
          <cell r="X1482">
            <v>0.25</v>
          </cell>
          <cell r="Y1482">
            <v>-0.04</v>
          </cell>
          <cell r="AB1482">
            <v>0.25</v>
          </cell>
          <cell r="AC1482">
            <v>0.25</v>
          </cell>
          <cell r="AD1482">
            <v>0.25</v>
          </cell>
          <cell r="AE1482">
            <v>0.25</v>
          </cell>
          <cell r="AF1482">
            <v>0.25</v>
          </cell>
          <cell r="AG1482">
            <v>0.25</v>
          </cell>
          <cell r="AH1482">
            <v>0.25</v>
          </cell>
          <cell r="AI1482">
            <v>0.25</v>
          </cell>
          <cell r="AJ1482">
            <v>0.25</v>
          </cell>
          <cell r="AK1482">
            <v>0.25</v>
          </cell>
          <cell r="AL1482">
            <v>0.25</v>
          </cell>
          <cell r="AM1482">
            <v>0.25</v>
          </cell>
          <cell r="AN1482">
            <v>0.25</v>
          </cell>
          <cell r="AO1482">
            <v>0.25</v>
          </cell>
          <cell r="AP1482">
            <v>0.25</v>
          </cell>
          <cell r="AQ1482">
            <v>0.25</v>
          </cell>
          <cell r="AR1482">
            <v>0.25</v>
          </cell>
          <cell r="AS1482">
            <v>0.25</v>
          </cell>
          <cell r="AT1482">
            <v>-0.04</v>
          </cell>
          <cell r="AU1482">
            <v>0.92</v>
          </cell>
          <cell r="AV1482">
            <v>20</v>
          </cell>
          <cell r="AY1482" t="str">
            <v/>
          </cell>
          <cell r="AZ1482">
            <v>0.25</v>
          </cell>
          <cell r="BA1482">
            <v>0.25</v>
          </cell>
        </row>
        <row r="1483">
          <cell r="A1483" t="str">
            <v>LCM SERRAMENTI DAL 1973</v>
          </cell>
          <cell r="D1483" t="str">
            <v>VIA BELLETT , I54</v>
          </cell>
          <cell r="E1483" t="str">
            <v>15010</v>
          </cell>
          <cell r="F1483" t="str">
            <v>CREMOLINO</v>
          </cell>
          <cell r="G1483" t="str">
            <v>AL</v>
          </cell>
          <cell r="H1483" t="str">
            <v>ITALIA</v>
          </cell>
          <cell r="J1483" t="str">
            <v>00262000060</v>
          </cell>
          <cell r="M1483" t="str">
            <v>UFFICIO ACQUISTI</v>
          </cell>
          <cell r="N1483" t="str">
            <v>0143 821032</v>
          </cell>
          <cell r="P1483" t="str">
            <v>info@lcmserramenti.it</v>
          </cell>
          <cell r="R1483" t="str">
            <v>BONIFICO BANCARIO, ALLA DATA DELLA NOSTRA CONFERMA D'ORDINE</v>
          </cell>
          <cell r="X1483">
            <v>0.25</v>
          </cell>
          <cell r="Y1483">
            <v>-0.04</v>
          </cell>
          <cell r="AB1483">
            <v>0.25</v>
          </cell>
          <cell r="AC1483">
            <v>0.25</v>
          </cell>
          <cell r="AD1483">
            <v>0.25</v>
          </cell>
          <cell r="AE1483">
            <v>0.25</v>
          </cell>
          <cell r="AF1483">
            <v>0.25</v>
          </cell>
          <cell r="AG1483">
            <v>0.25</v>
          </cell>
          <cell r="AH1483">
            <v>0.25</v>
          </cell>
          <cell r="AI1483">
            <v>0.25</v>
          </cell>
          <cell r="AJ1483">
            <v>0.25</v>
          </cell>
          <cell r="AK1483">
            <v>0.25</v>
          </cell>
          <cell r="AL1483">
            <v>0.25</v>
          </cell>
          <cell r="AM1483">
            <v>0.25</v>
          </cell>
          <cell r="AN1483">
            <v>0.25</v>
          </cell>
          <cell r="AO1483">
            <v>0.25</v>
          </cell>
          <cell r="AP1483">
            <v>0.25</v>
          </cell>
          <cell r="AQ1483">
            <v>0.25</v>
          </cell>
          <cell r="AR1483">
            <v>0.25</v>
          </cell>
          <cell r="AS1483">
            <v>0.25</v>
          </cell>
          <cell r="AT1483">
            <v>-0.04</v>
          </cell>
          <cell r="AU1483">
            <v>0.92</v>
          </cell>
          <cell r="AV1483">
            <v>20</v>
          </cell>
          <cell r="AY1483" t="str">
            <v/>
          </cell>
          <cell r="AZ1483">
            <v>0.25</v>
          </cell>
          <cell r="BA1483">
            <v>0.25</v>
          </cell>
        </row>
        <row r="1484">
          <cell r="A1484" t="str">
            <v>LD INVISSI ALLUMINIO PVC</v>
          </cell>
          <cell r="D1484" t="str">
            <v>VIA ROMANA OVEST 280/A</v>
          </cell>
          <cell r="E1484">
            <v>55016</v>
          </cell>
          <cell r="F1484" t="str">
            <v>PORCARI</v>
          </cell>
          <cell r="G1484" t="str">
            <v>LU</v>
          </cell>
          <cell r="H1484" t="str">
            <v>ITALIA</v>
          </cell>
          <cell r="M1484" t="str">
            <v>UFFICIO ACQUISTI</v>
          </cell>
          <cell r="O1484" t="str">
            <v>348 5426382</v>
          </cell>
          <cell r="P1484" t="str">
            <v>ldinfissi@yahoo.it</v>
          </cell>
          <cell r="R1484" t="str">
            <v>BONIFICO BANCARIO, ALLA DATA DELLA NOSTRA CONFERMA D'ORDINE</v>
          </cell>
          <cell r="X1484">
            <v>0.25</v>
          </cell>
          <cell r="Y1484">
            <v>-0.04</v>
          </cell>
          <cell r="AB1484">
            <v>0.25</v>
          </cell>
          <cell r="AC1484">
            <v>0.25</v>
          </cell>
          <cell r="AD1484">
            <v>0.25</v>
          </cell>
          <cell r="AE1484">
            <v>0.25</v>
          </cell>
          <cell r="AF1484">
            <v>0.25</v>
          </cell>
          <cell r="AG1484">
            <v>0.25</v>
          </cell>
          <cell r="AH1484">
            <v>0.25</v>
          </cell>
          <cell r="AI1484">
            <v>0.25</v>
          </cell>
          <cell r="AJ1484">
            <v>0.25</v>
          </cell>
          <cell r="AK1484">
            <v>0.25</v>
          </cell>
          <cell r="AL1484">
            <v>0.25</v>
          </cell>
          <cell r="AM1484">
            <v>0.25</v>
          </cell>
          <cell r="AN1484">
            <v>0.25</v>
          </cell>
          <cell r="AO1484">
            <v>0.25</v>
          </cell>
          <cell r="AP1484">
            <v>0.25</v>
          </cell>
          <cell r="AQ1484">
            <v>0.25</v>
          </cell>
          <cell r="AR1484">
            <v>0.25</v>
          </cell>
          <cell r="AS1484">
            <v>0.25</v>
          </cell>
          <cell r="AT1484">
            <v>-0.04</v>
          </cell>
          <cell r="AU1484">
            <v>0.92</v>
          </cell>
          <cell r="AV1484">
            <v>20</v>
          </cell>
          <cell r="AY1484" t="str">
            <v/>
          </cell>
          <cell r="AZ1484">
            <v>0.25</v>
          </cell>
          <cell r="BA1484">
            <v>0.25</v>
          </cell>
        </row>
        <row r="1485">
          <cell r="A1485" t="str">
            <v>LD PORTE E FINESTRE DI LORENZO D'AMATO</v>
          </cell>
          <cell r="D1485" t="str">
            <v>VIA MONTELLO, 31</v>
          </cell>
          <cell r="E1485" t="str">
            <v>70125</v>
          </cell>
          <cell r="F1485" t="str">
            <v>BARI</v>
          </cell>
          <cell r="G1485" t="str">
            <v>BA</v>
          </cell>
          <cell r="H1485" t="str">
            <v>ITALIA</v>
          </cell>
          <cell r="M1485" t="str">
            <v>UFFICIO ACQUISTI</v>
          </cell>
          <cell r="O1485" t="str">
            <v>333 3320406</v>
          </cell>
          <cell r="P1485" t="str">
            <v>Idinfissi@gmail.com</v>
          </cell>
          <cell r="R1485" t="str">
            <v>BONIFICO BANCARIO, ALLA DATA DELLA NOSTRA CONFERMA D'ORDINE</v>
          </cell>
          <cell r="X1485">
            <v>0.2</v>
          </cell>
          <cell r="Y1485">
            <v>-0.04</v>
          </cell>
          <cell r="AB1485">
            <v>0.2</v>
          </cell>
          <cell r="AC1485">
            <v>0.2</v>
          </cell>
          <cell r="AD1485">
            <v>0.2</v>
          </cell>
          <cell r="AE1485">
            <v>0.2</v>
          </cell>
          <cell r="AF1485">
            <v>0.2</v>
          </cell>
          <cell r="AG1485">
            <v>0.2</v>
          </cell>
          <cell r="AH1485">
            <v>0.2</v>
          </cell>
          <cell r="AI1485">
            <v>0.2</v>
          </cell>
          <cell r="AJ1485">
            <v>0.2</v>
          </cell>
          <cell r="AK1485">
            <v>0.2</v>
          </cell>
          <cell r="AL1485">
            <v>0.2</v>
          </cell>
          <cell r="AM1485">
            <v>0.2</v>
          </cell>
          <cell r="AN1485">
            <v>0.2</v>
          </cell>
          <cell r="AO1485">
            <v>0.2</v>
          </cell>
          <cell r="AP1485">
            <v>0.2</v>
          </cell>
          <cell r="AQ1485">
            <v>0.2</v>
          </cell>
          <cell r="AR1485">
            <v>0.2</v>
          </cell>
          <cell r="AS1485">
            <v>0.2</v>
          </cell>
          <cell r="AT1485">
            <v>-0.04</v>
          </cell>
          <cell r="AU1485">
            <v>0.92</v>
          </cell>
          <cell r="AV1485">
            <v>20</v>
          </cell>
          <cell r="AZ1485">
            <v>0.2</v>
          </cell>
          <cell r="BA1485">
            <v>0.2</v>
          </cell>
        </row>
        <row r="1486">
          <cell r="A1486" t="str">
            <v>LD SERRAMENTI SRLS</v>
          </cell>
          <cell r="D1486" t="str">
            <v>VIA A.M.CALEFATI, 197</v>
          </cell>
          <cell r="E1486" t="str">
            <v>70121</v>
          </cell>
          <cell r="F1486" t="str">
            <v>BARI</v>
          </cell>
          <cell r="G1486" t="str">
            <v>BA</v>
          </cell>
          <cell r="H1486" t="str">
            <v>ITALIA</v>
          </cell>
          <cell r="J1486" t="str">
            <v>077720400725</v>
          </cell>
          <cell r="L1486" t="str">
            <v>VIALE EUROPA ANG.VIA SOPRAMARZO</v>
          </cell>
          <cell r="M1486" t="str">
            <v>UFFICIO ACQUISTI</v>
          </cell>
          <cell r="O1486" t="str">
            <v>329 5683519</v>
          </cell>
          <cell r="R1486" t="str">
            <v>BONIFICO BANCARIO, ALLA DATA DELLA NOSTRA CONFERMA D'ORDINE</v>
          </cell>
          <cell r="X1486">
            <v>0.2</v>
          </cell>
          <cell r="Y1486">
            <v>-0.04</v>
          </cell>
          <cell r="AB1486">
            <v>0.2</v>
          </cell>
          <cell r="AC1486">
            <v>0.2</v>
          </cell>
          <cell r="AD1486">
            <v>0.2</v>
          </cell>
          <cell r="AE1486">
            <v>0.2</v>
          </cell>
          <cell r="AF1486">
            <v>0.2</v>
          </cell>
          <cell r="AG1486">
            <v>0.2</v>
          </cell>
          <cell r="AH1486">
            <v>0.2</v>
          </cell>
          <cell r="AI1486">
            <v>0.2</v>
          </cell>
          <cell r="AJ1486">
            <v>0.2</v>
          </cell>
          <cell r="AK1486">
            <v>0.2</v>
          </cell>
          <cell r="AL1486">
            <v>0.2</v>
          </cell>
          <cell r="AM1486">
            <v>0.2</v>
          </cell>
          <cell r="AN1486">
            <v>0.2</v>
          </cell>
          <cell r="AO1486">
            <v>0.2</v>
          </cell>
          <cell r="AP1486">
            <v>0.2</v>
          </cell>
          <cell r="AQ1486">
            <v>0.2</v>
          </cell>
          <cell r="AR1486">
            <v>0.2</v>
          </cell>
          <cell r="AS1486">
            <v>0.2</v>
          </cell>
          <cell r="AT1486">
            <v>-0.04</v>
          </cell>
          <cell r="AU1486">
            <v>0.92</v>
          </cell>
          <cell r="AV1486">
            <v>20</v>
          </cell>
          <cell r="AZ1486">
            <v>0.2</v>
          </cell>
          <cell r="BA1486">
            <v>0.2</v>
          </cell>
        </row>
        <row r="1487">
          <cell r="A1487" t="str">
            <v>LDF L'ARTE DEL FERRO DI PUGNALI G. E C. SAS</v>
          </cell>
          <cell r="B1487" t="str">
            <v>INTERESSATO</v>
          </cell>
          <cell r="D1487" t="str">
            <v>VIA GUALDO TODINO, 3</v>
          </cell>
          <cell r="E1487" t="str">
            <v>06039</v>
          </cell>
          <cell r="F1487" t="str">
            <v>MATIGGE DI TREVI</v>
          </cell>
          <cell r="G1487" t="str">
            <v>PG</v>
          </cell>
          <cell r="H1487" t="str">
            <v>ITALIA</v>
          </cell>
          <cell r="M1487" t="str">
            <v>UFFICIO ACQUISTI</v>
          </cell>
          <cell r="N1487" t="str">
            <v>0742 391665</v>
          </cell>
          <cell r="O1487" t="str">
            <v>347 8314682</v>
          </cell>
          <cell r="P1487" t="str">
            <v>info@lartedelferro.net</v>
          </cell>
          <cell r="R1487" t="str">
            <v>BONIFICO BANCARIO, ALLA DATA DELLA NOSTRA CONFERMA D'ORDINE</v>
          </cell>
          <cell r="Y1487">
            <v>-0.04</v>
          </cell>
          <cell r="AT1487">
            <v>-0.04</v>
          </cell>
          <cell r="AV1487">
            <v>20</v>
          </cell>
          <cell r="AZ1487">
            <v>0</v>
          </cell>
          <cell r="BA1487">
            <v>0</v>
          </cell>
        </row>
        <row r="1488">
          <cell r="A1488" t="str">
            <v>LE PORTE E… NON SOLO</v>
          </cell>
          <cell r="B1488" t="str">
            <v>DI MATTEO LUCIO, DI MATTEO LUCIANO 02/03/23 NON INTERESSATI, NON HANNO RICHIESTA</v>
          </cell>
          <cell r="D1488" t="str">
            <v>VIA RAFFAELLO, 84</v>
          </cell>
          <cell r="E1488" t="str">
            <v>65124</v>
          </cell>
          <cell r="F1488" t="str">
            <v>PESCARA</v>
          </cell>
          <cell r="G1488" t="str">
            <v>PE</v>
          </cell>
          <cell r="H1488" t="str">
            <v>ITALIA</v>
          </cell>
          <cell r="J1488" t="str">
            <v>01595910686</v>
          </cell>
          <cell r="M1488" t="str">
            <v>UFFICIO ACQUISTI</v>
          </cell>
          <cell r="O1488" t="str">
            <v>339 4699396 - 331 1223292</v>
          </cell>
          <cell r="P1488" t="str">
            <v>leportenonsolo@libero.it</v>
          </cell>
          <cell r="R1488" t="str">
            <v>BONIFICO BANCARIO, ALLA DATA DELLA NOSTRA CONFERMA D'ORDINE</v>
          </cell>
          <cell r="X1488">
            <v>0.25</v>
          </cell>
          <cell r="Y1488">
            <v>-0.04</v>
          </cell>
          <cell r="AB1488">
            <v>0.25</v>
          </cell>
          <cell r="AC1488">
            <v>0.25</v>
          </cell>
          <cell r="AD1488">
            <v>0.25</v>
          </cell>
          <cell r="AE1488">
            <v>0.25</v>
          </cell>
          <cell r="AF1488">
            <v>0.25</v>
          </cell>
          <cell r="AG1488">
            <v>0.25</v>
          </cell>
          <cell r="AH1488">
            <v>0.25</v>
          </cell>
          <cell r="AI1488">
            <v>0.25</v>
          </cell>
          <cell r="AJ1488">
            <v>0.25</v>
          </cell>
          <cell r="AK1488">
            <v>0.25</v>
          </cell>
          <cell r="AL1488">
            <v>0.25</v>
          </cell>
          <cell r="AM1488">
            <v>0.25</v>
          </cell>
          <cell r="AN1488">
            <v>0.25</v>
          </cell>
          <cell r="AO1488">
            <v>0.25</v>
          </cell>
          <cell r="AP1488">
            <v>0.25</v>
          </cell>
          <cell r="AQ1488">
            <v>0.25</v>
          </cell>
          <cell r="AR1488">
            <v>0.25</v>
          </cell>
          <cell r="AS1488">
            <v>0.25</v>
          </cell>
          <cell r="AT1488">
            <v>-0.04</v>
          </cell>
          <cell r="AU1488">
            <v>0.92</v>
          </cell>
          <cell r="AV1488">
            <v>20</v>
          </cell>
          <cell r="AY1488" t="str">
            <v/>
          </cell>
          <cell r="AZ1488">
            <v>0.25</v>
          </cell>
          <cell r="BA1488">
            <v>0.25</v>
          </cell>
        </row>
        <row r="1489">
          <cell r="A1489" t="str">
            <v>LEGNO ARREDO DI MAMBRINI LUIGI E C.SNC</v>
          </cell>
          <cell r="D1489" t="str">
            <v>VIA ENRICO FERMI, 14/16</v>
          </cell>
          <cell r="E1489" t="str">
            <v>24043</v>
          </cell>
          <cell r="F1489" t="str">
            <v>CARAVAGGIO</v>
          </cell>
          <cell r="G1489" t="str">
            <v>BG</v>
          </cell>
          <cell r="H1489" t="str">
            <v>ITALIA</v>
          </cell>
          <cell r="J1489" t="str">
            <v>00258070168</v>
          </cell>
          <cell r="M1489" t="str">
            <v>UFFICIO ACQUISTI</v>
          </cell>
          <cell r="N1489" t="str">
            <v>0363 52346</v>
          </cell>
          <cell r="P1489" t="str">
            <v>www.legnoarredo.net</v>
          </cell>
          <cell r="R1489" t="str">
            <v>BONIFICO BANCARIO, ALLA DATA DELLA NOSTRA CONFERMA D'ORDINE</v>
          </cell>
          <cell r="X1489">
            <v>0.2</v>
          </cell>
          <cell r="Y1489">
            <v>-0.04</v>
          </cell>
          <cell r="AB1489">
            <v>0.2</v>
          </cell>
          <cell r="AC1489">
            <v>0.2</v>
          </cell>
          <cell r="AD1489">
            <v>0.2</v>
          </cell>
          <cell r="AE1489">
            <v>0.2</v>
          </cell>
          <cell r="AF1489">
            <v>0.2</v>
          </cell>
          <cell r="AG1489">
            <v>0.2</v>
          </cell>
          <cell r="AH1489">
            <v>0.2</v>
          </cell>
          <cell r="AI1489">
            <v>0.2</v>
          </cell>
          <cell r="AJ1489">
            <v>0.2</v>
          </cell>
          <cell r="AK1489">
            <v>0.2</v>
          </cell>
          <cell r="AL1489">
            <v>0.2</v>
          </cell>
          <cell r="AM1489">
            <v>0.2</v>
          </cell>
          <cell r="AN1489">
            <v>0.2</v>
          </cell>
          <cell r="AO1489">
            <v>0.2</v>
          </cell>
          <cell r="AP1489">
            <v>0.2</v>
          </cell>
          <cell r="AQ1489">
            <v>0.2</v>
          </cell>
          <cell r="AR1489">
            <v>0.2</v>
          </cell>
          <cell r="AS1489">
            <v>0.2</v>
          </cell>
          <cell r="AT1489">
            <v>-0.04</v>
          </cell>
          <cell r="AU1489">
            <v>0.92</v>
          </cell>
          <cell r="AV1489">
            <v>20</v>
          </cell>
          <cell r="AZ1489">
            <v>0.2</v>
          </cell>
          <cell r="BA1489">
            <v>0.2</v>
          </cell>
        </row>
        <row r="1490">
          <cell r="A1490" t="str">
            <v>LEGNO SERVICE &amp; ART</v>
          </cell>
          <cell r="D1490" t="str">
            <v>LOCALITA' BURCHIO, SNC</v>
          </cell>
          <cell r="E1490">
            <v>50064</v>
          </cell>
          <cell r="F1490" t="str">
            <v>INCISA VALDARNO</v>
          </cell>
          <cell r="G1490" t="str">
            <v>FI</v>
          </cell>
          <cell r="H1490" t="str">
            <v>ITALIA</v>
          </cell>
          <cell r="I1490" t="str">
            <v>06354320480</v>
          </cell>
          <cell r="J1490" t="str">
            <v>06354320480</v>
          </cell>
          <cell r="M1490" t="str">
            <v>UFFICIO ACQUISTI</v>
          </cell>
          <cell r="N1490" t="str">
            <v>055 0988068</v>
          </cell>
          <cell r="P1490" t="str">
            <v>info@legnoserviceart.com</v>
          </cell>
          <cell r="R1490" t="str">
            <v>BONIFICO BANCARIO, ALLA DATA DELLA NOSTRA CONFERMA D'ORDINE</v>
          </cell>
          <cell r="X1490">
            <v>0.25</v>
          </cell>
          <cell r="Y1490">
            <v>-0.04</v>
          </cell>
          <cell r="AB1490">
            <v>0.25</v>
          </cell>
          <cell r="AC1490">
            <v>0.25</v>
          </cell>
          <cell r="AD1490">
            <v>0.25</v>
          </cell>
          <cell r="AE1490">
            <v>0.25</v>
          </cell>
          <cell r="AF1490">
            <v>0.25</v>
          </cell>
          <cell r="AG1490">
            <v>0.25</v>
          </cell>
          <cell r="AH1490">
            <v>0.25</v>
          </cell>
          <cell r="AI1490">
            <v>0.25</v>
          </cell>
          <cell r="AJ1490">
            <v>0.25</v>
          </cell>
          <cell r="AK1490">
            <v>0.25</v>
          </cell>
          <cell r="AL1490">
            <v>0.25</v>
          </cell>
          <cell r="AM1490">
            <v>0.25</v>
          </cell>
          <cell r="AN1490">
            <v>0.25</v>
          </cell>
          <cell r="AO1490">
            <v>0.25</v>
          </cell>
          <cell r="AP1490">
            <v>0.25</v>
          </cell>
          <cell r="AQ1490">
            <v>0.25</v>
          </cell>
          <cell r="AR1490">
            <v>0.25</v>
          </cell>
          <cell r="AS1490">
            <v>0.25</v>
          </cell>
          <cell r="AT1490">
            <v>-0.04</v>
          </cell>
          <cell r="AU1490">
            <v>0.92</v>
          </cell>
          <cell r="AV1490">
            <v>20</v>
          </cell>
          <cell r="AY1490" t="str">
            <v/>
          </cell>
          <cell r="AZ1490">
            <v>0.25</v>
          </cell>
          <cell r="BA1490">
            <v>0.25</v>
          </cell>
        </row>
        <row r="1491">
          <cell r="A1491" t="str">
            <v>LEGNOPIU' S.R.L.</v>
          </cell>
          <cell r="D1491" t="str">
            <v>VIA RISORGIMENTO, 4</v>
          </cell>
          <cell r="E1491">
            <v>20017</v>
          </cell>
          <cell r="F1491" t="str">
            <v>MAZZO DI RHO</v>
          </cell>
          <cell r="G1491" t="str">
            <v>MI</v>
          </cell>
          <cell r="H1491" t="str">
            <v>ITALIA</v>
          </cell>
          <cell r="J1491" t="str">
            <v>08482170159</v>
          </cell>
          <cell r="M1491" t="str">
            <v>UFFICIO ACQUISTI</v>
          </cell>
          <cell r="N1491" t="str">
            <v>02 93900932</v>
          </cell>
          <cell r="P1491" t="str">
            <v>info@legnopiu-rho.it</v>
          </cell>
          <cell r="R1491" t="str">
            <v>BONIFICO BANCARIO, ALLA DATA DELLA NOSTRA CONFERMA D'ORDINE</v>
          </cell>
          <cell r="X1491">
            <v>0.2</v>
          </cell>
          <cell r="Y1491">
            <v>-0.04</v>
          </cell>
          <cell r="AB1491">
            <v>0.2</v>
          </cell>
          <cell r="AC1491">
            <v>0.2</v>
          </cell>
          <cell r="AD1491">
            <v>0.2</v>
          </cell>
          <cell r="AE1491">
            <v>0.2</v>
          </cell>
          <cell r="AF1491">
            <v>0.2</v>
          </cell>
          <cell r="AG1491">
            <v>0.2</v>
          </cell>
          <cell r="AH1491">
            <v>0.2</v>
          </cell>
          <cell r="AI1491">
            <v>0.2</v>
          </cell>
          <cell r="AJ1491">
            <v>0.2</v>
          </cell>
          <cell r="AK1491">
            <v>0.2</v>
          </cell>
          <cell r="AL1491">
            <v>0.2</v>
          </cell>
          <cell r="AM1491">
            <v>0.2</v>
          </cell>
          <cell r="AN1491">
            <v>0.2</v>
          </cell>
          <cell r="AO1491">
            <v>0.2</v>
          </cell>
          <cell r="AP1491">
            <v>0.2</v>
          </cell>
          <cell r="AQ1491">
            <v>0.2</v>
          </cell>
          <cell r="AR1491">
            <v>0.2</v>
          </cell>
          <cell r="AS1491">
            <v>0.2</v>
          </cell>
          <cell r="AT1491">
            <v>-0.04</v>
          </cell>
          <cell r="AU1491">
            <v>0.92</v>
          </cell>
          <cell r="AV1491">
            <v>20</v>
          </cell>
          <cell r="AY1491" t="str">
            <v/>
          </cell>
          <cell r="AZ1491">
            <v>0.2</v>
          </cell>
          <cell r="BA1491">
            <v>0.2</v>
          </cell>
        </row>
        <row r="1492">
          <cell r="A1492" t="str">
            <v xml:space="preserve">LEGNOWORK </v>
          </cell>
          <cell r="D1492" t="str">
            <v>VIA CALABRIA, 15</v>
          </cell>
          <cell r="E1492">
            <v>20090</v>
          </cell>
          <cell r="F1492" t="str">
            <v>REDECESIO FRAZ.SEGRATE</v>
          </cell>
          <cell r="G1492" t="str">
            <v>MI</v>
          </cell>
          <cell r="H1492" t="str">
            <v>ITALIA</v>
          </cell>
          <cell r="M1492" t="str">
            <v>UFFICIO ACQUISTI</v>
          </cell>
          <cell r="N1492" t="str">
            <v>02 2137228</v>
          </cell>
          <cell r="P1492" t="str">
            <v>info@legnowork.com</v>
          </cell>
          <cell r="R1492" t="str">
            <v>BONIFICO BANCARIO, ALLA DATA DELLA NOSTRA CONFERMA D'ORDINE</v>
          </cell>
          <cell r="X1492">
            <v>0.25</v>
          </cell>
          <cell r="Y1492">
            <v>-0.04</v>
          </cell>
          <cell r="AB1492">
            <v>0.25</v>
          </cell>
          <cell r="AC1492">
            <v>0.25</v>
          </cell>
          <cell r="AD1492">
            <v>0.25</v>
          </cell>
          <cell r="AE1492">
            <v>0.25</v>
          </cell>
          <cell r="AF1492">
            <v>0.25</v>
          </cell>
          <cell r="AG1492">
            <v>0.25</v>
          </cell>
          <cell r="AH1492">
            <v>0.25</v>
          </cell>
          <cell r="AI1492">
            <v>0.25</v>
          </cell>
          <cell r="AJ1492">
            <v>0.25</v>
          </cell>
          <cell r="AK1492">
            <v>0.25</v>
          </cell>
          <cell r="AL1492">
            <v>0.25</v>
          </cell>
          <cell r="AM1492">
            <v>0.25</v>
          </cell>
          <cell r="AN1492">
            <v>0.25</v>
          </cell>
          <cell r="AO1492">
            <v>0.25</v>
          </cell>
          <cell r="AP1492">
            <v>0.25</v>
          </cell>
          <cell r="AQ1492">
            <v>0.25</v>
          </cell>
          <cell r="AR1492">
            <v>0.25</v>
          </cell>
          <cell r="AS1492">
            <v>0.25</v>
          </cell>
          <cell r="AT1492">
            <v>-0.04</v>
          </cell>
          <cell r="AU1492">
            <v>0.92</v>
          </cell>
          <cell r="AV1492">
            <v>20</v>
          </cell>
          <cell r="AY1492" t="str">
            <v/>
          </cell>
          <cell r="AZ1492">
            <v>0.25</v>
          </cell>
          <cell r="BA1492">
            <v>0.25</v>
          </cell>
        </row>
        <row r="1493">
          <cell r="A1493" t="str">
            <v>LEO INFISSI PORTE E FINESTRE</v>
          </cell>
          <cell r="D1493" t="str">
            <v>VIA G. CARDUCCI, 38</v>
          </cell>
          <cell r="E1493">
            <v>45030</v>
          </cell>
          <cell r="F1493" t="str">
            <v>OCCHIOBELLO</v>
          </cell>
          <cell r="G1493" t="str">
            <v>RO</v>
          </cell>
          <cell r="H1493" t="str">
            <v>ITALIA</v>
          </cell>
          <cell r="M1493" t="str">
            <v>UFFICIO ACQUISTI</v>
          </cell>
          <cell r="O1493" t="str">
            <v>340 2332781</v>
          </cell>
          <cell r="P1493" t="str">
            <v>leoinfissi@virgilio.it</v>
          </cell>
          <cell r="R1493" t="str">
            <v>BONIFICO BANCARIO, ALLA DATA DELLA NOSTRA CONFERMA D'ORDINE</v>
          </cell>
          <cell r="X1493">
            <v>0.25</v>
          </cell>
          <cell r="Y1493">
            <v>-0.04</v>
          </cell>
          <cell r="AB1493">
            <v>0.25</v>
          </cell>
          <cell r="AC1493">
            <v>0.25</v>
          </cell>
          <cell r="AD1493">
            <v>0.25</v>
          </cell>
          <cell r="AE1493">
            <v>0.25</v>
          </cell>
          <cell r="AF1493">
            <v>0.25</v>
          </cell>
          <cell r="AG1493">
            <v>0.25</v>
          </cell>
          <cell r="AH1493">
            <v>0.25</v>
          </cell>
          <cell r="AI1493">
            <v>0.25</v>
          </cell>
          <cell r="AJ1493">
            <v>0.25</v>
          </cell>
          <cell r="AK1493">
            <v>0.25</v>
          </cell>
          <cell r="AL1493">
            <v>0.25</v>
          </cell>
          <cell r="AM1493">
            <v>0.25</v>
          </cell>
          <cell r="AN1493">
            <v>0.25</v>
          </cell>
          <cell r="AO1493">
            <v>0.25</v>
          </cell>
          <cell r="AP1493">
            <v>0.25</v>
          </cell>
          <cell r="AQ1493">
            <v>0.25</v>
          </cell>
          <cell r="AR1493">
            <v>0.25</v>
          </cell>
          <cell r="AS1493">
            <v>0.25</v>
          </cell>
          <cell r="AT1493">
            <v>-0.04</v>
          </cell>
          <cell r="AU1493">
            <v>0.92</v>
          </cell>
          <cell r="AV1493">
            <v>20</v>
          </cell>
          <cell r="AZ1493">
            <v>0.25</v>
          </cell>
          <cell r="BA1493">
            <v>0.25</v>
          </cell>
        </row>
        <row r="1494">
          <cell r="A1494" t="str">
            <v>LEONARDO SERRAMENTI</v>
          </cell>
          <cell r="B1494" t="str">
            <v>MAURO DEI CANCELLI</v>
          </cell>
          <cell r="D1494" t="str">
            <v>VIA VECCHIO DI CUNEO, 85</v>
          </cell>
          <cell r="E1494">
            <v>12011</v>
          </cell>
          <cell r="F1494" t="str">
            <v>BORGO S. DALMAZZO</v>
          </cell>
          <cell r="G1494" t="str">
            <v>CN</v>
          </cell>
          <cell r="H1494" t="str">
            <v>ITALIA</v>
          </cell>
          <cell r="M1494" t="str">
            <v>UFFICIO ACQUISTI</v>
          </cell>
          <cell r="N1494" t="str">
            <v>0171 269064</v>
          </cell>
          <cell r="P1494" t="str">
            <v>info@leonardowood.it</v>
          </cell>
          <cell r="R1494" t="str">
            <v>BONIFICO BANCARIO, ALLA DATA DELLA NOSTRA CONFERMA D'ORDINE</v>
          </cell>
          <cell r="X1494">
            <v>0.25</v>
          </cell>
          <cell r="Y1494">
            <v>-0.04</v>
          </cell>
          <cell r="AB1494">
            <v>0.25</v>
          </cell>
          <cell r="AC1494">
            <v>0.25</v>
          </cell>
          <cell r="AD1494">
            <v>0.25</v>
          </cell>
          <cell r="AE1494">
            <v>0.25</v>
          </cell>
          <cell r="AF1494">
            <v>0.25</v>
          </cell>
          <cell r="AG1494">
            <v>0.25</v>
          </cell>
          <cell r="AH1494">
            <v>0.25</v>
          </cell>
          <cell r="AI1494">
            <v>0.25</v>
          </cell>
          <cell r="AJ1494">
            <v>0.25</v>
          </cell>
          <cell r="AK1494">
            <v>0.25</v>
          </cell>
          <cell r="AL1494">
            <v>0.25</v>
          </cell>
          <cell r="AM1494">
            <v>0.25</v>
          </cell>
          <cell r="AN1494">
            <v>0.25</v>
          </cell>
          <cell r="AO1494">
            <v>0.25</v>
          </cell>
          <cell r="AP1494">
            <v>0.25</v>
          </cell>
          <cell r="AQ1494">
            <v>0.25</v>
          </cell>
          <cell r="AR1494">
            <v>0.25</v>
          </cell>
          <cell r="AS1494">
            <v>0.25</v>
          </cell>
          <cell r="AT1494">
            <v>-0.04</v>
          </cell>
          <cell r="AU1494">
            <v>0.92</v>
          </cell>
          <cell r="AV1494">
            <v>20</v>
          </cell>
          <cell r="AY1494" t="str">
            <v/>
          </cell>
          <cell r="AZ1494">
            <v>0.25</v>
          </cell>
          <cell r="BA1494">
            <v>0.25</v>
          </cell>
        </row>
        <row r="1495">
          <cell r="A1495" t="str">
            <v>LEONE INFISSI DI LEONE MARIO &amp; FIGLI SNC</v>
          </cell>
          <cell r="B1495" t="str">
            <v>ROBERTO LEONE 02/03/23 DICE CHE SIAMO GIA' PASSATI E NON HANNO RICHIESTE. MANDATA COMUNQUE MAIL</v>
          </cell>
          <cell r="D1495" t="str">
            <v>VIA MARE ADRIATICO, 100</v>
          </cell>
          <cell r="E1495" t="str">
            <v>65010</v>
          </cell>
          <cell r="F1495" t="str">
            <v>SPOLTORE</v>
          </cell>
          <cell r="G1495" t="str">
            <v>PE</v>
          </cell>
          <cell r="H1495" t="str">
            <v>ITALIA</v>
          </cell>
          <cell r="J1495" t="str">
            <v>00925370686</v>
          </cell>
          <cell r="M1495" t="str">
            <v>UFFICIO ACQUISTI</v>
          </cell>
          <cell r="N1495" t="str">
            <v>085 4971125</v>
          </cell>
          <cell r="P1495" t="str">
            <v>leoneinfissi@tin.it</v>
          </cell>
          <cell r="R1495" t="str">
            <v>BONIFICO BANCARIO, ALLA DATA DELLA NOSTRA CONFERMA D'ORDINE</v>
          </cell>
          <cell r="X1495">
            <v>0.25</v>
          </cell>
          <cell r="Y1495">
            <v>-0.04</v>
          </cell>
          <cell r="AB1495">
            <v>0.25</v>
          </cell>
          <cell r="AC1495">
            <v>0.25</v>
          </cell>
          <cell r="AD1495">
            <v>0.25</v>
          </cell>
          <cell r="AE1495">
            <v>0.25</v>
          </cell>
          <cell r="AF1495">
            <v>0.25</v>
          </cell>
          <cell r="AG1495">
            <v>0.25</v>
          </cell>
          <cell r="AH1495">
            <v>0.25</v>
          </cell>
          <cell r="AI1495">
            <v>0.25</v>
          </cell>
          <cell r="AJ1495">
            <v>0.25</v>
          </cell>
          <cell r="AK1495">
            <v>0.25</v>
          </cell>
          <cell r="AL1495">
            <v>0.25</v>
          </cell>
          <cell r="AM1495">
            <v>0.25</v>
          </cell>
          <cell r="AN1495">
            <v>0.25</v>
          </cell>
          <cell r="AO1495">
            <v>0.25</v>
          </cell>
          <cell r="AP1495">
            <v>0.25</v>
          </cell>
          <cell r="AQ1495">
            <v>0.25</v>
          </cell>
          <cell r="AR1495">
            <v>0.25</v>
          </cell>
          <cell r="AS1495">
            <v>0.25</v>
          </cell>
          <cell r="AT1495">
            <v>-0.04</v>
          </cell>
          <cell r="AU1495">
            <v>0.92</v>
          </cell>
          <cell r="AV1495">
            <v>20</v>
          </cell>
          <cell r="AY1495" t="str">
            <v/>
          </cell>
          <cell r="AZ1495">
            <v>0.25</v>
          </cell>
          <cell r="BA1495">
            <v>0.25</v>
          </cell>
        </row>
        <row r="1496">
          <cell r="A1496" t="str">
            <v xml:space="preserve">LEONI GIORGIO </v>
          </cell>
          <cell r="D1496" t="str">
            <v>VIA SALVEMINI, 1 BIS</v>
          </cell>
          <cell r="E1496">
            <v>60035</v>
          </cell>
          <cell r="F1496" t="str">
            <v xml:space="preserve">JESI </v>
          </cell>
          <cell r="G1496" t="str">
            <v>AN</v>
          </cell>
          <cell r="H1496" t="str">
            <v>ITALIA</v>
          </cell>
          <cell r="I1496" t="str">
            <v>LNEGRG54D23A769T</v>
          </cell>
          <cell r="J1496" t="str">
            <v>01237980428</v>
          </cell>
          <cell r="M1496" t="str">
            <v>UFFICIO ACQUISTI</v>
          </cell>
          <cell r="N1496" t="str">
            <v>0731 200138</v>
          </cell>
          <cell r="R1496" t="str">
            <v>BONIFICO BANCARIO, ALLA DATA DELLA NOSTRA CONFERMA D'ORDINE</v>
          </cell>
          <cell r="X1496">
            <v>0.25</v>
          </cell>
          <cell r="Y1496">
            <v>-0.04</v>
          </cell>
          <cell r="AB1496">
            <v>0.25</v>
          </cell>
          <cell r="AC1496">
            <v>0.25</v>
          </cell>
          <cell r="AD1496">
            <v>0.25</v>
          </cell>
          <cell r="AE1496">
            <v>0.25</v>
          </cell>
          <cell r="AF1496">
            <v>0.25</v>
          </cell>
          <cell r="AG1496">
            <v>0.25</v>
          </cell>
          <cell r="AH1496">
            <v>0.25</v>
          </cell>
          <cell r="AI1496">
            <v>0.25</v>
          </cell>
          <cell r="AJ1496">
            <v>0.25</v>
          </cell>
          <cell r="AK1496">
            <v>0.25</v>
          </cell>
          <cell r="AL1496">
            <v>0.25</v>
          </cell>
          <cell r="AM1496">
            <v>0.25</v>
          </cell>
          <cell r="AN1496">
            <v>0.25</v>
          </cell>
          <cell r="AO1496">
            <v>0.25</v>
          </cell>
          <cell r="AP1496">
            <v>0.25</v>
          </cell>
          <cell r="AQ1496">
            <v>0.25</v>
          </cell>
          <cell r="AR1496">
            <v>0.25</v>
          </cell>
          <cell r="AS1496">
            <v>0.25</v>
          </cell>
          <cell r="AT1496">
            <v>-0.04</v>
          </cell>
          <cell r="AU1496">
            <v>0.92</v>
          </cell>
          <cell r="AV1496">
            <v>20</v>
          </cell>
          <cell r="AY1496" t="str">
            <v/>
          </cell>
          <cell r="AZ1496">
            <v>0.25</v>
          </cell>
          <cell r="BA1496">
            <v>0.25</v>
          </cell>
        </row>
        <row r="1497">
          <cell r="A1497" t="str">
            <v>LETANICOLA</v>
          </cell>
          <cell r="D1497" t="str">
            <v xml:space="preserve">VIA A.SALUCCI, 15 17 19 </v>
          </cell>
          <cell r="E1497">
            <v>54011</v>
          </cell>
          <cell r="F1497" t="str">
            <v>AULLA</v>
          </cell>
          <cell r="G1497" t="str">
            <v>MS</v>
          </cell>
          <cell r="H1497" t="str">
            <v>ITALIA</v>
          </cell>
          <cell r="M1497" t="str">
            <v>UFFICIO ACQUISTI</v>
          </cell>
          <cell r="N1497" t="str">
            <v>01871824805</v>
          </cell>
          <cell r="O1497" t="str">
            <v>392 8806022</v>
          </cell>
          <cell r="P1497" t="str">
            <v>micheal.leta@letanicola.it</v>
          </cell>
          <cell r="R1497" t="str">
            <v>BONIFICO BANCARIO, ALLA DATA DELLA NOSTRA CONFERMA D'ORDINE</v>
          </cell>
          <cell r="X1497">
            <v>0.2</v>
          </cell>
          <cell r="Y1497">
            <v>-0.04</v>
          </cell>
          <cell r="AB1497">
            <v>0.2</v>
          </cell>
          <cell r="AC1497">
            <v>0.2</v>
          </cell>
          <cell r="AD1497">
            <v>0.2</v>
          </cell>
          <cell r="AE1497">
            <v>0.2</v>
          </cell>
          <cell r="AF1497">
            <v>0.2</v>
          </cell>
          <cell r="AG1497">
            <v>0.2</v>
          </cell>
          <cell r="AH1497">
            <v>0.2</v>
          </cell>
          <cell r="AI1497">
            <v>0.2</v>
          </cell>
          <cell r="AJ1497">
            <v>0.2</v>
          </cell>
          <cell r="AK1497">
            <v>0.2</v>
          </cell>
          <cell r="AL1497">
            <v>0.2</v>
          </cell>
          <cell r="AM1497">
            <v>0.2</v>
          </cell>
          <cell r="AN1497">
            <v>0.2</v>
          </cell>
          <cell r="AO1497">
            <v>0.2</v>
          </cell>
          <cell r="AP1497">
            <v>0.2</v>
          </cell>
          <cell r="AQ1497">
            <v>0.2</v>
          </cell>
          <cell r="AR1497">
            <v>0.2</v>
          </cell>
          <cell r="AS1497">
            <v>0.2</v>
          </cell>
          <cell r="AT1497">
            <v>-0.04</v>
          </cell>
          <cell r="AU1497">
            <v>0.92</v>
          </cell>
          <cell r="AV1497">
            <v>20</v>
          </cell>
          <cell r="AY1497" t="str">
            <v/>
          </cell>
          <cell r="AZ1497">
            <v>0.2</v>
          </cell>
          <cell r="BA1497">
            <v>0.2</v>
          </cell>
        </row>
        <row r="1498">
          <cell r="A1498" t="str">
            <v xml:space="preserve">LEVANTE INFISSI SNC </v>
          </cell>
          <cell r="D1498" t="str">
            <v>VIA UNITA' D'ITALIA, 8</v>
          </cell>
          <cell r="E1498">
            <v>16039</v>
          </cell>
          <cell r="F1498" t="str">
            <v>SESTRI LEVANTE</v>
          </cell>
          <cell r="G1498" t="str">
            <v>GE</v>
          </cell>
          <cell r="H1498" t="str">
            <v>ITALIA</v>
          </cell>
          <cell r="J1498" t="str">
            <v>2375110992</v>
          </cell>
          <cell r="M1498" t="str">
            <v>UFFICIO ACQUISTI</v>
          </cell>
          <cell r="O1498" t="str">
            <v>388 9048661 - 3406735564</v>
          </cell>
          <cell r="P1498" t="str">
            <v xml:space="preserve">levanteinfissisnc@gmail.com </v>
          </cell>
          <cell r="R1498" t="str">
            <v>BONIFICO BANCARIO, ALLA DATA DELLA NOSTRA CONFERMA D'ORDINE</v>
          </cell>
          <cell r="X1498">
            <v>0.2</v>
          </cell>
          <cell r="Y1498">
            <v>-0.04</v>
          </cell>
          <cell r="AB1498">
            <v>0.2</v>
          </cell>
          <cell r="AC1498">
            <v>0.2</v>
          </cell>
          <cell r="AD1498">
            <v>0.2</v>
          </cell>
          <cell r="AE1498">
            <v>0.2</v>
          </cell>
          <cell r="AF1498">
            <v>0.2</v>
          </cell>
          <cell r="AG1498">
            <v>0.2</v>
          </cell>
          <cell r="AH1498">
            <v>0.2</v>
          </cell>
          <cell r="AI1498">
            <v>0.2</v>
          </cell>
          <cell r="AJ1498">
            <v>0.2</v>
          </cell>
          <cell r="AK1498">
            <v>0.2</v>
          </cell>
          <cell r="AL1498">
            <v>0.2</v>
          </cell>
          <cell r="AM1498">
            <v>0.2</v>
          </cell>
          <cell r="AN1498">
            <v>0.2</v>
          </cell>
          <cell r="AO1498">
            <v>0.2</v>
          </cell>
          <cell r="AP1498">
            <v>0.2</v>
          </cell>
          <cell r="AQ1498">
            <v>0.2</v>
          </cell>
          <cell r="AR1498">
            <v>0.2</v>
          </cell>
          <cell r="AS1498">
            <v>0.2</v>
          </cell>
          <cell r="AT1498">
            <v>-0.04</v>
          </cell>
          <cell r="AU1498">
            <v>0.92</v>
          </cell>
          <cell r="AV1498">
            <v>20</v>
          </cell>
          <cell r="AY1498" t="str">
            <v/>
          </cell>
          <cell r="AZ1498">
            <v>0.2</v>
          </cell>
          <cell r="BA1498">
            <v>0.2</v>
          </cell>
        </row>
        <row r="1499">
          <cell r="A1499" t="str">
            <v>LF SERRAMENTI DI LOMBARDI FRANCESCO</v>
          </cell>
          <cell r="B1499" t="str">
            <v xml:space="preserve">INTERESSATO SE LE FA' IN LEGNO </v>
          </cell>
          <cell r="D1499" t="str">
            <v>VIA ANGUISSOLA, 11  13 R</v>
          </cell>
          <cell r="E1499">
            <v>16151</v>
          </cell>
          <cell r="F1499" t="str">
            <v>GENOVA</v>
          </cell>
          <cell r="G1499" t="str">
            <v>GE</v>
          </cell>
          <cell r="H1499" t="str">
            <v>ITALIA</v>
          </cell>
          <cell r="J1499" t="str">
            <v>02048670992</v>
          </cell>
          <cell r="M1499" t="str">
            <v>UFFICIO ACQUISTI</v>
          </cell>
          <cell r="N1499" t="str">
            <v>010 8603733</v>
          </cell>
          <cell r="O1499" t="str">
            <v>392 7823541</v>
          </cell>
          <cell r="R1499" t="str">
            <v>BONIFICO BANCARIO, ALLA DATA DELLA NOSTRA CONFERMA D'ORDINE</v>
          </cell>
          <cell r="X1499">
            <v>0.25</v>
          </cell>
          <cell r="Y1499">
            <v>-0.04</v>
          </cell>
          <cell r="AB1499">
            <v>0.25</v>
          </cell>
          <cell r="AC1499">
            <v>0.25</v>
          </cell>
          <cell r="AD1499">
            <v>0.25</v>
          </cell>
          <cell r="AE1499">
            <v>0.25</v>
          </cell>
          <cell r="AF1499">
            <v>0.25</v>
          </cell>
          <cell r="AG1499">
            <v>0.25</v>
          </cell>
          <cell r="AH1499">
            <v>0.25</v>
          </cell>
          <cell r="AI1499">
            <v>0.25</v>
          </cell>
          <cell r="AJ1499">
            <v>0.25</v>
          </cell>
          <cell r="AK1499">
            <v>0.25</v>
          </cell>
          <cell r="AL1499">
            <v>0.25</v>
          </cell>
          <cell r="AM1499">
            <v>0.25</v>
          </cell>
          <cell r="AN1499">
            <v>0.25</v>
          </cell>
          <cell r="AO1499">
            <v>0.25</v>
          </cell>
          <cell r="AP1499">
            <v>0.25</v>
          </cell>
          <cell r="AQ1499">
            <v>0.25</v>
          </cell>
          <cell r="AR1499">
            <v>0.25</v>
          </cell>
          <cell r="AS1499">
            <v>0.25</v>
          </cell>
          <cell r="AT1499">
            <v>-0.04</v>
          </cell>
          <cell r="AU1499">
            <v>0.92</v>
          </cell>
          <cell r="AV1499">
            <v>20</v>
          </cell>
          <cell r="AY1499" t="str">
            <v/>
          </cell>
          <cell r="AZ1499">
            <v>0.25</v>
          </cell>
          <cell r="BA1499">
            <v>0.25</v>
          </cell>
        </row>
        <row r="1500">
          <cell r="A1500" t="str">
            <v>LG INFISSI DI PERAI LUCA</v>
          </cell>
          <cell r="D1500" t="str">
            <v>VIA MONZA, 23</v>
          </cell>
          <cell r="E1500" t="str">
            <v>53045</v>
          </cell>
          <cell r="F1500" t="str">
            <v>MONTEPULCIANO STAZIONE</v>
          </cell>
          <cell r="G1500" t="str">
            <v>SI</v>
          </cell>
          <cell r="H1500" t="str">
            <v>ITALIA</v>
          </cell>
          <cell r="M1500" t="str">
            <v>UFFICIO ACQUISTI</v>
          </cell>
          <cell r="N1500" t="str">
            <v>0578 737076</v>
          </cell>
          <cell r="O1500" t="str">
            <v>347 3305973</v>
          </cell>
          <cell r="P1500" t="str">
            <v>perai.luca@gmail.com</v>
          </cell>
          <cell r="R1500" t="str">
            <v>BONIFICO BANCARIO, ALLA DATA DELLA NOSTRA CONFERMA D'ORDINE</v>
          </cell>
          <cell r="X1500">
            <v>0.25</v>
          </cell>
          <cell r="Y1500">
            <v>-0.04</v>
          </cell>
          <cell r="AB1500">
            <v>0.25</v>
          </cell>
          <cell r="AC1500">
            <v>0.25</v>
          </cell>
          <cell r="AD1500">
            <v>0.25</v>
          </cell>
          <cell r="AE1500">
            <v>0.25</v>
          </cell>
          <cell r="AF1500">
            <v>0.25</v>
          </cell>
          <cell r="AG1500">
            <v>0.25</v>
          </cell>
          <cell r="AH1500">
            <v>0.25</v>
          </cell>
          <cell r="AI1500">
            <v>0.25</v>
          </cell>
          <cell r="AJ1500">
            <v>0.25</v>
          </cell>
          <cell r="AK1500">
            <v>0.25</v>
          </cell>
          <cell r="AL1500">
            <v>0.25</v>
          </cell>
          <cell r="AM1500">
            <v>0.25</v>
          </cell>
          <cell r="AN1500">
            <v>0.25</v>
          </cell>
          <cell r="AO1500">
            <v>0.25</v>
          </cell>
          <cell r="AP1500">
            <v>0.25</v>
          </cell>
          <cell r="AQ1500">
            <v>0.25</v>
          </cell>
          <cell r="AR1500">
            <v>0.25</v>
          </cell>
          <cell r="AS1500">
            <v>0.25</v>
          </cell>
          <cell r="AT1500">
            <v>-0.04</v>
          </cell>
          <cell r="AU1500">
            <v>0.92</v>
          </cell>
          <cell r="AV1500">
            <v>20</v>
          </cell>
          <cell r="AY1500" t="str">
            <v/>
          </cell>
          <cell r="AZ1500">
            <v>0.25</v>
          </cell>
          <cell r="BA1500">
            <v>0.25</v>
          </cell>
        </row>
        <row r="1501">
          <cell r="A1501" t="str">
            <v>LG SERRAMENTI</v>
          </cell>
          <cell r="D1501" t="str">
            <v>VIA S.GRATO, 1 A</v>
          </cell>
          <cell r="E1501">
            <v>12062</v>
          </cell>
          <cell r="F1501" t="str">
            <v>BRICCO DI CHERASCO</v>
          </cell>
          <cell r="G1501" t="str">
            <v>CN</v>
          </cell>
          <cell r="H1501" t="str">
            <v>ITALIA</v>
          </cell>
          <cell r="M1501" t="str">
            <v>UFFICIO ACQUISTI</v>
          </cell>
          <cell r="O1501" t="str">
            <v>348 3608488</v>
          </cell>
          <cell r="P1501" t="str">
            <v>gianserramenti@libero.it</v>
          </cell>
          <cell r="R1501" t="str">
            <v>BONIFICO BANCARIO, ALLA DATA DELLA NOSTRA CONFERMA D'ORDINE</v>
          </cell>
          <cell r="X1501">
            <v>0.25</v>
          </cell>
          <cell r="Y1501">
            <v>-0.04</v>
          </cell>
          <cell r="AB1501">
            <v>0.25</v>
          </cell>
          <cell r="AC1501">
            <v>0.25</v>
          </cell>
          <cell r="AD1501">
            <v>0.25</v>
          </cell>
          <cell r="AE1501">
            <v>0.25</v>
          </cell>
          <cell r="AF1501">
            <v>0.25</v>
          </cell>
          <cell r="AG1501">
            <v>0.25</v>
          </cell>
          <cell r="AH1501">
            <v>0.25</v>
          </cell>
          <cell r="AI1501">
            <v>0.25</v>
          </cell>
          <cell r="AJ1501">
            <v>0.25</v>
          </cell>
          <cell r="AK1501">
            <v>0.25</v>
          </cell>
          <cell r="AL1501">
            <v>0.25</v>
          </cell>
          <cell r="AM1501">
            <v>0.25</v>
          </cell>
          <cell r="AN1501">
            <v>0.25</v>
          </cell>
          <cell r="AO1501">
            <v>0.25</v>
          </cell>
          <cell r="AP1501">
            <v>0.25</v>
          </cell>
          <cell r="AQ1501">
            <v>0.25</v>
          </cell>
          <cell r="AR1501">
            <v>0.25</v>
          </cell>
          <cell r="AS1501">
            <v>0.25</v>
          </cell>
          <cell r="AT1501">
            <v>-0.04</v>
          </cell>
          <cell r="AU1501">
            <v>0.92</v>
          </cell>
          <cell r="AV1501">
            <v>20</v>
          </cell>
          <cell r="AY1501" t="str">
            <v/>
          </cell>
          <cell r="AZ1501">
            <v>0.25</v>
          </cell>
          <cell r="BA1501">
            <v>0.25</v>
          </cell>
        </row>
        <row r="1502">
          <cell r="A1502" t="str">
            <v>LI CALZI INFISSI SRL</v>
          </cell>
          <cell r="D1502" t="str">
            <v>C.DA ANDOLINA</v>
          </cell>
          <cell r="E1502">
            <v>92024</v>
          </cell>
          <cell r="F1502" t="str">
            <v>CANICATTI</v>
          </cell>
          <cell r="G1502" t="str">
            <v>AG</v>
          </cell>
          <cell r="H1502" t="str">
            <v>ITALIA</v>
          </cell>
          <cell r="M1502" t="str">
            <v>UFFICIO ACQUISTI</v>
          </cell>
          <cell r="N1502" t="str">
            <v>0922 735149</v>
          </cell>
          <cell r="O1502" t="str">
            <v>334 9363633</v>
          </cell>
          <cell r="P1502" t="str">
            <v>salvolicalzi@icloud.com</v>
          </cell>
          <cell r="R1502" t="str">
            <v>BONIFICO BANCARIO, ALLA DATA DELLA NOSTRA CONFERMA D'ORDINE</v>
          </cell>
          <cell r="X1502">
            <v>0.25</v>
          </cell>
          <cell r="Y1502">
            <v>-0.04</v>
          </cell>
          <cell r="AB1502">
            <v>0.25</v>
          </cell>
          <cell r="AC1502">
            <v>0.25</v>
          </cell>
          <cell r="AD1502">
            <v>0.25</v>
          </cell>
          <cell r="AE1502">
            <v>0.25</v>
          </cell>
          <cell r="AF1502">
            <v>0.25</v>
          </cell>
          <cell r="AG1502">
            <v>0.25</v>
          </cell>
          <cell r="AH1502">
            <v>0.25</v>
          </cell>
          <cell r="AI1502">
            <v>0.25</v>
          </cell>
          <cell r="AJ1502">
            <v>0.25</v>
          </cell>
          <cell r="AK1502">
            <v>0.25</v>
          </cell>
          <cell r="AL1502">
            <v>0.25</v>
          </cell>
          <cell r="AM1502">
            <v>0.25</v>
          </cell>
          <cell r="AN1502">
            <v>0.25</v>
          </cell>
          <cell r="AO1502">
            <v>0.25</v>
          </cell>
          <cell r="AP1502">
            <v>0.25</v>
          </cell>
          <cell r="AQ1502">
            <v>0.25</v>
          </cell>
          <cell r="AR1502">
            <v>0.25</v>
          </cell>
          <cell r="AS1502">
            <v>0.25</v>
          </cell>
          <cell r="AT1502">
            <v>-0.04</v>
          </cell>
          <cell r="AU1502">
            <v>0.92</v>
          </cell>
          <cell r="AV1502">
            <v>20</v>
          </cell>
          <cell r="AY1502" t="str">
            <v/>
          </cell>
          <cell r="AZ1502">
            <v>0.25</v>
          </cell>
          <cell r="BA1502">
            <v>0.25</v>
          </cell>
        </row>
        <row r="1503">
          <cell r="A1503" t="str">
            <v>LIAAC SERRAMENTI</v>
          </cell>
          <cell r="D1503" t="str">
            <v>VIA GOFFREDO MALATERRA, 2</v>
          </cell>
          <cell r="E1503">
            <v>88046</v>
          </cell>
          <cell r="F1503" t="str">
            <v>LAMEZIA TERME</v>
          </cell>
          <cell r="G1503" t="str">
            <v>CZ</v>
          </cell>
          <cell r="H1503" t="str">
            <v>ITALIA</v>
          </cell>
          <cell r="I1503" t="str">
            <v>CTTCDL59T26F888V</v>
          </cell>
          <cell r="J1503" t="str">
            <v>01830170799</v>
          </cell>
          <cell r="K1503" t="str">
            <v>W7YVJK9</v>
          </cell>
          <cell r="M1503" t="str">
            <v>UFFICIO ACQUISTI</v>
          </cell>
          <cell r="N1503" t="str">
            <v>0968 442634</v>
          </cell>
          <cell r="O1503" t="str">
            <v>360 854849</v>
          </cell>
          <cell r="P1503" t="str">
            <v>liacdicittadino@gmail.com</v>
          </cell>
          <cell r="R1503" t="str">
            <v>BONIFICO BANCARIO, ALLA DATA DELLA NOSTRA CONFERMA D'ORDINE</v>
          </cell>
          <cell r="X1503">
            <v>0.25</v>
          </cell>
          <cell r="Y1503">
            <v>-0.04</v>
          </cell>
          <cell r="AB1503">
            <v>0.25</v>
          </cell>
          <cell r="AC1503">
            <v>0.25</v>
          </cell>
          <cell r="AD1503">
            <v>0.25</v>
          </cell>
          <cell r="AE1503">
            <v>0.25</v>
          </cell>
          <cell r="AF1503">
            <v>0.25</v>
          </cell>
          <cell r="AG1503">
            <v>0.25</v>
          </cell>
          <cell r="AH1503">
            <v>0.25</v>
          </cell>
          <cell r="AI1503">
            <v>0.25</v>
          </cell>
          <cell r="AJ1503">
            <v>0.25</v>
          </cell>
          <cell r="AK1503">
            <v>0.25</v>
          </cell>
          <cell r="AL1503">
            <v>0.25</v>
          </cell>
          <cell r="AM1503">
            <v>0.25</v>
          </cell>
          <cell r="AN1503">
            <v>0.25</v>
          </cell>
          <cell r="AO1503">
            <v>0.25</v>
          </cell>
          <cell r="AP1503">
            <v>0.25</v>
          </cell>
          <cell r="AQ1503">
            <v>0.25</v>
          </cell>
          <cell r="AR1503">
            <v>0.25</v>
          </cell>
          <cell r="AS1503">
            <v>0.25</v>
          </cell>
          <cell r="AT1503">
            <v>-0.04</v>
          </cell>
          <cell r="AU1503">
            <v>0.92</v>
          </cell>
          <cell r="AV1503">
            <v>20</v>
          </cell>
          <cell r="AW1503" t="str">
            <v>PIETRO OLIVADOTI</v>
          </cell>
          <cell r="AX1503">
            <v>0.95</v>
          </cell>
          <cell r="AY1503" t="str">
            <v/>
          </cell>
          <cell r="AZ1503">
            <v>0.25</v>
          </cell>
          <cell r="BA1503">
            <v>0.25</v>
          </cell>
        </row>
        <row r="1504">
          <cell r="A1504" t="str">
            <v>LIGNOFORM</v>
          </cell>
          <cell r="B1504" t="str">
            <v>SIG.BONOMO</v>
          </cell>
          <cell r="D1504" t="str">
            <v>VIA S.M. DELLE GIUMMARE, 6</v>
          </cell>
          <cell r="E1504">
            <v>91026</v>
          </cell>
          <cell r="F1504" t="str">
            <v>MAZARA DEL VALLO</v>
          </cell>
          <cell r="G1504" t="str">
            <v>TP</v>
          </cell>
          <cell r="H1504" t="str">
            <v>ITALIA</v>
          </cell>
          <cell r="J1504" t="str">
            <v>01632320816</v>
          </cell>
          <cell r="K1504" t="str">
            <v>M5UXCR1</v>
          </cell>
          <cell r="M1504" t="str">
            <v>UFFICIO ACQUISTI</v>
          </cell>
          <cell r="N1504" t="str">
            <v>0923 906041</v>
          </cell>
          <cell r="O1504" t="str">
            <v>335 7497145</v>
          </cell>
          <cell r="P1504" t="str">
            <v>lignoform@libero.it</v>
          </cell>
          <cell r="R1504" t="str">
            <v>BONIFICO BANCARIO, ALLA DATA DELLA NOSTRA CONFERMA D'ORDINE</v>
          </cell>
          <cell r="X1504">
            <v>0.25</v>
          </cell>
          <cell r="Y1504">
            <v>-0.04</v>
          </cell>
          <cell r="AB1504">
            <v>0.25</v>
          </cell>
          <cell r="AC1504">
            <v>0.25</v>
          </cell>
          <cell r="AD1504">
            <v>0.25</v>
          </cell>
          <cell r="AE1504">
            <v>0.25</v>
          </cell>
          <cell r="AF1504">
            <v>0.25</v>
          </cell>
          <cell r="AG1504">
            <v>0.25</v>
          </cell>
          <cell r="AH1504">
            <v>0.25</v>
          </cell>
          <cell r="AI1504">
            <v>0.25</v>
          </cell>
          <cell r="AJ1504">
            <v>0.25</v>
          </cell>
          <cell r="AK1504">
            <v>0.25</v>
          </cell>
          <cell r="AL1504">
            <v>0.25</v>
          </cell>
          <cell r="AM1504">
            <v>0.25</v>
          </cell>
          <cell r="AN1504">
            <v>0.25</v>
          </cell>
          <cell r="AO1504">
            <v>0.25</v>
          </cell>
          <cell r="AP1504">
            <v>0.25</v>
          </cell>
          <cell r="AQ1504">
            <v>0.25</v>
          </cell>
          <cell r="AR1504">
            <v>0.25</v>
          </cell>
          <cell r="AS1504">
            <v>0.25</v>
          </cell>
          <cell r="AT1504">
            <v>-0.04</v>
          </cell>
          <cell r="AU1504">
            <v>0.92</v>
          </cell>
          <cell r="AV1504">
            <v>20</v>
          </cell>
          <cell r="AY1504" t="str">
            <v/>
          </cell>
          <cell r="AZ1504">
            <v>0.25</v>
          </cell>
          <cell r="BA1504">
            <v>0.25</v>
          </cell>
        </row>
        <row r="1505">
          <cell r="A1505" t="str">
            <v>LIGURE INFISSI s.r.l.</v>
          </cell>
          <cell r="D1505" t="str">
            <v>VIA REGIONE POCA, 21</v>
          </cell>
          <cell r="E1505">
            <v>17031</v>
          </cell>
          <cell r="F1505" t="str">
            <v xml:space="preserve">ALBENGA </v>
          </cell>
          <cell r="G1505" t="str">
            <v>SV</v>
          </cell>
          <cell r="H1505" t="str">
            <v>ITALIA</v>
          </cell>
          <cell r="M1505" t="str">
            <v>UFFICIO ACQUISTI</v>
          </cell>
          <cell r="N1505" t="str">
            <v>0182 541096</v>
          </cell>
          <cell r="O1505" t="str">
            <v>335 5649056</v>
          </cell>
          <cell r="P1505" t="str">
            <v>ligureinfissi@gmail.com</v>
          </cell>
          <cell r="R1505" t="str">
            <v>BONIFICO BANCARIO, ALLA DATA DELLA NOSTRA CONFERMA D'ORDINE</v>
          </cell>
          <cell r="X1505">
            <v>0.2</v>
          </cell>
          <cell r="Y1505">
            <v>-0.04</v>
          </cell>
          <cell r="AB1505">
            <v>0.2</v>
          </cell>
          <cell r="AC1505">
            <v>0.2</v>
          </cell>
          <cell r="AD1505">
            <v>0.2</v>
          </cell>
          <cell r="AE1505">
            <v>0.2</v>
          </cell>
          <cell r="AF1505">
            <v>0.2</v>
          </cell>
          <cell r="AG1505">
            <v>0.2</v>
          </cell>
          <cell r="AH1505">
            <v>0.2</v>
          </cell>
          <cell r="AI1505">
            <v>0.2</v>
          </cell>
          <cell r="AJ1505">
            <v>0.2</v>
          </cell>
          <cell r="AK1505">
            <v>0.2</v>
          </cell>
          <cell r="AL1505">
            <v>0.2</v>
          </cell>
          <cell r="AM1505">
            <v>0.2</v>
          </cell>
          <cell r="AN1505">
            <v>0.2</v>
          </cell>
          <cell r="AO1505">
            <v>0.2</v>
          </cell>
          <cell r="AP1505">
            <v>0.2</v>
          </cell>
          <cell r="AQ1505">
            <v>0.2</v>
          </cell>
          <cell r="AR1505">
            <v>0.2</v>
          </cell>
          <cell r="AS1505">
            <v>0.2</v>
          </cell>
          <cell r="AT1505">
            <v>-0.04</v>
          </cell>
          <cell r="AU1505">
            <v>0.92</v>
          </cell>
          <cell r="AV1505">
            <v>20</v>
          </cell>
          <cell r="AY1505" t="str">
            <v/>
          </cell>
          <cell r="AZ1505">
            <v>0.2</v>
          </cell>
          <cell r="BA1505">
            <v>0.2</v>
          </cell>
        </row>
        <row r="1506">
          <cell r="A1506" t="str">
            <v>LIGURE SERRAMENTI SRL</v>
          </cell>
          <cell r="D1506" t="str">
            <v>VIA CAMILLO OLIVETTI, 41</v>
          </cell>
          <cell r="E1506">
            <v>17052</v>
          </cell>
          <cell r="F1506" t="str">
            <v>BORGHETTO SANTO SPIRITO</v>
          </cell>
          <cell r="G1506" t="str">
            <v>SV</v>
          </cell>
          <cell r="H1506" t="str">
            <v>ITALIA</v>
          </cell>
          <cell r="J1506" t="str">
            <v>01127560090</v>
          </cell>
          <cell r="K1506" t="str">
            <v>W7YVJK9</v>
          </cell>
          <cell r="M1506" t="str">
            <v>UFFICIO ACQUISTI</v>
          </cell>
          <cell r="N1506" t="str">
            <v>0182 941257</v>
          </cell>
          <cell r="P1506" t="str">
            <v>info@ligureserramenti.it</v>
          </cell>
          <cell r="R1506" t="str">
            <v>BONIFICO BANCARIO, ALLA DATA DELLA NOSTRA CONFERMA D'ORDINE</v>
          </cell>
          <cell r="X1506">
            <v>0.2</v>
          </cell>
          <cell r="Y1506">
            <v>-0.04</v>
          </cell>
          <cell r="AB1506">
            <v>0.2</v>
          </cell>
          <cell r="AC1506">
            <v>0.2</v>
          </cell>
          <cell r="AD1506">
            <v>0.2</v>
          </cell>
          <cell r="AE1506">
            <v>0.2</v>
          </cell>
          <cell r="AF1506">
            <v>0.2</v>
          </cell>
          <cell r="AG1506">
            <v>0.2</v>
          </cell>
          <cell r="AH1506">
            <v>0.2</v>
          </cell>
          <cell r="AI1506">
            <v>0.2</v>
          </cell>
          <cell r="AJ1506">
            <v>0.2</v>
          </cell>
          <cell r="AK1506">
            <v>0.2</v>
          </cell>
          <cell r="AL1506">
            <v>0.2</v>
          </cell>
          <cell r="AM1506">
            <v>0.2</v>
          </cell>
          <cell r="AN1506">
            <v>0.2</v>
          </cell>
          <cell r="AO1506">
            <v>0.2</v>
          </cell>
          <cell r="AP1506">
            <v>0.2</v>
          </cell>
          <cell r="AQ1506">
            <v>0.2</v>
          </cell>
          <cell r="AR1506">
            <v>0.2</v>
          </cell>
          <cell r="AS1506">
            <v>0.2</v>
          </cell>
          <cell r="AT1506">
            <v>-0.04</v>
          </cell>
          <cell r="AU1506">
            <v>0.92</v>
          </cell>
          <cell r="AV1506">
            <v>20</v>
          </cell>
          <cell r="AY1506" t="str">
            <v/>
          </cell>
          <cell r="AZ1506">
            <v>0.2</v>
          </cell>
          <cell r="BA1506">
            <v>0.2</v>
          </cell>
          <cell r="BF1506" t="str">
            <v>CLICK RAPID con carpenteria 17/11/2020</v>
          </cell>
        </row>
        <row r="1507">
          <cell r="A1507" t="str">
            <v>LIM SRL</v>
          </cell>
          <cell r="D1507" t="str">
            <v>VIA F.LLI CERVI 5</v>
          </cell>
          <cell r="E1507" t="str">
            <v>40054</v>
          </cell>
          <cell r="F1507" t="str">
            <v>BUDRIO</v>
          </cell>
          <cell r="G1507" t="str">
            <v>BO</v>
          </cell>
          <cell r="H1507" t="str">
            <v>ITALIA</v>
          </cell>
          <cell r="J1507" t="str">
            <v>03092771207</v>
          </cell>
          <cell r="M1507" t="str">
            <v>UFFICIO ACQUISTI</v>
          </cell>
          <cell r="N1507" t="str">
            <v>051 6920232</v>
          </cell>
          <cell r="R1507" t="str">
            <v>BONIFICO BANCARIO, ALLA DATA DELLA NOSTRA CONFERMA D'ORDINE</v>
          </cell>
          <cell r="X1507">
            <v>0.2</v>
          </cell>
          <cell r="Y1507">
            <v>-0.04</v>
          </cell>
          <cell r="AB1507">
            <v>0.2</v>
          </cell>
          <cell r="AC1507">
            <v>0.2</v>
          </cell>
          <cell r="AD1507">
            <v>0.2</v>
          </cell>
          <cell r="AE1507">
            <v>0.2</v>
          </cell>
          <cell r="AF1507">
            <v>0.2</v>
          </cell>
          <cell r="AG1507">
            <v>0.2</v>
          </cell>
          <cell r="AH1507">
            <v>0.2</v>
          </cell>
          <cell r="AI1507">
            <v>0.2</v>
          </cell>
          <cell r="AJ1507">
            <v>0.2</v>
          </cell>
          <cell r="AK1507">
            <v>0.2</v>
          </cell>
          <cell r="AL1507">
            <v>0.2</v>
          </cell>
          <cell r="AM1507">
            <v>0.2</v>
          </cell>
          <cell r="AN1507">
            <v>0.2</v>
          </cell>
          <cell r="AO1507">
            <v>0.2</v>
          </cell>
          <cell r="AP1507">
            <v>0.2</v>
          </cell>
          <cell r="AQ1507">
            <v>0.2</v>
          </cell>
          <cell r="AR1507">
            <v>0.2</v>
          </cell>
          <cell r="AS1507">
            <v>0.2</v>
          </cell>
          <cell r="AT1507">
            <v>-0.04</v>
          </cell>
          <cell r="AU1507">
            <v>0.92</v>
          </cell>
          <cell r="AV1507">
            <v>20</v>
          </cell>
          <cell r="AY1507" t="str">
            <v/>
          </cell>
          <cell r="AZ1507">
            <v>0.2</v>
          </cell>
          <cell r="BA1507">
            <v>0.2</v>
          </cell>
        </row>
        <row r="1508">
          <cell r="A1508" t="str">
            <v xml:space="preserve">LINEA INFISSI </v>
          </cell>
          <cell r="B1508" t="str">
            <v>CANTONI GIANNI TITOLARE, NO SCONTI</v>
          </cell>
          <cell r="D1508" t="str">
            <v>VIA ATENE SNC</v>
          </cell>
          <cell r="E1508" t="str">
            <v>76011</v>
          </cell>
          <cell r="F1508" t="str">
            <v xml:space="preserve">BISCEGLIE </v>
          </cell>
          <cell r="G1508" t="str">
            <v>BT</v>
          </cell>
          <cell r="H1508" t="str">
            <v>ITALIA</v>
          </cell>
          <cell r="J1508" t="str">
            <v>04890610720</v>
          </cell>
          <cell r="M1508" t="str">
            <v>UFFICIO ACQUISTI</v>
          </cell>
          <cell r="N1508" t="str">
            <v>080 3958306</v>
          </cell>
          <cell r="O1508" t="str">
            <v>338 2200666</v>
          </cell>
          <cell r="P1508" t="str">
            <v>lineainfissisnc1996@libero.it</v>
          </cell>
          <cell r="R1508" t="str">
            <v>BONIFICO BANCARIO, ALLA DATA DELLA NOSTRA CONFERMA D'ORDINE</v>
          </cell>
          <cell r="X1508">
            <v>0.2</v>
          </cell>
          <cell r="Y1508">
            <v>-0.04</v>
          </cell>
          <cell r="AB1508">
            <v>0.2</v>
          </cell>
          <cell r="AC1508">
            <v>0.2</v>
          </cell>
          <cell r="AD1508">
            <v>0.2</v>
          </cell>
          <cell r="AE1508">
            <v>0.2</v>
          </cell>
          <cell r="AF1508">
            <v>0.2</v>
          </cell>
          <cell r="AG1508">
            <v>0.2</v>
          </cell>
          <cell r="AH1508">
            <v>0.2</v>
          </cell>
          <cell r="AI1508">
            <v>0.2</v>
          </cell>
          <cell r="AJ1508">
            <v>0.2</v>
          </cell>
          <cell r="AK1508">
            <v>0.2</v>
          </cell>
          <cell r="AL1508">
            <v>0.2</v>
          </cell>
          <cell r="AM1508">
            <v>0.2</v>
          </cell>
          <cell r="AN1508">
            <v>0.2</v>
          </cell>
          <cell r="AO1508">
            <v>0.2</v>
          </cell>
          <cell r="AP1508">
            <v>0.2</v>
          </cell>
          <cell r="AQ1508">
            <v>0.2</v>
          </cell>
          <cell r="AR1508">
            <v>0.2</v>
          </cell>
          <cell r="AS1508">
            <v>0.2</v>
          </cell>
          <cell r="AT1508">
            <v>-0.04</v>
          </cell>
          <cell r="AU1508">
            <v>0.92</v>
          </cell>
          <cell r="AV1508">
            <v>20</v>
          </cell>
          <cell r="AY1508" t="str">
            <v/>
          </cell>
          <cell r="AZ1508">
            <v>0.2</v>
          </cell>
          <cell r="BA1508">
            <v>0.2</v>
          </cell>
        </row>
        <row r="1509">
          <cell r="A1509" t="str">
            <v>LINEA LEGNO DI SAMORI' DEVIS E C. S.A.S.</v>
          </cell>
          <cell r="D1509" t="str">
            <v>VIA MARZARI, 25</v>
          </cell>
          <cell r="E1509" t="str">
            <v>40026</v>
          </cell>
          <cell r="F1509" t="str">
            <v>IMOLA</v>
          </cell>
          <cell r="G1509" t="str">
            <v>BO</v>
          </cell>
          <cell r="H1509" t="str">
            <v>ITALIA</v>
          </cell>
          <cell r="I1509" t="str">
            <v>02268740376</v>
          </cell>
          <cell r="J1509" t="str">
            <v>00565661204</v>
          </cell>
          <cell r="M1509" t="str">
            <v>UFFICIO ACQUISTI</v>
          </cell>
          <cell r="N1509" t="str">
            <v>0542 692874</v>
          </cell>
          <cell r="O1509" t="str">
            <v>339 3597128</v>
          </cell>
          <cell r="P1509" t="str">
            <v>info@linealegnoimola.it</v>
          </cell>
          <cell r="R1509" t="str">
            <v>BONIFICO BANCARIO, ALLA DATA DELLA NOSTRA CONFERMA D'ORDINE</v>
          </cell>
          <cell r="X1509">
            <v>0.2</v>
          </cell>
          <cell r="Y1509">
            <v>-0.04</v>
          </cell>
          <cell r="AB1509">
            <v>0.2</v>
          </cell>
          <cell r="AC1509">
            <v>0.2</v>
          </cell>
          <cell r="AD1509">
            <v>0.2</v>
          </cell>
          <cell r="AE1509">
            <v>0.2</v>
          </cell>
          <cell r="AF1509">
            <v>0.2</v>
          </cell>
          <cell r="AG1509">
            <v>0.2</v>
          </cell>
          <cell r="AH1509">
            <v>0.2</v>
          </cell>
          <cell r="AI1509">
            <v>0.2</v>
          </cell>
          <cell r="AJ1509">
            <v>0.2</v>
          </cell>
          <cell r="AK1509">
            <v>0.2</v>
          </cell>
          <cell r="AL1509">
            <v>0.2</v>
          </cell>
          <cell r="AM1509">
            <v>0.2</v>
          </cell>
          <cell r="AN1509">
            <v>0.2</v>
          </cell>
          <cell r="AO1509">
            <v>0.2</v>
          </cell>
          <cell r="AP1509">
            <v>0.2</v>
          </cell>
          <cell r="AQ1509">
            <v>0.2</v>
          </cell>
          <cell r="AR1509">
            <v>0.2</v>
          </cell>
          <cell r="AS1509">
            <v>0.2</v>
          </cell>
          <cell r="AT1509">
            <v>-0.04</v>
          </cell>
          <cell r="AU1509">
            <v>0.92</v>
          </cell>
          <cell r="AV1509">
            <v>20</v>
          </cell>
          <cell r="AZ1509">
            <v>0.2</v>
          </cell>
          <cell r="BA1509">
            <v>0.2</v>
          </cell>
        </row>
        <row r="1510">
          <cell r="A1510" t="str">
            <v>LINEA SERRAMENTI</v>
          </cell>
          <cell r="B1510" t="str">
            <v>INTERESSANTE RICHIAMARE</v>
          </cell>
          <cell r="D1510" t="str">
            <v>VIA VEZIO BERTONI, 22</v>
          </cell>
          <cell r="E1510">
            <v>44034</v>
          </cell>
          <cell r="F1510" t="str">
            <v>COPPARO</v>
          </cell>
          <cell r="G1510" t="str">
            <v>FE</v>
          </cell>
          <cell r="H1510" t="str">
            <v>ITALIA</v>
          </cell>
          <cell r="M1510" t="str">
            <v>UFFICIO ACQUISTI</v>
          </cell>
          <cell r="N1510" t="str">
            <v>0532 870632</v>
          </cell>
          <cell r="O1510" t="str">
            <v>329 6874562</v>
          </cell>
          <cell r="P1510" t="str">
            <v>info@lineaserramenti.it</v>
          </cell>
          <cell r="R1510" t="str">
            <v>BONIFICO BANCARIO, ALLA DATA DELLA NOSTRA CONFERMA D'ORDINE</v>
          </cell>
          <cell r="X1510">
            <v>0.2</v>
          </cell>
          <cell r="Y1510">
            <v>-0.04</v>
          </cell>
          <cell r="AB1510">
            <v>0.2</v>
          </cell>
          <cell r="AC1510">
            <v>0.2</v>
          </cell>
          <cell r="AD1510">
            <v>0.2</v>
          </cell>
          <cell r="AE1510">
            <v>0.2</v>
          </cell>
          <cell r="AF1510">
            <v>0.2</v>
          </cell>
          <cell r="AG1510">
            <v>0.2</v>
          </cell>
          <cell r="AH1510">
            <v>0.2</v>
          </cell>
          <cell r="AI1510">
            <v>0.2</v>
          </cell>
          <cell r="AJ1510">
            <v>0.2</v>
          </cell>
          <cell r="AK1510">
            <v>0.2</v>
          </cell>
          <cell r="AL1510">
            <v>0.2</v>
          </cell>
          <cell r="AM1510">
            <v>0.2</v>
          </cell>
          <cell r="AN1510">
            <v>0.2</v>
          </cell>
          <cell r="AO1510">
            <v>0.2</v>
          </cell>
          <cell r="AP1510">
            <v>0.2</v>
          </cell>
          <cell r="AQ1510">
            <v>0.2</v>
          </cell>
          <cell r="AR1510">
            <v>0.2</v>
          </cell>
          <cell r="AS1510">
            <v>0.2</v>
          </cell>
          <cell r="AT1510">
            <v>-0.04</v>
          </cell>
          <cell r="AU1510">
            <v>0.92</v>
          </cell>
          <cell r="AV1510">
            <v>20</v>
          </cell>
          <cell r="AY1510" t="str">
            <v/>
          </cell>
          <cell r="AZ1510">
            <v>0.2</v>
          </cell>
          <cell r="BA1510">
            <v>0.2</v>
          </cell>
        </row>
        <row r="1511">
          <cell r="A1511" t="str">
            <v>LINEAL DUE SNC</v>
          </cell>
          <cell r="D1511" t="str">
            <v>VIA LIBECCIO 55</v>
          </cell>
          <cell r="E1511" t="str">
            <v>55049</v>
          </cell>
          <cell r="F1511" t="str">
            <v>VIAREGGIO</v>
          </cell>
          <cell r="G1511" t="str">
            <v>LU</v>
          </cell>
          <cell r="H1511" t="str">
            <v>ITALIA</v>
          </cell>
          <cell r="J1511" t="str">
            <v>01532270467</v>
          </cell>
          <cell r="M1511" t="str">
            <v>UFFICIO ACQUISTI</v>
          </cell>
          <cell r="N1511" t="str">
            <v>0584 396545</v>
          </cell>
          <cell r="P1511" t="str">
            <v>info@linealdue.com</v>
          </cell>
          <cell r="R1511" t="str">
            <v>BONIFICO BANCARIO, ALLA DATA DELLA NOSTRA CONFERMA D'ORDINE</v>
          </cell>
          <cell r="X1511">
            <v>0.2</v>
          </cell>
          <cell r="Y1511">
            <v>-0.04</v>
          </cell>
          <cell r="AB1511">
            <v>0.2</v>
          </cell>
          <cell r="AC1511">
            <v>0.2</v>
          </cell>
          <cell r="AD1511">
            <v>0.2</v>
          </cell>
          <cell r="AE1511">
            <v>0.2</v>
          </cell>
          <cell r="AF1511">
            <v>0.2</v>
          </cell>
          <cell r="AG1511">
            <v>0.2</v>
          </cell>
          <cell r="AH1511">
            <v>0.2</v>
          </cell>
          <cell r="AI1511">
            <v>0.2</v>
          </cell>
          <cell r="AJ1511">
            <v>0.2</v>
          </cell>
          <cell r="AK1511">
            <v>0.2</v>
          </cell>
          <cell r="AL1511">
            <v>0.2</v>
          </cell>
          <cell r="AM1511">
            <v>0.2</v>
          </cell>
          <cell r="AN1511">
            <v>0.2</v>
          </cell>
          <cell r="AO1511">
            <v>0.2</v>
          </cell>
          <cell r="AP1511">
            <v>0.2</v>
          </cell>
          <cell r="AQ1511">
            <v>0.2</v>
          </cell>
          <cell r="AR1511">
            <v>0.2</v>
          </cell>
          <cell r="AS1511">
            <v>0.2</v>
          </cell>
          <cell r="AT1511">
            <v>-0.04</v>
          </cell>
          <cell r="AU1511">
            <v>0.92</v>
          </cell>
          <cell r="AV1511">
            <v>20</v>
          </cell>
          <cell r="AY1511" t="str">
            <v/>
          </cell>
          <cell r="AZ1511">
            <v>0.2</v>
          </cell>
          <cell r="BA1511">
            <v>0.2</v>
          </cell>
        </row>
        <row r="1512">
          <cell r="A1512" t="str">
            <v>L'INFISSO DEI F.LLI CAROLI-SNC</v>
          </cell>
          <cell r="D1512" t="str">
            <v>VIA CONCHIA, 23 A</v>
          </cell>
          <cell r="E1512">
            <v>70043</v>
          </cell>
          <cell r="F1512" t="str">
            <v>MONOPOLI</v>
          </cell>
          <cell r="G1512" t="str">
            <v>BA</v>
          </cell>
          <cell r="H1512" t="str">
            <v>ITALIA</v>
          </cell>
          <cell r="J1512" t="str">
            <v>06210600729</v>
          </cell>
          <cell r="M1512" t="str">
            <v>UFFICIO ACQUISTI</v>
          </cell>
          <cell r="N1512" t="str">
            <v>080 777109</v>
          </cell>
          <cell r="R1512" t="str">
            <v>BONIFICO BANCARIO, ALLA DATA DELLA NOSTRA CONFERMA D'ORDINE</v>
          </cell>
          <cell r="X1512">
            <v>0.25</v>
          </cell>
          <cell r="Y1512">
            <v>-0.04</v>
          </cell>
          <cell r="AB1512">
            <v>0.25</v>
          </cell>
          <cell r="AC1512">
            <v>0.25</v>
          </cell>
          <cell r="AD1512">
            <v>0.25</v>
          </cell>
          <cell r="AE1512">
            <v>0.25</v>
          </cell>
          <cell r="AF1512">
            <v>0.25</v>
          </cell>
          <cell r="AG1512">
            <v>0.25</v>
          </cell>
          <cell r="AH1512">
            <v>0.25</v>
          </cell>
          <cell r="AI1512">
            <v>0.25</v>
          </cell>
          <cell r="AJ1512">
            <v>0.25</v>
          </cell>
          <cell r="AK1512">
            <v>0.25</v>
          </cell>
          <cell r="AL1512">
            <v>0.25</v>
          </cell>
          <cell r="AM1512">
            <v>0.25</v>
          </cell>
          <cell r="AN1512">
            <v>0.25</v>
          </cell>
          <cell r="AO1512">
            <v>0.25</v>
          </cell>
          <cell r="AP1512">
            <v>0.25</v>
          </cell>
          <cell r="AQ1512">
            <v>0.25</v>
          </cell>
          <cell r="AR1512">
            <v>0.25</v>
          </cell>
          <cell r="AS1512">
            <v>0.25</v>
          </cell>
          <cell r="AT1512">
            <v>-0.04</v>
          </cell>
          <cell r="AU1512">
            <v>0.92</v>
          </cell>
          <cell r="AV1512">
            <v>20</v>
          </cell>
          <cell r="AY1512" t="str">
            <v/>
          </cell>
          <cell r="AZ1512">
            <v>0.25</v>
          </cell>
          <cell r="BA1512">
            <v>0.25</v>
          </cell>
        </row>
        <row r="1513">
          <cell r="A1513" t="str">
            <v>L'INFISSO SRL</v>
          </cell>
          <cell r="D1513" t="str">
            <v>VIA DORSALE 13</v>
          </cell>
          <cell r="E1513" t="str">
            <v>54100</v>
          </cell>
          <cell r="F1513" t="str">
            <v>MASSA</v>
          </cell>
          <cell r="G1513" t="str">
            <v>MS</v>
          </cell>
          <cell r="H1513" t="str">
            <v>ITALIA</v>
          </cell>
          <cell r="J1513" t="str">
            <v>01103980452</v>
          </cell>
          <cell r="M1513" t="str">
            <v>UFFICIO ACQUISTI</v>
          </cell>
          <cell r="N1513" t="str">
            <v>0585 793844</v>
          </cell>
          <cell r="P1513" t="str">
            <v>linfissomassa@gmail.com</v>
          </cell>
          <cell r="R1513" t="str">
            <v>BONIFICO BANCARIO, ALLA DATA DELLA NOSTRA CONFERMA D'ORDINE</v>
          </cell>
          <cell r="X1513">
            <v>0.2</v>
          </cell>
          <cell r="Y1513">
            <v>-0.04</v>
          </cell>
          <cell r="AB1513">
            <v>0.2</v>
          </cell>
          <cell r="AC1513">
            <v>0.2</v>
          </cell>
          <cell r="AD1513">
            <v>0.2</v>
          </cell>
          <cell r="AE1513">
            <v>0.2</v>
          </cell>
          <cell r="AF1513">
            <v>0.2</v>
          </cell>
          <cell r="AG1513">
            <v>0.2</v>
          </cell>
          <cell r="AH1513">
            <v>0.2</v>
          </cell>
          <cell r="AI1513">
            <v>0.2</v>
          </cell>
          <cell r="AJ1513">
            <v>0.2</v>
          </cell>
          <cell r="AK1513">
            <v>0.2</v>
          </cell>
          <cell r="AL1513">
            <v>0.2</v>
          </cell>
          <cell r="AM1513">
            <v>0.2</v>
          </cell>
          <cell r="AN1513">
            <v>0.2</v>
          </cell>
          <cell r="AO1513">
            <v>0.2</v>
          </cell>
          <cell r="AP1513">
            <v>0.2</v>
          </cell>
          <cell r="AQ1513">
            <v>0.2</v>
          </cell>
          <cell r="AR1513">
            <v>0.2</v>
          </cell>
          <cell r="AS1513">
            <v>0.2</v>
          </cell>
          <cell r="AT1513">
            <v>-0.04</v>
          </cell>
          <cell r="AU1513">
            <v>0.92</v>
          </cell>
          <cell r="AV1513">
            <v>20</v>
          </cell>
          <cell r="AY1513" t="str">
            <v/>
          </cell>
          <cell r="AZ1513">
            <v>0.2</v>
          </cell>
          <cell r="BA1513">
            <v>0.2</v>
          </cell>
        </row>
        <row r="1514">
          <cell r="A1514" t="str">
            <v xml:space="preserve">LIPERA LE PORTE </v>
          </cell>
          <cell r="D1514" t="str">
            <v>VIA TORRICELLI, 14</v>
          </cell>
          <cell r="E1514" t="str">
            <v>20019</v>
          </cell>
          <cell r="F1514" t="str">
            <v>SETTIMO MILANESE</v>
          </cell>
          <cell r="G1514" t="str">
            <v>MI</v>
          </cell>
          <cell r="H1514" t="str">
            <v>ITALIA</v>
          </cell>
          <cell r="M1514" t="str">
            <v>UFFICIO ACQUISTI</v>
          </cell>
          <cell r="N1514" t="str">
            <v>02 48915603</v>
          </cell>
          <cell r="P1514" t="str">
            <v>info@liperaleporte.i - antonella@liperaleporte.it</v>
          </cell>
          <cell r="R1514" t="str">
            <v>BONIFICO BANCARIO, ALLA DATA DELLA NOSTRA CONFERMA D'ORDINE</v>
          </cell>
          <cell r="X1514">
            <v>0.2</v>
          </cell>
          <cell r="Y1514">
            <v>-0.04</v>
          </cell>
          <cell r="AB1514">
            <v>0.2</v>
          </cell>
          <cell r="AC1514">
            <v>0.2</v>
          </cell>
          <cell r="AD1514">
            <v>0.2</v>
          </cell>
          <cell r="AE1514">
            <v>0.2</v>
          </cell>
          <cell r="AF1514">
            <v>0.2</v>
          </cell>
          <cell r="AG1514">
            <v>0.2</v>
          </cell>
          <cell r="AH1514">
            <v>0.2</v>
          </cell>
          <cell r="AI1514">
            <v>0.2</v>
          </cell>
          <cell r="AJ1514">
            <v>0.2</v>
          </cell>
          <cell r="AK1514">
            <v>0.2</v>
          </cell>
          <cell r="AL1514">
            <v>0.2</v>
          </cell>
          <cell r="AM1514">
            <v>0.2</v>
          </cell>
          <cell r="AN1514">
            <v>0.2</v>
          </cell>
          <cell r="AO1514">
            <v>0.2</v>
          </cell>
          <cell r="AP1514">
            <v>0.2</v>
          </cell>
          <cell r="AQ1514">
            <v>0.2</v>
          </cell>
          <cell r="AR1514">
            <v>0.2</v>
          </cell>
          <cell r="AS1514">
            <v>0.2</v>
          </cell>
          <cell r="AT1514">
            <v>-0.04</v>
          </cell>
          <cell r="AU1514">
            <v>0.92</v>
          </cell>
          <cell r="AV1514">
            <v>20</v>
          </cell>
          <cell r="AY1514" t="str">
            <v/>
          </cell>
          <cell r="AZ1514">
            <v>0.2</v>
          </cell>
          <cell r="BA1514">
            <v>0.2</v>
          </cell>
        </row>
        <row r="1515">
          <cell r="A1515" t="str">
            <v>LIVORNO INFISSI E TENDE SNC DI NORFINI E FORMIGLI E C.</v>
          </cell>
          <cell r="B1515" t="str">
            <v>05/12 LEGATO AD ACQUASTOP ER LA CAUSA. LE MAIL NON ESISTONO PERCHE' NEL CAUTELARE DI ACQUASTOP FECE LA SPIA RIVELANDO NOSTRE COSE! MARCO DICE CHE CI POTREBBE PASSARE PER CAPIRE MEGLIO. TOGLIERE MAIL</v>
          </cell>
          <cell r="D1515" t="str">
            <v>SCALI CERERE, 1</v>
          </cell>
          <cell r="E1515">
            <v>57122</v>
          </cell>
          <cell r="F1515" t="str">
            <v>LIVORNO</v>
          </cell>
          <cell r="G1515" t="str">
            <v>LI</v>
          </cell>
          <cell r="H1515" t="str">
            <v>ITALIA</v>
          </cell>
          <cell r="J1515" t="str">
            <v>00778470492</v>
          </cell>
          <cell r="K1515" t="str">
            <v>M5UXCR1</v>
          </cell>
          <cell r="M1515" t="str">
            <v>UFFICIO ACQUISTI</v>
          </cell>
          <cell r="N1515" t="str">
            <v>0586 886059</v>
          </cell>
          <cell r="R1515" t="str">
            <v>BONIFICO BANCARIO, ALLA DATA DELLA NOSTRA CONFERMA D'ORDINE</v>
          </cell>
          <cell r="X1515">
            <v>0.25</v>
          </cell>
          <cell r="Y1515">
            <v>-0.04</v>
          </cell>
          <cell r="AB1515">
            <v>0.25</v>
          </cell>
          <cell r="AC1515">
            <v>0.25</v>
          </cell>
          <cell r="AD1515">
            <v>0.25</v>
          </cell>
          <cell r="AE1515">
            <v>0.25</v>
          </cell>
          <cell r="AF1515">
            <v>0.25</v>
          </cell>
          <cell r="AG1515">
            <v>0.25</v>
          </cell>
          <cell r="AH1515">
            <v>0.25</v>
          </cell>
          <cell r="AI1515">
            <v>0.25</v>
          </cell>
          <cell r="AJ1515">
            <v>0.25</v>
          </cell>
          <cell r="AK1515">
            <v>0.25</v>
          </cell>
          <cell r="AL1515">
            <v>0.25</v>
          </cell>
          <cell r="AM1515">
            <v>0.25</v>
          </cell>
          <cell r="AN1515">
            <v>0.25</v>
          </cell>
          <cell r="AO1515">
            <v>0.25</v>
          </cell>
          <cell r="AP1515">
            <v>0.25</v>
          </cell>
          <cell r="AQ1515">
            <v>0.25</v>
          </cell>
          <cell r="AR1515">
            <v>0.25</v>
          </cell>
          <cell r="AS1515">
            <v>0.25</v>
          </cell>
          <cell r="AT1515">
            <v>-0.04</v>
          </cell>
          <cell r="AU1515">
            <v>0.92</v>
          </cell>
          <cell r="AV1515">
            <v>20</v>
          </cell>
          <cell r="AY1515" t="str">
            <v/>
          </cell>
          <cell r="AZ1515">
            <v>0.25</v>
          </cell>
          <cell r="BA1515">
            <v>0.25</v>
          </cell>
          <cell r="BF1515" t="str">
            <v>CLICK RAPID con carpenteria 21/12/2020</v>
          </cell>
        </row>
        <row r="1516">
          <cell r="A1516" t="str">
            <v>LIVORNO SERRAMENTI</v>
          </cell>
          <cell r="B1516" t="str">
            <v>SIG.MARCO MAZZONI</v>
          </cell>
          <cell r="D1516" t="str">
            <v>VIA DEGLI ARROTINI, 71</v>
          </cell>
          <cell r="E1516">
            <v>57121</v>
          </cell>
          <cell r="F1516" t="str">
            <v>LIVORNO</v>
          </cell>
          <cell r="G1516" t="str">
            <v>LI</v>
          </cell>
          <cell r="H1516" t="str">
            <v>ITALIA</v>
          </cell>
          <cell r="M1516" t="str">
            <v>UFFICIO ACQUISTI</v>
          </cell>
          <cell r="N1516" t="str">
            <v>0586 428382</v>
          </cell>
          <cell r="R1516" t="str">
            <v>BONIFICO BANCARIO, ALLA DATA DELLA NOSTRA CONFERMA D'ORDINE</v>
          </cell>
          <cell r="X1516">
            <v>0.2</v>
          </cell>
          <cell r="Y1516">
            <v>-0.04</v>
          </cell>
          <cell r="AB1516">
            <v>0.2</v>
          </cell>
          <cell r="AC1516">
            <v>0.2</v>
          </cell>
          <cell r="AD1516">
            <v>0.2</v>
          </cell>
          <cell r="AE1516">
            <v>0.2</v>
          </cell>
          <cell r="AF1516">
            <v>0.2</v>
          </cell>
          <cell r="AG1516">
            <v>0.2</v>
          </cell>
          <cell r="AH1516">
            <v>0.2</v>
          </cell>
          <cell r="AI1516">
            <v>0.2</v>
          </cell>
          <cell r="AJ1516">
            <v>0.2</v>
          </cell>
          <cell r="AK1516">
            <v>0.2</v>
          </cell>
          <cell r="AL1516">
            <v>0.2</v>
          </cell>
          <cell r="AM1516">
            <v>0.2</v>
          </cell>
          <cell r="AN1516">
            <v>0.2</v>
          </cell>
          <cell r="AO1516">
            <v>0.2</v>
          </cell>
          <cell r="AP1516">
            <v>0.2</v>
          </cell>
          <cell r="AQ1516">
            <v>0.2</v>
          </cell>
          <cell r="AR1516">
            <v>0.2</v>
          </cell>
          <cell r="AS1516">
            <v>0.2</v>
          </cell>
          <cell r="AT1516">
            <v>-0.04</v>
          </cell>
          <cell r="AU1516">
            <v>0.92</v>
          </cell>
          <cell r="AV1516">
            <v>20</v>
          </cell>
          <cell r="AY1516" t="str">
            <v/>
          </cell>
          <cell r="AZ1516">
            <v>0.2</v>
          </cell>
          <cell r="BA1516">
            <v>0.2</v>
          </cell>
        </row>
        <row r="1517">
          <cell r="A1517" t="str">
            <v>LLL SERRAMENTI di LUCIANO</v>
          </cell>
          <cell r="D1517" t="str">
            <v>VIA MAESTRI DEL LAVORO, 10 A</v>
          </cell>
          <cell r="E1517">
            <v>12100</v>
          </cell>
          <cell r="F1517" t="str">
            <v>MADONNA DLL'OLMO</v>
          </cell>
          <cell r="G1517" t="str">
            <v>CN</v>
          </cell>
          <cell r="H1517" t="str">
            <v>ITALIA</v>
          </cell>
          <cell r="M1517" t="str">
            <v>UFFICIO ACQUISTI</v>
          </cell>
          <cell r="N1517" t="str">
            <v>0171 411101</v>
          </cell>
          <cell r="O1517" t="str">
            <v>David345 8167308- Ale349 5464280</v>
          </cell>
          <cell r="P1517" t="str">
            <v>luciano.serramenti@gmail.com</v>
          </cell>
          <cell r="R1517" t="str">
            <v>BONIFICO BANCARIO, ALLA DATA DELLA NOSTRA CONFERMA D'ORDINE</v>
          </cell>
          <cell r="X1517">
            <v>0.2</v>
          </cell>
          <cell r="Y1517">
            <v>-0.04</v>
          </cell>
          <cell r="AB1517">
            <v>0.2</v>
          </cell>
          <cell r="AC1517">
            <v>0.2</v>
          </cell>
          <cell r="AD1517">
            <v>0.2</v>
          </cell>
          <cell r="AE1517">
            <v>0.2</v>
          </cell>
          <cell r="AF1517">
            <v>0.2</v>
          </cell>
          <cell r="AG1517">
            <v>0.2</v>
          </cell>
          <cell r="AH1517">
            <v>0.2</v>
          </cell>
          <cell r="AI1517">
            <v>0.2</v>
          </cell>
          <cell r="AJ1517">
            <v>0.2</v>
          </cell>
          <cell r="AK1517">
            <v>0.2</v>
          </cell>
          <cell r="AL1517">
            <v>0.2</v>
          </cell>
          <cell r="AM1517">
            <v>0.2</v>
          </cell>
          <cell r="AN1517">
            <v>0.2</v>
          </cell>
          <cell r="AO1517">
            <v>0.2</v>
          </cell>
          <cell r="AP1517">
            <v>0.2</v>
          </cell>
          <cell r="AQ1517">
            <v>0.2</v>
          </cell>
          <cell r="AR1517">
            <v>0.2</v>
          </cell>
          <cell r="AS1517">
            <v>0.2</v>
          </cell>
          <cell r="AT1517">
            <v>-0.04</v>
          </cell>
          <cell r="AU1517">
            <v>0.92</v>
          </cell>
          <cell r="AV1517">
            <v>20</v>
          </cell>
          <cell r="AY1517" t="str">
            <v/>
          </cell>
          <cell r="AZ1517">
            <v>0.2</v>
          </cell>
          <cell r="BA1517">
            <v>0.2</v>
          </cell>
        </row>
        <row r="1518">
          <cell r="A1518" t="str">
            <v xml:space="preserve">LM INFISSI </v>
          </cell>
          <cell r="D1518" t="str">
            <v>CORSO FRANCIA,  21</v>
          </cell>
          <cell r="E1518">
            <v>18039</v>
          </cell>
          <cell r="F1518" t="str">
            <v>VENTIMIGLIA</v>
          </cell>
          <cell r="G1518" t="str">
            <v>IM</v>
          </cell>
          <cell r="H1518" t="str">
            <v>ITALIA</v>
          </cell>
          <cell r="M1518" t="str">
            <v>UFFICIO ACQUISTI</v>
          </cell>
          <cell r="N1518" t="str">
            <v>0184 844031</v>
          </cell>
          <cell r="O1518" t="str">
            <v>348 8665435</v>
          </cell>
          <cell r="P1518" t="str">
            <v>infolminfissi@gmail.com</v>
          </cell>
          <cell r="R1518" t="str">
            <v>BONIFICO BANCARIO, ALLA DATA DELLA NOSTRA CONFERMA D'ORDINE</v>
          </cell>
          <cell r="X1518">
            <v>0.2</v>
          </cell>
          <cell r="Y1518">
            <v>-0.04</v>
          </cell>
          <cell r="AB1518">
            <v>0.2</v>
          </cell>
          <cell r="AC1518">
            <v>0.2</v>
          </cell>
          <cell r="AD1518">
            <v>0.2</v>
          </cell>
          <cell r="AE1518">
            <v>0.2</v>
          </cell>
          <cell r="AF1518">
            <v>0.2</v>
          </cell>
          <cell r="AG1518">
            <v>0.2</v>
          </cell>
          <cell r="AH1518">
            <v>0.2</v>
          </cell>
          <cell r="AI1518">
            <v>0.2</v>
          </cell>
          <cell r="AJ1518">
            <v>0.2</v>
          </cell>
          <cell r="AK1518">
            <v>0.2</v>
          </cell>
          <cell r="AL1518">
            <v>0.2</v>
          </cell>
          <cell r="AM1518">
            <v>0.2</v>
          </cell>
          <cell r="AN1518">
            <v>0.2</v>
          </cell>
          <cell r="AO1518">
            <v>0.2</v>
          </cell>
          <cell r="AP1518">
            <v>0.2</v>
          </cell>
          <cell r="AQ1518">
            <v>0.2</v>
          </cell>
          <cell r="AR1518">
            <v>0.2</v>
          </cell>
          <cell r="AS1518">
            <v>0.2</v>
          </cell>
          <cell r="AT1518">
            <v>-0.04</v>
          </cell>
          <cell r="AU1518">
            <v>0.92</v>
          </cell>
          <cell r="AV1518">
            <v>20</v>
          </cell>
          <cell r="AY1518" t="str">
            <v/>
          </cell>
          <cell r="AZ1518">
            <v>0.2</v>
          </cell>
          <cell r="BA1518">
            <v>0.2</v>
          </cell>
        </row>
        <row r="1519">
          <cell r="A1519" t="str">
            <v>LM PORTE BLINDATE SRLS</v>
          </cell>
          <cell r="D1519" t="str">
            <v xml:space="preserve">STRADA STATALE 106 JONICA </v>
          </cell>
          <cell r="E1519" t="str">
            <v>88900</v>
          </cell>
          <cell r="F1519" t="str">
            <v>CROTONE</v>
          </cell>
          <cell r="G1519" t="str">
            <v>KR</v>
          </cell>
          <cell r="H1519" t="str">
            <v>ITALIA</v>
          </cell>
          <cell r="J1519" t="str">
            <v>02962080798</v>
          </cell>
          <cell r="K1519" t="str">
            <v>M5UXCR1</v>
          </cell>
          <cell r="M1519" t="str">
            <v>UFFICIO ACQUISTI</v>
          </cell>
          <cell r="N1519" t="str">
            <v>0962 931730</v>
          </cell>
          <cell r="O1519" t="str">
            <v>328 2888352 DOTT. ANDREA LAURO</v>
          </cell>
          <cell r="P1519" t="str">
            <v>lmsrlsmail@gmail.com</v>
          </cell>
          <cell r="R1519" t="str">
            <v>BONIFICO BANCARIO, ALLA DATA DELLA NOSTRA CONFERMA D'ORDINE</v>
          </cell>
          <cell r="X1519">
            <v>0.25</v>
          </cell>
          <cell r="Y1519">
            <v>-0.04</v>
          </cell>
          <cell r="AB1519">
            <v>0.25</v>
          </cell>
          <cell r="AC1519">
            <v>0.25</v>
          </cell>
          <cell r="AD1519">
            <v>0.25</v>
          </cell>
          <cell r="AE1519">
            <v>0.25</v>
          </cell>
          <cell r="AF1519">
            <v>0.25</v>
          </cell>
          <cell r="AG1519">
            <v>0.25</v>
          </cell>
          <cell r="AH1519">
            <v>0.25</v>
          </cell>
          <cell r="AI1519">
            <v>0.25</v>
          </cell>
          <cell r="AJ1519">
            <v>0.25</v>
          </cell>
          <cell r="AK1519">
            <v>0.25</v>
          </cell>
          <cell r="AL1519">
            <v>0.25</v>
          </cell>
          <cell r="AM1519">
            <v>0.25</v>
          </cell>
          <cell r="AN1519">
            <v>0.25</v>
          </cell>
          <cell r="AO1519">
            <v>0.25</v>
          </cell>
          <cell r="AP1519">
            <v>0.25</v>
          </cell>
          <cell r="AQ1519">
            <v>0.25</v>
          </cell>
          <cell r="AR1519">
            <v>0.25</v>
          </cell>
          <cell r="AS1519">
            <v>0.25</v>
          </cell>
          <cell r="AT1519">
            <v>-0.04</v>
          </cell>
          <cell r="AU1519">
            <v>0.92</v>
          </cell>
          <cell r="AV1519">
            <v>20</v>
          </cell>
          <cell r="AW1519" t="str">
            <v>PIETRO OLIVADOTI</v>
          </cell>
          <cell r="AX1519">
            <v>0.95</v>
          </cell>
          <cell r="AZ1519">
            <v>0.25</v>
          </cell>
          <cell r="BA1519">
            <v>0.25</v>
          </cell>
        </row>
        <row r="1520">
          <cell r="A1520" t="str">
            <v xml:space="preserve">LO CHIANO SERRAMENTI E PORTE </v>
          </cell>
          <cell r="D1520" t="str">
            <v>VIA VENEZIA, 432/434</v>
          </cell>
          <cell r="E1520" t="str">
            <v>93012</v>
          </cell>
          <cell r="F1520" t="str">
            <v>GELA</v>
          </cell>
          <cell r="G1520" t="str">
            <v>CL</v>
          </cell>
          <cell r="H1520" t="str">
            <v>ITALIA</v>
          </cell>
          <cell r="M1520" t="str">
            <v>UFFICIO ACQUISTI</v>
          </cell>
          <cell r="N1520" t="str">
            <v>0933 936019</v>
          </cell>
          <cell r="P1520" t="str">
            <v>lochianosas@libero.it</v>
          </cell>
          <cell r="R1520" t="str">
            <v>BONIFICO BANCARIO, ALLA DATA DELLA NOSTRA CONFERMA D'ORDINE</v>
          </cell>
          <cell r="X1520">
            <v>0.2</v>
          </cell>
          <cell r="Y1520">
            <v>-0.04</v>
          </cell>
          <cell r="AB1520">
            <v>0.2</v>
          </cell>
          <cell r="AC1520">
            <v>0.2</v>
          </cell>
          <cell r="AD1520">
            <v>0.2</v>
          </cell>
          <cell r="AE1520">
            <v>0.2</v>
          </cell>
          <cell r="AF1520">
            <v>0.2</v>
          </cell>
          <cell r="AG1520">
            <v>0.2</v>
          </cell>
          <cell r="AH1520">
            <v>0.2</v>
          </cell>
          <cell r="AI1520">
            <v>0.2</v>
          </cell>
          <cell r="AJ1520">
            <v>0.2</v>
          </cell>
          <cell r="AK1520">
            <v>0.2</v>
          </cell>
          <cell r="AL1520">
            <v>0.2</v>
          </cell>
          <cell r="AM1520">
            <v>0.2</v>
          </cell>
          <cell r="AN1520">
            <v>0.2</v>
          </cell>
          <cell r="AO1520">
            <v>0.2</v>
          </cell>
          <cell r="AP1520">
            <v>0.2</v>
          </cell>
          <cell r="AQ1520">
            <v>0.2</v>
          </cell>
          <cell r="AR1520">
            <v>0.2</v>
          </cell>
          <cell r="AS1520">
            <v>0.2</v>
          </cell>
          <cell r="AT1520">
            <v>-0.04</v>
          </cell>
          <cell r="AU1520">
            <v>0.92</v>
          </cell>
          <cell r="AV1520">
            <v>20</v>
          </cell>
          <cell r="AY1520" t="str">
            <v/>
          </cell>
          <cell r="AZ1520">
            <v>0.2</v>
          </cell>
          <cell r="BA1520">
            <v>0.2</v>
          </cell>
        </row>
        <row r="1521">
          <cell r="A1521" t="str">
            <v>LO CICERO SERRAMENTI</v>
          </cell>
          <cell r="B1521" t="str">
            <v>03/11/22 PARLATO CON IL SIG. DAVIDE (COLLABORATORE). CHIEDE DI RIMANDARE MAIL + PROMO</v>
          </cell>
          <cell r="D1521" t="str">
            <v>VIA ANGELOTTI, 12</v>
          </cell>
          <cell r="E1521">
            <v>90124</v>
          </cell>
          <cell r="F1521" t="str">
            <v>PALERMO</v>
          </cell>
          <cell r="G1521" t="str">
            <v>PA</v>
          </cell>
          <cell r="H1521" t="str">
            <v>ITALIA</v>
          </cell>
          <cell r="J1521" t="str">
            <v>04129790822</v>
          </cell>
          <cell r="M1521" t="str">
            <v>UFFICIO ACQUISTI</v>
          </cell>
          <cell r="O1521" t="str">
            <v>350 1531817</v>
          </cell>
          <cell r="P1521" t="str">
            <v>info@lociceroserramenti.it</v>
          </cell>
          <cell r="R1521" t="str">
            <v>BONIFICO BANCARIO, ALLA DATA DELLA NOSTRA CONFERMA D'ORDINE</v>
          </cell>
          <cell r="X1521">
            <v>0.25</v>
          </cell>
          <cell r="Y1521">
            <v>-0.04</v>
          </cell>
          <cell r="AB1521">
            <v>0.25</v>
          </cell>
          <cell r="AC1521">
            <v>0.25</v>
          </cell>
          <cell r="AD1521">
            <v>0.25</v>
          </cell>
          <cell r="AE1521">
            <v>0.25</v>
          </cell>
          <cell r="AF1521">
            <v>0.25</v>
          </cell>
          <cell r="AG1521">
            <v>0.25</v>
          </cell>
          <cell r="AH1521">
            <v>0.25</v>
          </cell>
          <cell r="AI1521">
            <v>0.25</v>
          </cell>
          <cell r="AJ1521">
            <v>0.25</v>
          </cell>
          <cell r="AK1521">
            <v>0.25</v>
          </cell>
          <cell r="AL1521">
            <v>0.25</v>
          </cell>
          <cell r="AM1521">
            <v>0.25</v>
          </cell>
          <cell r="AN1521">
            <v>0.25</v>
          </cell>
          <cell r="AO1521">
            <v>0.25</v>
          </cell>
          <cell r="AP1521">
            <v>0.25</v>
          </cell>
          <cell r="AQ1521">
            <v>0.25</v>
          </cell>
          <cell r="AR1521">
            <v>0.25</v>
          </cell>
          <cell r="AS1521">
            <v>0.25</v>
          </cell>
          <cell r="AT1521">
            <v>-0.04</v>
          </cell>
          <cell r="AU1521">
            <v>0.88</v>
          </cell>
          <cell r="AV1521">
            <v>20</v>
          </cell>
          <cell r="AZ1521">
            <v>0.25</v>
          </cell>
          <cell r="BA1521">
            <v>0.25</v>
          </cell>
        </row>
        <row r="1522">
          <cell r="A1522" t="str">
            <v>L'OBLO' s.a.s. DI R. MORESCO &amp; C.</v>
          </cell>
          <cell r="D1522" t="str">
            <v>VIA BATTILANA, 3B</v>
          </cell>
          <cell r="E1522">
            <v>16030</v>
          </cell>
          <cell r="F1522" t="str">
            <v>CASARZA LIGURE</v>
          </cell>
          <cell r="G1522" t="str">
            <v>GE</v>
          </cell>
          <cell r="H1522" t="str">
            <v>ITALIA</v>
          </cell>
          <cell r="M1522" t="str">
            <v>UFFICIO ACQUISTI</v>
          </cell>
          <cell r="N1522" t="str">
            <v>0185 469120</v>
          </cell>
          <cell r="P1522" t="str">
            <v>obloserramenti@gmail.com</v>
          </cell>
          <cell r="R1522" t="str">
            <v>BONIFICO BANCARIO, ALLA DATA DELLA NOSTRA CONFERMA D'ORDINE</v>
          </cell>
          <cell r="X1522">
            <v>0.25</v>
          </cell>
          <cell r="Y1522">
            <v>-0.04</v>
          </cell>
          <cell r="AB1522">
            <v>0.25</v>
          </cell>
          <cell r="AC1522">
            <v>0.25</v>
          </cell>
          <cell r="AD1522">
            <v>0.25</v>
          </cell>
          <cell r="AE1522">
            <v>0.25</v>
          </cell>
          <cell r="AF1522">
            <v>0.25</v>
          </cell>
          <cell r="AG1522">
            <v>0.25</v>
          </cell>
          <cell r="AH1522">
            <v>0.25</v>
          </cell>
          <cell r="AI1522">
            <v>0.25</v>
          </cell>
          <cell r="AJ1522">
            <v>0.25</v>
          </cell>
          <cell r="AK1522">
            <v>0.25</v>
          </cell>
          <cell r="AL1522">
            <v>0.25</v>
          </cell>
          <cell r="AM1522">
            <v>0.25</v>
          </cell>
          <cell r="AN1522">
            <v>0.25</v>
          </cell>
          <cell r="AO1522">
            <v>0.25</v>
          </cell>
          <cell r="AP1522">
            <v>0.25</v>
          </cell>
          <cell r="AQ1522">
            <v>0.25</v>
          </cell>
          <cell r="AR1522">
            <v>0.25</v>
          </cell>
          <cell r="AS1522">
            <v>0.25</v>
          </cell>
          <cell r="AT1522">
            <v>-0.04</v>
          </cell>
          <cell r="AU1522">
            <v>0.92</v>
          </cell>
          <cell r="AV1522">
            <v>20</v>
          </cell>
          <cell r="AY1522" t="str">
            <v/>
          </cell>
          <cell r="AZ1522">
            <v>0.25</v>
          </cell>
          <cell r="BA1522">
            <v>0.25</v>
          </cell>
        </row>
        <row r="1523">
          <cell r="A1523" t="str">
            <v>LOCKER SAS</v>
          </cell>
          <cell r="D1523" t="str">
            <v>VIALE LOMBARDIA 63</v>
          </cell>
          <cell r="E1523" t="str">
            <v>20131</v>
          </cell>
          <cell r="F1523" t="str">
            <v>MILANO</v>
          </cell>
          <cell r="G1523" t="str">
            <v>MI</v>
          </cell>
          <cell r="H1523" t="str">
            <v>ITALIA</v>
          </cell>
          <cell r="J1523" t="str">
            <v>12757180158</v>
          </cell>
          <cell r="M1523" t="str">
            <v>UFFICIO ACQUISTI</v>
          </cell>
          <cell r="N1523" t="str">
            <v>02 2822961</v>
          </cell>
          <cell r="R1523" t="str">
            <v>BONIFICO BANCARIO, ALLA DATA DELLA NOSTRA CONFERMA D'ORDINE</v>
          </cell>
          <cell r="X1523">
            <v>0.25</v>
          </cell>
          <cell r="Y1523">
            <v>-0.04</v>
          </cell>
          <cell r="AB1523">
            <v>0.25</v>
          </cell>
          <cell r="AC1523">
            <v>0.25</v>
          </cell>
          <cell r="AD1523">
            <v>0.25</v>
          </cell>
          <cell r="AE1523">
            <v>0.25</v>
          </cell>
          <cell r="AF1523">
            <v>0.25</v>
          </cell>
          <cell r="AG1523">
            <v>0.25</v>
          </cell>
          <cell r="AH1523">
            <v>0.25</v>
          </cell>
          <cell r="AI1523">
            <v>0.25</v>
          </cell>
          <cell r="AJ1523">
            <v>0.25</v>
          </cell>
          <cell r="AK1523">
            <v>0.25</v>
          </cell>
          <cell r="AL1523">
            <v>0.25</v>
          </cell>
          <cell r="AM1523">
            <v>0.25</v>
          </cell>
          <cell r="AN1523">
            <v>0.25</v>
          </cell>
          <cell r="AO1523">
            <v>0.25</v>
          </cell>
          <cell r="AP1523">
            <v>0.25</v>
          </cell>
          <cell r="AQ1523">
            <v>0.25</v>
          </cell>
          <cell r="AR1523">
            <v>0.25</v>
          </cell>
          <cell r="AS1523">
            <v>0.25</v>
          </cell>
          <cell r="AT1523">
            <v>-0.04</v>
          </cell>
          <cell r="AU1523">
            <v>0.92</v>
          </cell>
          <cell r="AV1523">
            <v>20</v>
          </cell>
          <cell r="AY1523" t="str">
            <v/>
          </cell>
          <cell r="AZ1523">
            <v>0.25</v>
          </cell>
          <cell r="BA1523">
            <v>0.25</v>
          </cell>
        </row>
        <row r="1524">
          <cell r="A1524" t="str">
            <v>LOCONSOLE MICHELE SRL</v>
          </cell>
          <cell r="D1524" t="str">
            <v>VIA BRIGATA E DIVISIONE BARI, 17 D</v>
          </cell>
          <cell r="E1524" t="str">
            <v>70123</v>
          </cell>
          <cell r="F1524" t="str">
            <v>BARI</v>
          </cell>
          <cell r="G1524" t="str">
            <v>BA</v>
          </cell>
          <cell r="H1524" t="str">
            <v>ITALIA</v>
          </cell>
          <cell r="J1524" t="str">
            <v>06060810725</v>
          </cell>
          <cell r="K1524" t="str">
            <v>M5UXCR1</v>
          </cell>
          <cell r="M1524" t="str">
            <v>UFFICIO ACQUISTI</v>
          </cell>
          <cell r="N1524" t="str">
            <v>080 5278994</v>
          </cell>
          <cell r="P1524" t="str">
            <v>info@loconsole.it</v>
          </cell>
          <cell r="R1524" t="str">
            <v>BONIFICO BANCARIO, ALLA DATA DELLA NOSTRA CONFERMA D'ORDINE</v>
          </cell>
          <cell r="X1524">
            <v>0.25</v>
          </cell>
          <cell r="Y1524">
            <v>-0.04</v>
          </cell>
          <cell r="AB1524">
            <v>0.25</v>
          </cell>
          <cell r="AC1524">
            <v>0.25</v>
          </cell>
          <cell r="AD1524">
            <v>0.25</v>
          </cell>
          <cell r="AE1524">
            <v>0.25</v>
          </cell>
          <cell r="AF1524">
            <v>0.25</v>
          </cell>
          <cell r="AG1524">
            <v>0.25</v>
          </cell>
          <cell r="AH1524">
            <v>0.25</v>
          </cell>
          <cell r="AI1524">
            <v>0.25</v>
          </cell>
          <cell r="AJ1524">
            <v>0.25</v>
          </cell>
          <cell r="AK1524">
            <v>0.25</v>
          </cell>
          <cell r="AL1524">
            <v>0.25</v>
          </cell>
          <cell r="AM1524">
            <v>0.25</v>
          </cell>
          <cell r="AN1524">
            <v>0.25</v>
          </cell>
          <cell r="AO1524">
            <v>0.25</v>
          </cell>
          <cell r="AP1524">
            <v>0.25</v>
          </cell>
          <cell r="AQ1524">
            <v>0.25</v>
          </cell>
          <cell r="AR1524">
            <v>0.25</v>
          </cell>
          <cell r="AS1524">
            <v>0.25</v>
          </cell>
          <cell r="AT1524">
            <v>-0.04</v>
          </cell>
          <cell r="AU1524">
            <v>0.92</v>
          </cell>
          <cell r="AV1524">
            <v>20</v>
          </cell>
          <cell r="AZ1524">
            <v>0.25</v>
          </cell>
          <cell r="BA1524">
            <v>0.25</v>
          </cell>
        </row>
        <row r="1525">
          <cell r="A1525" t="str">
            <v>LOGICA INFISSI  DI LOGICA A NTONIO</v>
          </cell>
          <cell r="D1525" t="str">
            <v>VIA MURO, 49</v>
          </cell>
          <cell r="E1525" t="str">
            <v>73024</v>
          </cell>
          <cell r="F1525" t="str">
            <v>MAGLIE</v>
          </cell>
          <cell r="G1525" t="str">
            <v>LE</v>
          </cell>
          <cell r="H1525" t="str">
            <v>ITALIA</v>
          </cell>
          <cell r="M1525" t="str">
            <v>UFFICIO ACQUISTI</v>
          </cell>
          <cell r="O1525" t="str">
            <v>340 9181962</v>
          </cell>
          <cell r="P1525" t="str">
            <v>amtonio@logicainfiissi.com</v>
          </cell>
          <cell r="R1525" t="str">
            <v>BONIFICO BANCARIO, ALLA DATA DELLA NOSTRA CONFERMA D'ORDINE</v>
          </cell>
          <cell r="X1525">
            <v>0.25</v>
          </cell>
          <cell r="Y1525">
            <v>-0.04</v>
          </cell>
          <cell r="AB1525">
            <v>0.25</v>
          </cell>
          <cell r="AC1525">
            <v>0.25</v>
          </cell>
          <cell r="AD1525">
            <v>0.25</v>
          </cell>
          <cell r="AE1525">
            <v>0.25</v>
          </cell>
          <cell r="AF1525">
            <v>0.25</v>
          </cell>
          <cell r="AG1525">
            <v>0.25</v>
          </cell>
          <cell r="AH1525">
            <v>0.25</v>
          </cell>
          <cell r="AI1525">
            <v>0.25</v>
          </cell>
          <cell r="AJ1525">
            <v>0.25</v>
          </cell>
          <cell r="AK1525">
            <v>0.25</v>
          </cell>
          <cell r="AL1525">
            <v>0.25</v>
          </cell>
          <cell r="AM1525">
            <v>0.25</v>
          </cell>
          <cell r="AN1525">
            <v>0.25</v>
          </cell>
          <cell r="AO1525">
            <v>0.25</v>
          </cell>
          <cell r="AP1525">
            <v>0.25</v>
          </cell>
          <cell r="AQ1525">
            <v>0.25</v>
          </cell>
          <cell r="AR1525">
            <v>0.25</v>
          </cell>
          <cell r="AS1525">
            <v>0.25</v>
          </cell>
          <cell r="AT1525">
            <v>-0.04</v>
          </cell>
          <cell r="AU1525">
            <v>0.92</v>
          </cell>
          <cell r="AV1525">
            <v>20</v>
          </cell>
          <cell r="AZ1525">
            <v>0.25</v>
          </cell>
          <cell r="BA1525">
            <v>0.25</v>
          </cell>
        </row>
        <row r="1526">
          <cell r="A1526" t="str">
            <v>LOIDHOLD GMBH</v>
          </cell>
          <cell r="B1526" t="str">
            <v>RIVENDITORE CHIEMGAUER, PERFA</v>
          </cell>
          <cell r="D1526" t="str">
            <v>FOHREGG, 1</v>
          </cell>
          <cell r="E1526" t="str">
            <v>3244</v>
          </cell>
          <cell r="F1526" t="str">
            <v>RUPRECHTSHOFEN</v>
          </cell>
          <cell r="H1526" t="str">
            <v>AUSTRIA</v>
          </cell>
          <cell r="J1526" t="str">
            <v>ATU71386635</v>
          </cell>
          <cell r="K1526" t="str">
            <v>XXXXXXX</v>
          </cell>
          <cell r="M1526" t="str">
            <v>UFFICIO ACQUISTI</v>
          </cell>
          <cell r="N1526" t="str">
            <v>+43 2756 287171</v>
          </cell>
          <cell r="P1526" t="str">
            <v>info@hochwasserschutz.shop</v>
          </cell>
          <cell r="R1526" t="str">
            <v>BANKÜBERWEISUNG, AM DATUM UNSERER AUFTRAGSBESTÄTIGUNG</v>
          </cell>
          <cell r="X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cell r="AO1526">
            <v>0</v>
          </cell>
          <cell r="AP1526">
            <v>0</v>
          </cell>
          <cell r="AQ1526">
            <v>0</v>
          </cell>
          <cell r="AR1526">
            <v>0</v>
          </cell>
          <cell r="AS1526">
            <v>0</v>
          </cell>
          <cell r="AU1526">
            <v>0.84</v>
          </cell>
          <cell r="AV1526">
            <v>20</v>
          </cell>
          <cell r="AZ1526">
            <v>0</v>
          </cell>
          <cell r="BA1526">
            <v>0</v>
          </cell>
        </row>
        <row r="1527">
          <cell r="A1527" t="str">
            <v>LOMET SRL</v>
          </cell>
          <cell r="D1527" t="str">
            <v>VIA PENAGINI 7 A</v>
          </cell>
          <cell r="E1527" t="str">
            <v>26838</v>
          </cell>
          <cell r="F1527" t="str">
            <v>TAVAZZANO</v>
          </cell>
          <cell r="G1527" t="str">
            <v>LO</v>
          </cell>
          <cell r="H1527" t="str">
            <v>ITALIA</v>
          </cell>
          <cell r="M1527" t="str">
            <v>UFFICIO ACQUISTI</v>
          </cell>
          <cell r="N1527" t="str">
            <v>366 8967345</v>
          </cell>
          <cell r="O1527" t="str">
            <v>328 0072818</v>
          </cell>
          <cell r="R1527" t="str">
            <v>BONIFICO BANCARIO, ALLA DATA DELLA NOSTRA CONFERMA D'ORDINE</v>
          </cell>
          <cell r="X1527">
            <v>0.25</v>
          </cell>
          <cell r="Y1527">
            <v>-0.04</v>
          </cell>
          <cell r="AB1527">
            <v>0.25</v>
          </cell>
          <cell r="AC1527">
            <v>0.25</v>
          </cell>
          <cell r="AD1527">
            <v>0.25</v>
          </cell>
          <cell r="AE1527">
            <v>0.25</v>
          </cell>
          <cell r="AF1527">
            <v>0.25</v>
          </cell>
          <cell r="AG1527">
            <v>0.25</v>
          </cell>
          <cell r="AH1527">
            <v>0.25</v>
          </cell>
          <cell r="AI1527">
            <v>0.25</v>
          </cell>
          <cell r="AJ1527">
            <v>0.25</v>
          </cell>
          <cell r="AK1527">
            <v>0.25</v>
          </cell>
          <cell r="AL1527">
            <v>0.25</v>
          </cell>
          <cell r="AM1527">
            <v>0.25</v>
          </cell>
          <cell r="AN1527">
            <v>0.25</v>
          </cell>
          <cell r="AO1527">
            <v>0.25</v>
          </cell>
          <cell r="AP1527">
            <v>0.25</v>
          </cell>
          <cell r="AQ1527">
            <v>0.25</v>
          </cell>
          <cell r="AR1527">
            <v>0.25</v>
          </cell>
          <cell r="AS1527">
            <v>0.25</v>
          </cell>
          <cell r="AT1527">
            <v>-0.04</v>
          </cell>
          <cell r="AU1527">
            <v>0.92</v>
          </cell>
          <cell r="AV1527">
            <v>20</v>
          </cell>
          <cell r="AY1527" t="str">
            <v/>
          </cell>
          <cell r="AZ1527">
            <v>0.25</v>
          </cell>
          <cell r="BA1527">
            <v>0.25</v>
          </cell>
        </row>
        <row r="1528">
          <cell r="A1528" t="str">
            <v>LONGO PELLEGRINO</v>
          </cell>
          <cell r="D1528" t="str">
            <v>VIA SANT'ANTONIO, 11</v>
          </cell>
          <cell r="E1528" t="str">
            <v>71121</v>
          </cell>
          <cell r="F1528" t="str">
            <v>FOGGIA</v>
          </cell>
          <cell r="G1528" t="str">
            <v>FG</v>
          </cell>
          <cell r="H1528" t="str">
            <v>ITALIA</v>
          </cell>
          <cell r="M1528" t="str">
            <v>UFFICIO ACQUISTI</v>
          </cell>
          <cell r="N1528" t="str">
            <v>0881 716739</v>
          </cell>
          <cell r="O1528" t="str">
            <v>351 7174381</v>
          </cell>
          <cell r="P1528" t="str">
            <v>f.c.longo@hotmail.it</v>
          </cell>
          <cell r="R1528" t="str">
            <v>BONIFICO BANCARIO, ALLA DATA DELLA NOSTRA CONFERMA D'ORDINE</v>
          </cell>
          <cell r="X1528">
            <v>0.2</v>
          </cell>
          <cell r="Y1528">
            <v>-0.04</v>
          </cell>
          <cell r="AB1528">
            <v>0.2</v>
          </cell>
          <cell r="AC1528">
            <v>0.2</v>
          </cell>
          <cell r="AD1528">
            <v>0.2</v>
          </cell>
          <cell r="AE1528">
            <v>0.2</v>
          </cell>
          <cell r="AF1528">
            <v>0.2</v>
          </cell>
          <cell r="AG1528">
            <v>0.2</v>
          </cell>
          <cell r="AH1528">
            <v>0.2</v>
          </cell>
          <cell r="AI1528">
            <v>0.2</v>
          </cell>
          <cell r="AJ1528">
            <v>0.2</v>
          </cell>
          <cell r="AK1528">
            <v>0.2</v>
          </cell>
          <cell r="AL1528">
            <v>0.2</v>
          </cell>
          <cell r="AM1528">
            <v>0.2</v>
          </cell>
          <cell r="AN1528">
            <v>0.2</v>
          </cell>
          <cell r="AO1528">
            <v>0.2</v>
          </cell>
          <cell r="AP1528">
            <v>0.2</v>
          </cell>
          <cell r="AQ1528">
            <v>0.2</v>
          </cell>
          <cell r="AR1528">
            <v>0.2</v>
          </cell>
          <cell r="AS1528">
            <v>0.2</v>
          </cell>
          <cell r="AT1528">
            <v>-0.04</v>
          </cell>
          <cell r="AU1528">
            <v>0.92</v>
          </cell>
          <cell r="AV1528">
            <v>20</v>
          </cell>
          <cell r="AZ1528">
            <v>0.2</v>
          </cell>
          <cell r="BA1528">
            <v>0.2</v>
          </cell>
        </row>
        <row r="1529">
          <cell r="A1529" t="str">
            <v>LORENZO BELLAGAMBA</v>
          </cell>
          <cell r="D1529" t="str">
            <v>VIA GARDESANA, 43 A</v>
          </cell>
          <cell r="E1529">
            <v>37012</v>
          </cell>
          <cell r="F1529" t="str">
            <v>BUSSOLENGO</v>
          </cell>
          <cell r="G1529" t="str">
            <v>VR</v>
          </cell>
          <cell r="H1529" t="str">
            <v>ITALIA</v>
          </cell>
          <cell r="I1529" t="str">
            <v>04543470233</v>
          </cell>
          <cell r="J1529" t="str">
            <v>04543470233</v>
          </cell>
          <cell r="M1529" t="str">
            <v>UFFICIO ACQUISTI</v>
          </cell>
          <cell r="N1529" t="str">
            <v>045 4685735</v>
          </cell>
          <cell r="P1529" t="str">
            <v>l.bellagamba@abitare-egroup.com</v>
          </cell>
          <cell r="R1529" t="str">
            <v>BONIFICO BANCARIO, ALLA DATA DELLA NOSTRA CONFERMA D'ORDINE</v>
          </cell>
          <cell r="X1529">
            <v>0.25</v>
          </cell>
          <cell r="Y1529">
            <v>-0.04</v>
          </cell>
          <cell r="AB1529">
            <v>0.25</v>
          </cell>
          <cell r="AC1529">
            <v>0.25</v>
          </cell>
          <cell r="AD1529">
            <v>0.25</v>
          </cell>
          <cell r="AE1529">
            <v>0.25</v>
          </cell>
          <cell r="AF1529">
            <v>0.25</v>
          </cell>
          <cell r="AG1529">
            <v>0.25</v>
          </cell>
          <cell r="AH1529">
            <v>0.25</v>
          </cell>
          <cell r="AI1529">
            <v>0.25</v>
          </cell>
          <cell r="AJ1529">
            <v>0.25</v>
          </cell>
          <cell r="AK1529">
            <v>0.25</v>
          </cell>
          <cell r="AL1529">
            <v>0.25</v>
          </cell>
          <cell r="AM1529">
            <v>0.25</v>
          </cell>
          <cell r="AN1529">
            <v>0.25</v>
          </cell>
          <cell r="AO1529">
            <v>0.25</v>
          </cell>
          <cell r="AP1529">
            <v>0.25</v>
          </cell>
          <cell r="AQ1529">
            <v>0.25</v>
          </cell>
          <cell r="AR1529">
            <v>0.25</v>
          </cell>
          <cell r="AS1529">
            <v>0.25</v>
          </cell>
          <cell r="AT1529">
            <v>-0.04</v>
          </cell>
          <cell r="AU1529">
            <v>0.92</v>
          </cell>
          <cell r="AV1529">
            <v>20</v>
          </cell>
          <cell r="AY1529" t="str">
            <v/>
          </cell>
          <cell r="AZ1529">
            <v>0.25</v>
          </cell>
          <cell r="BA1529">
            <v>0.25</v>
          </cell>
        </row>
        <row r="1530">
          <cell r="A1530" t="str">
            <v xml:space="preserve">LORENZO DE FRANCO </v>
          </cell>
          <cell r="D1530" t="str">
            <v>VIA ENRICO PEDENOVI</v>
          </cell>
          <cell r="E1530" t="str">
            <v>73048</v>
          </cell>
          <cell r="F1530" t="str">
            <v>NARDO'</v>
          </cell>
          <cell r="G1530" t="str">
            <v>LE</v>
          </cell>
          <cell r="H1530" t="str">
            <v>ITALIA</v>
          </cell>
          <cell r="I1530" t="str">
            <v>DFRLNZ75C08F842Z</v>
          </cell>
          <cell r="J1530" t="str">
            <v>03793370754</v>
          </cell>
          <cell r="M1530" t="str">
            <v>UFFICIO ACQUISTI</v>
          </cell>
          <cell r="O1530" t="str">
            <v>329 2340061</v>
          </cell>
          <cell r="P1530" t="str">
            <v>infissidefranco@gmail.com</v>
          </cell>
          <cell r="R1530" t="str">
            <v>BONIFICO BANCARIO, ALLA DATA DELLA NOSTRA CONFERMA D'ORDINE</v>
          </cell>
          <cell r="X1530">
            <v>0.25</v>
          </cell>
          <cell r="Y1530">
            <v>-0.04</v>
          </cell>
          <cell r="AB1530">
            <v>0.25</v>
          </cell>
          <cell r="AC1530">
            <v>0.25</v>
          </cell>
          <cell r="AD1530">
            <v>0.25</v>
          </cell>
          <cell r="AE1530">
            <v>0.25</v>
          </cell>
          <cell r="AF1530">
            <v>0.25</v>
          </cell>
          <cell r="AG1530">
            <v>0.25</v>
          </cell>
          <cell r="AH1530">
            <v>0.25</v>
          </cell>
          <cell r="AI1530">
            <v>0.25</v>
          </cell>
          <cell r="AJ1530">
            <v>0.25</v>
          </cell>
          <cell r="AK1530">
            <v>0.25</v>
          </cell>
          <cell r="AL1530">
            <v>0.25</v>
          </cell>
          <cell r="AM1530">
            <v>0.25</v>
          </cell>
          <cell r="AN1530">
            <v>0.25</v>
          </cell>
          <cell r="AO1530">
            <v>0.25</v>
          </cell>
          <cell r="AP1530">
            <v>0.25</v>
          </cell>
          <cell r="AQ1530">
            <v>0.25</v>
          </cell>
          <cell r="AR1530">
            <v>0.25</v>
          </cell>
          <cell r="AS1530">
            <v>0.25</v>
          </cell>
          <cell r="AT1530">
            <v>-0.04</v>
          </cell>
          <cell r="AU1530">
            <v>0.92</v>
          </cell>
          <cell r="AV1530">
            <v>20</v>
          </cell>
          <cell r="AZ1530">
            <v>0.25</v>
          </cell>
          <cell r="BA1530">
            <v>0.25</v>
          </cell>
        </row>
        <row r="1531">
          <cell r="A1531" t="str">
            <v>LOVISOLO</v>
          </cell>
          <cell r="D1531" t="str">
            <v>CORSO VITTORIO VENETO 230 R</v>
          </cell>
          <cell r="E1531" t="str">
            <v>17100</v>
          </cell>
          <cell r="F1531" t="str">
            <v>SAVONA</v>
          </cell>
          <cell r="G1531" t="str">
            <v>SV</v>
          </cell>
          <cell r="H1531" t="str">
            <v>ITALIA</v>
          </cell>
          <cell r="J1531" t="str">
            <v>01434120091</v>
          </cell>
          <cell r="K1531" t="str">
            <v>M5UXCR1</v>
          </cell>
          <cell r="M1531" t="str">
            <v>UFFICIO ACQUISTI</v>
          </cell>
          <cell r="N1531" t="str">
            <v>019 821531</v>
          </cell>
          <cell r="O1531" t="str">
            <v xml:space="preserve">366 6845759 GEOM. DIEGO SOBRERO </v>
          </cell>
          <cell r="P1531" t="str">
            <v>info@lovisolo.it</v>
          </cell>
          <cell r="R1531" t="str">
            <v>BONIFICO BANCARIO, ALLA DATA DELLA NOSTRA CONFERMA D'ORDINE</v>
          </cell>
          <cell r="X1531">
            <v>0.25</v>
          </cell>
          <cell r="Y1531">
            <v>-0.04</v>
          </cell>
          <cell r="AB1531">
            <v>0.25</v>
          </cell>
          <cell r="AC1531">
            <v>0.25</v>
          </cell>
          <cell r="AD1531">
            <v>0.25</v>
          </cell>
          <cell r="AE1531">
            <v>0.25</v>
          </cell>
          <cell r="AF1531">
            <v>0.25</v>
          </cell>
          <cell r="AG1531">
            <v>0.25</v>
          </cell>
          <cell r="AH1531">
            <v>0.25</v>
          </cell>
          <cell r="AI1531">
            <v>0.25</v>
          </cell>
          <cell r="AJ1531">
            <v>0.25</v>
          </cell>
          <cell r="AK1531">
            <v>0.25</v>
          </cell>
          <cell r="AL1531">
            <v>0.25</v>
          </cell>
          <cell r="AM1531">
            <v>0.25</v>
          </cell>
          <cell r="AN1531">
            <v>0.25</v>
          </cell>
          <cell r="AO1531">
            <v>0.25</v>
          </cell>
          <cell r="AP1531">
            <v>0.25</v>
          </cell>
          <cell r="AQ1531">
            <v>0.25</v>
          </cell>
          <cell r="AR1531">
            <v>0.25</v>
          </cell>
          <cell r="AS1531">
            <v>0.25</v>
          </cell>
          <cell r="AT1531">
            <v>-0.04</v>
          </cell>
          <cell r="AU1531">
            <v>0.92</v>
          </cell>
          <cell r="AV1531">
            <v>20</v>
          </cell>
          <cell r="AY1531" t="str">
            <v/>
          </cell>
          <cell r="AZ1531">
            <v>0.25</v>
          </cell>
          <cell r="BA1531">
            <v>0.25</v>
          </cell>
        </row>
        <row r="1532">
          <cell r="A1532" t="str">
            <v>LP SPEEDY SRLS</v>
          </cell>
          <cell r="D1532" t="str">
            <v>VIA REPUBBLICA SAN MARINO, 21</v>
          </cell>
          <cell r="E1532">
            <v>90044</v>
          </cell>
          <cell r="F1532" t="str">
            <v>CARINI</v>
          </cell>
          <cell r="G1532" t="str">
            <v>PA</v>
          </cell>
          <cell r="H1532" t="str">
            <v>ITALIA</v>
          </cell>
          <cell r="J1532" t="str">
            <v>02583950817</v>
          </cell>
          <cell r="M1532" t="str">
            <v>UFFICIO ACQUISTI</v>
          </cell>
          <cell r="O1532" t="str">
            <v>335 7565196 FRANCESCO PAGANO</v>
          </cell>
          <cell r="P1532" t="str">
            <v>lpspeedy15@gmail.com</v>
          </cell>
          <cell r="R1532" t="str">
            <v>BONIFICO BANCARIO, ALLA DATA DELLA NOSTRA CONFERMA D'ORDINE</v>
          </cell>
          <cell r="X1532">
            <v>0.25</v>
          </cell>
          <cell r="Y1532">
            <v>-0.04</v>
          </cell>
          <cell r="AB1532">
            <v>0.25</v>
          </cell>
          <cell r="AC1532">
            <v>0.25</v>
          </cell>
          <cell r="AD1532">
            <v>0.25</v>
          </cell>
          <cell r="AE1532">
            <v>0.25</v>
          </cell>
          <cell r="AF1532">
            <v>0.25</v>
          </cell>
          <cell r="AG1532">
            <v>0.25</v>
          </cell>
          <cell r="AH1532">
            <v>0.25</v>
          </cell>
          <cell r="AI1532">
            <v>0.25</v>
          </cell>
          <cell r="AJ1532">
            <v>0.25</v>
          </cell>
          <cell r="AK1532">
            <v>0.25</v>
          </cell>
          <cell r="AL1532">
            <v>0.25</v>
          </cell>
          <cell r="AM1532">
            <v>0.25</v>
          </cell>
          <cell r="AN1532">
            <v>0.25</v>
          </cell>
          <cell r="AO1532">
            <v>0.25</v>
          </cell>
          <cell r="AP1532">
            <v>0.25</v>
          </cell>
          <cell r="AQ1532">
            <v>0.25</v>
          </cell>
          <cell r="AR1532">
            <v>0.25</v>
          </cell>
          <cell r="AS1532">
            <v>0.25</v>
          </cell>
          <cell r="AT1532">
            <v>-0.04</v>
          </cell>
          <cell r="AU1532">
            <v>0.92</v>
          </cell>
          <cell r="AV1532">
            <v>20</v>
          </cell>
          <cell r="AY1532" t="str">
            <v/>
          </cell>
          <cell r="AZ1532">
            <v>0.25</v>
          </cell>
          <cell r="BA1532">
            <v>0.25</v>
          </cell>
        </row>
        <row r="1533">
          <cell r="A1533" t="str">
            <v>LU.PI SRL</v>
          </cell>
          <cell r="D1533" t="str">
            <v>C.SO V. EMANUELE III. 65</v>
          </cell>
          <cell r="E1533" t="str">
            <v>04016</v>
          </cell>
          <cell r="F1533" t="str">
            <v>SABAUDIA</v>
          </cell>
          <cell r="G1533" t="str">
            <v>LT</v>
          </cell>
          <cell r="H1533" t="str">
            <v>ITALIA</v>
          </cell>
          <cell r="J1533" t="str">
            <v>00987820594</v>
          </cell>
          <cell r="M1533" t="str">
            <v>UFFICIO ACQUISTI</v>
          </cell>
          <cell r="N1533" t="str">
            <v>0773 515010</v>
          </cell>
          <cell r="P1533" t="str">
            <v>lupicom@libero.it</v>
          </cell>
          <cell r="R1533" t="str">
            <v>BONIFICO BANCARIO, ALLA DATA DELLA NOSTRA CONFERMA D'ORDINE</v>
          </cell>
          <cell r="X1533">
            <v>0.2</v>
          </cell>
          <cell r="Y1533">
            <v>-0.04</v>
          </cell>
          <cell r="AB1533">
            <v>0.2</v>
          </cell>
          <cell r="AC1533">
            <v>0.2</v>
          </cell>
          <cell r="AD1533">
            <v>0.2</v>
          </cell>
          <cell r="AE1533">
            <v>0.2</v>
          </cell>
          <cell r="AF1533">
            <v>0.2</v>
          </cell>
          <cell r="AG1533">
            <v>0.2</v>
          </cell>
          <cell r="AH1533">
            <v>0.2</v>
          </cell>
          <cell r="AI1533">
            <v>0.2</v>
          </cell>
          <cell r="AJ1533">
            <v>0.2</v>
          </cell>
          <cell r="AK1533">
            <v>0.2</v>
          </cell>
          <cell r="AL1533">
            <v>0.2</v>
          </cell>
          <cell r="AM1533">
            <v>0.2</v>
          </cell>
          <cell r="AN1533">
            <v>0.2</v>
          </cell>
          <cell r="AO1533">
            <v>0.2</v>
          </cell>
          <cell r="AP1533">
            <v>0.2</v>
          </cell>
          <cell r="AQ1533">
            <v>0.2</v>
          </cell>
          <cell r="AR1533">
            <v>0.2</v>
          </cell>
          <cell r="AS1533">
            <v>0.2</v>
          </cell>
          <cell r="AT1533">
            <v>-0.04</v>
          </cell>
          <cell r="AU1533">
            <v>0.92</v>
          </cell>
          <cell r="AV1533">
            <v>20</v>
          </cell>
          <cell r="AZ1533">
            <v>0.2</v>
          </cell>
          <cell r="BA1533">
            <v>0.2</v>
          </cell>
        </row>
        <row r="1534">
          <cell r="A1534" t="str">
            <v>LUCA SANGALLI ARCHITETTO</v>
          </cell>
          <cell r="D1534" t="str">
            <v>VIA SAN LORENZO 28</v>
          </cell>
          <cell r="E1534">
            <v>20832</v>
          </cell>
          <cell r="F1534" t="str">
            <v>DESIO</v>
          </cell>
          <cell r="G1534" t="str">
            <v>MB</v>
          </cell>
          <cell r="H1534" t="str">
            <v>ITALIA</v>
          </cell>
          <cell r="J1534" t="str">
            <v>02404200962</v>
          </cell>
          <cell r="M1534" t="str">
            <v>UFFICIO ACQUISTI</v>
          </cell>
          <cell r="O1534" t="str">
            <v>329 5944530</v>
          </cell>
          <cell r="R1534" t="str">
            <v>BONIFICO BANCARIO, ALLA DATA DELLA NOSTRA CONFERMA D'ORDINE</v>
          </cell>
          <cell r="X1534">
            <v>0.25</v>
          </cell>
          <cell r="Y1534">
            <v>-0.04</v>
          </cell>
          <cell r="AB1534">
            <v>0.25</v>
          </cell>
          <cell r="AC1534">
            <v>0.25</v>
          </cell>
          <cell r="AD1534">
            <v>0.25</v>
          </cell>
          <cell r="AE1534">
            <v>0.25</v>
          </cell>
          <cell r="AF1534">
            <v>0.25</v>
          </cell>
          <cell r="AG1534">
            <v>0.25</v>
          </cell>
          <cell r="AH1534">
            <v>0.25</v>
          </cell>
          <cell r="AI1534">
            <v>0.25</v>
          </cell>
          <cell r="AJ1534">
            <v>0.25</v>
          </cell>
          <cell r="AK1534">
            <v>0.25</v>
          </cell>
          <cell r="AL1534">
            <v>0.25</v>
          </cell>
          <cell r="AM1534">
            <v>0.25</v>
          </cell>
          <cell r="AN1534">
            <v>0.25</v>
          </cell>
          <cell r="AO1534">
            <v>0.25</v>
          </cell>
          <cell r="AP1534">
            <v>0.25</v>
          </cell>
          <cell r="AQ1534">
            <v>0.25</v>
          </cell>
          <cell r="AR1534">
            <v>0.25</v>
          </cell>
          <cell r="AS1534">
            <v>0.25</v>
          </cell>
          <cell r="AT1534">
            <v>-0.04</v>
          </cell>
          <cell r="AU1534">
            <v>0.92</v>
          </cell>
          <cell r="AV1534">
            <v>20</v>
          </cell>
          <cell r="AY1534" t="str">
            <v/>
          </cell>
          <cell r="AZ1534">
            <v>0.25</v>
          </cell>
          <cell r="BA1534">
            <v>0.25</v>
          </cell>
        </row>
        <row r="1535">
          <cell r="A1535" t="str">
            <v>LUCANI FABBRI</v>
          </cell>
          <cell r="D1535" t="str">
            <v>VIA TRAVERSANTE S.LEONARDO, 17 A</v>
          </cell>
          <cell r="E1535">
            <v>43122</v>
          </cell>
          <cell r="F1535" t="str">
            <v>PARMA</v>
          </cell>
          <cell r="G1535" t="str">
            <v>PR</v>
          </cell>
          <cell r="H1535" t="str">
            <v>ITALIA</v>
          </cell>
          <cell r="M1535" t="str">
            <v>UFFICIO ACQUISTI</v>
          </cell>
          <cell r="N1535" t="str">
            <v>0521 272543</v>
          </cell>
          <cell r="O1535" t="str">
            <v>A. Gadina 335 5316666</v>
          </cell>
          <cell r="P1535" t="str">
            <v>amministrazione@lucani.com</v>
          </cell>
          <cell r="R1535" t="str">
            <v>BONIFICO BANCARIO, ALLA DATA DELLA NOSTRA CONFERMA D'ORDINE</v>
          </cell>
          <cell r="X1535">
            <v>0.25</v>
          </cell>
          <cell r="Y1535">
            <v>-0.04</v>
          </cell>
          <cell r="AB1535">
            <v>0.25</v>
          </cell>
          <cell r="AC1535">
            <v>0.25</v>
          </cell>
          <cell r="AD1535">
            <v>0.25</v>
          </cell>
          <cell r="AE1535">
            <v>0.25</v>
          </cell>
          <cell r="AF1535">
            <v>0.25</v>
          </cell>
          <cell r="AG1535">
            <v>0.25</v>
          </cell>
          <cell r="AH1535">
            <v>0.25</v>
          </cell>
          <cell r="AI1535">
            <v>0.25</v>
          </cell>
          <cell r="AJ1535">
            <v>0.25</v>
          </cell>
          <cell r="AK1535">
            <v>0.25</v>
          </cell>
          <cell r="AL1535">
            <v>0.25</v>
          </cell>
          <cell r="AM1535">
            <v>0.25</v>
          </cell>
          <cell r="AN1535">
            <v>0.25</v>
          </cell>
          <cell r="AO1535">
            <v>0.25</v>
          </cell>
          <cell r="AP1535">
            <v>0.25</v>
          </cell>
          <cell r="AQ1535">
            <v>0.25</v>
          </cell>
          <cell r="AR1535">
            <v>0.25</v>
          </cell>
          <cell r="AS1535">
            <v>0.25</v>
          </cell>
          <cell r="AT1535">
            <v>-0.04</v>
          </cell>
          <cell r="AU1535">
            <v>0.92</v>
          </cell>
          <cell r="AV1535">
            <v>20</v>
          </cell>
          <cell r="AZ1535">
            <v>0.25</v>
          </cell>
          <cell r="BA1535">
            <v>0.25</v>
          </cell>
        </row>
        <row r="1536">
          <cell r="A1536" t="str">
            <v>LUCASAM SRL</v>
          </cell>
          <cell r="D1536" t="str">
            <v>VIA UDINE 128</v>
          </cell>
          <cell r="E1536" t="str">
            <v>33170</v>
          </cell>
          <cell r="F1536" t="str">
            <v>PORDENONE</v>
          </cell>
          <cell r="G1536" t="str">
            <v>PN</v>
          </cell>
          <cell r="H1536" t="str">
            <v>ITALIA</v>
          </cell>
          <cell r="M1536" t="str">
            <v>UFFICIO ACQUISTI</v>
          </cell>
          <cell r="N1536" t="str">
            <v>0434 522514</v>
          </cell>
          <cell r="P1536" t="str">
            <v>info@lucasam.com</v>
          </cell>
          <cell r="R1536" t="str">
            <v>BONIFICO BANCARIO, ALLA DATA DELLA NOSTRA CONFERMA D'ORDINE</v>
          </cell>
          <cell r="X1536">
            <v>0.25</v>
          </cell>
          <cell r="Y1536">
            <v>-0.04</v>
          </cell>
          <cell r="AB1536">
            <v>0.25</v>
          </cell>
          <cell r="AC1536">
            <v>0.25</v>
          </cell>
          <cell r="AD1536">
            <v>0.25</v>
          </cell>
          <cell r="AE1536">
            <v>0.25</v>
          </cell>
          <cell r="AF1536">
            <v>0.25</v>
          </cell>
          <cell r="AG1536">
            <v>0.25</v>
          </cell>
          <cell r="AH1536">
            <v>0.25</v>
          </cell>
          <cell r="AI1536">
            <v>0.25</v>
          </cell>
          <cell r="AJ1536">
            <v>0.25</v>
          </cell>
          <cell r="AK1536">
            <v>0.25</v>
          </cell>
          <cell r="AL1536">
            <v>0.25</v>
          </cell>
          <cell r="AM1536">
            <v>0.25</v>
          </cell>
          <cell r="AN1536">
            <v>0.25</v>
          </cell>
          <cell r="AO1536">
            <v>0.25</v>
          </cell>
          <cell r="AP1536">
            <v>0.25</v>
          </cell>
          <cell r="AQ1536">
            <v>0.25</v>
          </cell>
          <cell r="AR1536">
            <v>0.25</v>
          </cell>
          <cell r="AS1536">
            <v>0.25</v>
          </cell>
          <cell r="AT1536">
            <v>-0.04</v>
          </cell>
          <cell r="AU1536">
            <v>0.92</v>
          </cell>
          <cell r="AV1536">
            <v>20</v>
          </cell>
          <cell r="AY1536" t="str">
            <v/>
          </cell>
          <cell r="AZ1536">
            <v>0.25</v>
          </cell>
          <cell r="BA1536">
            <v>0.25</v>
          </cell>
        </row>
        <row r="1537">
          <cell r="A1537" t="str">
            <v>LUIGI BIRAGHI GEOMETRA</v>
          </cell>
          <cell r="D1537" t="str">
            <v>VIA BRESCIA 48</v>
          </cell>
          <cell r="E1537">
            <v>25075</v>
          </cell>
          <cell r="F1537" t="str">
            <v>NAVE</v>
          </cell>
          <cell r="G1537" t="str">
            <v>BS</v>
          </cell>
          <cell r="H1537" t="str">
            <v>ITALIA</v>
          </cell>
          <cell r="J1537" t="str">
            <v>03090700984</v>
          </cell>
          <cell r="M1537" t="str">
            <v>UFFICIO ACQUISTI</v>
          </cell>
          <cell r="N1537" t="str">
            <v>030 2533115</v>
          </cell>
          <cell r="P1537" t="str">
            <v>geom.biraghi@gmail.com</v>
          </cell>
          <cell r="R1537" t="str">
            <v>BONIFICO BANCARIO, ALLA DATA DELLA NOSTRA CONFERMA D'ORDINE</v>
          </cell>
          <cell r="X1537">
            <v>0.2</v>
          </cell>
          <cell r="Y1537">
            <v>-0.04</v>
          </cell>
          <cell r="AB1537">
            <v>0.2</v>
          </cell>
          <cell r="AC1537">
            <v>0.2</v>
          </cell>
          <cell r="AD1537">
            <v>0.2</v>
          </cell>
          <cell r="AE1537">
            <v>0.2</v>
          </cell>
          <cell r="AF1537">
            <v>0.2</v>
          </cell>
          <cell r="AG1537">
            <v>0.2</v>
          </cell>
          <cell r="AH1537">
            <v>0.2</v>
          </cell>
          <cell r="AI1537">
            <v>0.2</v>
          </cell>
          <cell r="AJ1537">
            <v>0.2</v>
          </cell>
          <cell r="AK1537">
            <v>0.2</v>
          </cell>
          <cell r="AL1537">
            <v>0.2</v>
          </cell>
          <cell r="AM1537">
            <v>0.2</v>
          </cell>
          <cell r="AN1537">
            <v>0.2</v>
          </cell>
          <cell r="AO1537">
            <v>0.2</v>
          </cell>
          <cell r="AP1537">
            <v>0.2</v>
          </cell>
          <cell r="AQ1537">
            <v>0.2</v>
          </cell>
          <cell r="AR1537">
            <v>0.2</v>
          </cell>
          <cell r="AS1537">
            <v>0.2</v>
          </cell>
          <cell r="AT1537">
            <v>-0.04</v>
          </cell>
          <cell r="AU1537">
            <v>0.92</v>
          </cell>
          <cell r="AV1537">
            <v>20</v>
          </cell>
          <cell r="AY1537" t="str">
            <v/>
          </cell>
          <cell r="AZ1537">
            <v>0.2</v>
          </cell>
          <cell r="BA1537">
            <v>0.2</v>
          </cell>
        </row>
        <row r="1538">
          <cell r="A1538" t="str">
            <v xml:space="preserve">LUIGI TASSELLI </v>
          </cell>
          <cell r="D1538" t="str">
            <v>VIA L.STURZO, 5</v>
          </cell>
          <cell r="E1538" t="str">
            <v>70043</v>
          </cell>
          <cell r="F1538" t="str">
            <v>MONOPOLI</v>
          </cell>
          <cell r="G1538" t="str">
            <v>BA</v>
          </cell>
          <cell r="H1538" t="str">
            <v>ITALIA</v>
          </cell>
          <cell r="M1538" t="str">
            <v>UFFICIO ACQUISTI</v>
          </cell>
          <cell r="O1538" t="str">
            <v>338 7442049</v>
          </cell>
          <cell r="P1538" t="str">
            <v>info@lfpuntoinfissi.it</v>
          </cell>
          <cell r="R1538" t="str">
            <v>BONIFICO BANCARIO, ALLA DATA DELLA NOSTRA CONFERMA D'ORDINE</v>
          </cell>
          <cell r="X1538">
            <v>0.25</v>
          </cell>
          <cell r="Y1538">
            <v>-0.04</v>
          </cell>
          <cell r="AB1538">
            <v>0.25</v>
          </cell>
          <cell r="AC1538">
            <v>0.25</v>
          </cell>
          <cell r="AD1538">
            <v>0.25</v>
          </cell>
          <cell r="AE1538">
            <v>0.25</v>
          </cell>
          <cell r="AF1538">
            <v>0.25</v>
          </cell>
          <cell r="AG1538">
            <v>0.25</v>
          </cell>
          <cell r="AH1538">
            <v>0.25</v>
          </cell>
          <cell r="AI1538">
            <v>0.25</v>
          </cell>
          <cell r="AJ1538">
            <v>0.25</v>
          </cell>
          <cell r="AK1538">
            <v>0.25</v>
          </cell>
          <cell r="AL1538">
            <v>0.25</v>
          </cell>
          <cell r="AM1538">
            <v>0.25</v>
          </cell>
          <cell r="AN1538">
            <v>0.25</v>
          </cell>
          <cell r="AO1538">
            <v>0.25</v>
          </cell>
          <cell r="AP1538">
            <v>0.25</v>
          </cell>
          <cell r="AQ1538">
            <v>0.25</v>
          </cell>
          <cell r="AR1538">
            <v>0.25</v>
          </cell>
          <cell r="AS1538">
            <v>0.25</v>
          </cell>
          <cell r="AT1538">
            <v>-0.04</v>
          </cell>
          <cell r="AU1538">
            <v>0.92</v>
          </cell>
          <cell r="AV1538">
            <v>20</v>
          </cell>
          <cell r="AZ1538">
            <v>0.25</v>
          </cell>
          <cell r="BA1538">
            <v>0.25</v>
          </cell>
        </row>
        <row r="1539">
          <cell r="A1539" t="str">
            <v>LUPINU INNOVART SRL</v>
          </cell>
          <cell r="D1539" t="str">
            <v>VIA GRAZIA DELEDDA, 131</v>
          </cell>
          <cell r="E1539" t="str">
            <v>08028</v>
          </cell>
          <cell r="F1539" t="str">
            <v>OROSEI</v>
          </cell>
          <cell r="G1539" t="str">
            <v>NU</v>
          </cell>
          <cell r="H1539" t="str">
            <v>ITALIA</v>
          </cell>
          <cell r="J1539" t="str">
            <v>02440160917</v>
          </cell>
          <cell r="K1539" t="str">
            <v>USAL8PV</v>
          </cell>
          <cell r="M1539" t="str">
            <v>UFFICIO ACQUISTI</v>
          </cell>
          <cell r="O1539" t="str">
            <v>348 3703680 PAOLO LANGIU</v>
          </cell>
          <cell r="P1539" t="str">
            <v>www.lupinuinnovart.it</v>
          </cell>
          <cell r="R1539" t="str">
            <v>BONIFICO BANCARIO, ALLA DATA DELLA NOSTRA CONFERMA D'ORDINE</v>
          </cell>
          <cell r="X1539">
            <v>0.2</v>
          </cell>
          <cell r="Y1539">
            <v>-0.04</v>
          </cell>
          <cell r="AB1539">
            <v>0.2</v>
          </cell>
          <cell r="AC1539">
            <v>0.2</v>
          </cell>
          <cell r="AD1539">
            <v>0.2</v>
          </cell>
          <cell r="AE1539">
            <v>0.2</v>
          </cell>
          <cell r="AF1539">
            <v>0.2</v>
          </cell>
          <cell r="AG1539">
            <v>0.2</v>
          </cell>
          <cell r="AH1539">
            <v>0.2</v>
          </cell>
          <cell r="AI1539">
            <v>0.2</v>
          </cell>
          <cell r="AJ1539">
            <v>0.2</v>
          </cell>
          <cell r="AK1539">
            <v>0.2</v>
          </cell>
          <cell r="AL1539">
            <v>0.2</v>
          </cell>
          <cell r="AM1539">
            <v>0.2</v>
          </cell>
          <cell r="AN1539">
            <v>0.2</v>
          </cell>
          <cell r="AO1539">
            <v>0.2</v>
          </cell>
          <cell r="AP1539">
            <v>0.2</v>
          </cell>
          <cell r="AQ1539">
            <v>0.2</v>
          </cell>
          <cell r="AR1539">
            <v>0.2</v>
          </cell>
          <cell r="AS1539">
            <v>0.2</v>
          </cell>
          <cell r="AT1539">
            <v>-0.04</v>
          </cell>
          <cell r="AU1539">
            <v>0.92</v>
          </cell>
          <cell r="AV1539">
            <v>20</v>
          </cell>
          <cell r="AZ1539">
            <v>0.2</v>
          </cell>
          <cell r="BA1539">
            <v>0.2</v>
          </cell>
        </row>
        <row r="1540">
          <cell r="A1540" t="str">
            <v>LUSARDI MARIO E C. SAS</v>
          </cell>
          <cell r="B1540" t="str">
            <v>MANDO FILMATO - BUONI</v>
          </cell>
          <cell r="D1540" t="str">
            <v>VIA RAMPINA DI S.GIORGIO, 7</v>
          </cell>
          <cell r="E1540" t="str">
            <v>25018</v>
          </cell>
          <cell r="F1540" t="str">
            <v>MONTICHIARI</v>
          </cell>
          <cell r="G1540" t="str">
            <v>BS</v>
          </cell>
          <cell r="H1540" t="str">
            <v>ITALIA</v>
          </cell>
          <cell r="M1540" t="str">
            <v>UFFICIO ACQUISTI</v>
          </cell>
          <cell r="N1540" t="str">
            <v>030 9962320</v>
          </cell>
          <cell r="O1540" t="str">
            <v>335 6766498 - 339 4253141 MAURO</v>
          </cell>
          <cell r="P1540" t="str">
            <v>lusardiserramenti@alice.it</v>
          </cell>
          <cell r="R1540" t="str">
            <v>BONIFICO BANCARIO, ALLA DATA DELLA NOSTRA CONFERMA D'ORDINE</v>
          </cell>
          <cell r="Y1540">
            <v>-0.04</v>
          </cell>
          <cell r="AT1540">
            <v>-0.04</v>
          </cell>
          <cell r="AV1540">
            <v>20</v>
          </cell>
          <cell r="AZ1540">
            <v>0</v>
          </cell>
          <cell r="BA1540">
            <v>0</v>
          </cell>
        </row>
        <row r="1541">
          <cell r="A1541" t="str">
            <v>LUSETTE SRL</v>
          </cell>
          <cell r="B1541" t="str">
            <v xml:space="preserve">AMICO INTIMO DI COSTANTINO TRILLO </v>
          </cell>
          <cell r="D1541" t="str">
            <v>VIA GIUSEPPE PIERMARINI, 18</v>
          </cell>
          <cell r="E1541" t="str">
            <v>06132</v>
          </cell>
          <cell r="F1541" t="str">
            <v>PERUGIIA</v>
          </cell>
          <cell r="G1541" t="str">
            <v>PG</v>
          </cell>
          <cell r="H1541" t="str">
            <v>ITALIA</v>
          </cell>
          <cell r="M1541" t="str">
            <v>UFFICIO ACQUISTI</v>
          </cell>
          <cell r="N1541" t="str">
            <v>075 5292262</v>
          </cell>
          <cell r="R1541" t="str">
            <v>BONIFICO BANCARIO, ALLA DATA DELLA NOSTRA CONFERMA D'ORDINE</v>
          </cell>
          <cell r="X1541">
            <v>0.25</v>
          </cell>
          <cell r="Y1541">
            <v>-0.04</v>
          </cell>
          <cell r="AB1541">
            <v>0.25</v>
          </cell>
          <cell r="AC1541">
            <v>0.25</v>
          </cell>
          <cell r="AD1541">
            <v>0.25</v>
          </cell>
          <cell r="AE1541">
            <v>0.25</v>
          </cell>
          <cell r="AF1541">
            <v>0.25</v>
          </cell>
          <cell r="AG1541">
            <v>0.25</v>
          </cell>
          <cell r="AH1541">
            <v>0.25</v>
          </cell>
          <cell r="AI1541">
            <v>0.25</v>
          </cell>
          <cell r="AJ1541">
            <v>0.25</v>
          </cell>
          <cell r="AK1541">
            <v>0.25</v>
          </cell>
          <cell r="AL1541">
            <v>0.25</v>
          </cell>
          <cell r="AM1541">
            <v>0.25</v>
          </cell>
          <cell r="AN1541">
            <v>0.25</v>
          </cell>
          <cell r="AO1541">
            <v>0.25</v>
          </cell>
          <cell r="AP1541">
            <v>0.25</v>
          </cell>
          <cell r="AQ1541">
            <v>0.25</v>
          </cell>
          <cell r="AR1541">
            <v>0.25</v>
          </cell>
          <cell r="AS1541">
            <v>0.25</v>
          </cell>
          <cell r="AT1541">
            <v>-0.04</v>
          </cell>
          <cell r="AU1541">
            <v>0.92</v>
          </cell>
          <cell r="AV1541">
            <v>20</v>
          </cell>
          <cell r="AZ1541">
            <v>0.25</v>
          </cell>
          <cell r="BA1541">
            <v>0.25</v>
          </cell>
        </row>
        <row r="1542">
          <cell r="A1542" t="str">
            <v>LUX INFISSI S.A.S.</v>
          </cell>
          <cell r="C1542" t="str">
            <v>SP1</v>
          </cell>
          <cell r="D1542" t="str">
            <v>LOC. ARSINA, 5</v>
          </cell>
          <cell r="E1542" t="str">
            <v>19020</v>
          </cell>
          <cell r="F1542" t="str">
            <v>CARRODANO</v>
          </cell>
          <cell r="G1542" t="str">
            <v>SP</v>
          </cell>
          <cell r="H1542" t="str">
            <v>ITALIA</v>
          </cell>
          <cell r="I1542" t="str">
            <v>01241360112</v>
          </cell>
          <cell r="J1542" t="str">
            <v>01241360112</v>
          </cell>
          <cell r="L1542" t="str">
            <v>LOC. CAMPI Z.I. 19020 - CARRODANO - SP</v>
          </cell>
          <cell r="M1542" t="str">
            <v>UFFICIO ACQUISTI</v>
          </cell>
          <cell r="N1542" t="str">
            <v>0187 893574</v>
          </cell>
          <cell r="P1542" t="str">
            <v>luxinfissi@gmail.com</v>
          </cell>
          <cell r="R1542" t="str">
            <v>BONIFICO BANCARIO, ALLA DATA DELLA NOSTRA CONFERMA D'ORDINE</v>
          </cell>
          <cell r="X1542">
            <v>0.25</v>
          </cell>
          <cell r="Y1542">
            <v>-0.04</v>
          </cell>
          <cell r="AB1542">
            <v>0.25</v>
          </cell>
          <cell r="AC1542">
            <v>0.25</v>
          </cell>
          <cell r="AD1542">
            <v>0.25</v>
          </cell>
          <cell r="AE1542">
            <v>0.25</v>
          </cell>
          <cell r="AF1542">
            <v>0.25</v>
          </cell>
          <cell r="AG1542">
            <v>0.25</v>
          </cell>
          <cell r="AH1542">
            <v>0.25</v>
          </cell>
          <cell r="AI1542">
            <v>0.25</v>
          </cell>
          <cell r="AJ1542">
            <v>0.25</v>
          </cell>
          <cell r="AK1542">
            <v>0.25</v>
          </cell>
          <cell r="AL1542">
            <v>0.25</v>
          </cell>
          <cell r="AM1542">
            <v>0.25</v>
          </cell>
          <cell r="AN1542">
            <v>0.25</v>
          </cell>
          <cell r="AO1542">
            <v>0.25</v>
          </cell>
          <cell r="AP1542">
            <v>0.25</v>
          </cell>
          <cell r="AQ1542">
            <v>0.25</v>
          </cell>
          <cell r="AR1542">
            <v>0.25</v>
          </cell>
          <cell r="AS1542">
            <v>0.25</v>
          </cell>
          <cell r="AT1542">
            <v>-0.04</v>
          </cell>
          <cell r="AU1542">
            <v>0.92</v>
          </cell>
          <cell r="AV1542">
            <v>20</v>
          </cell>
          <cell r="AY1542" t="str">
            <v/>
          </cell>
          <cell r="AZ1542">
            <v>0.25</v>
          </cell>
          <cell r="BA1542">
            <v>0.25</v>
          </cell>
        </row>
        <row r="1543">
          <cell r="A1543" t="str">
            <v>M + M DI MANTO MAURO E C. S.N.C.</v>
          </cell>
          <cell r="D1543" t="str">
            <v>VIA PERGINE, 5</v>
          </cell>
          <cell r="E1543">
            <v>21100</v>
          </cell>
          <cell r="F1543" t="str">
            <v>VARESE</v>
          </cell>
          <cell r="G1543" t="str">
            <v>VA</v>
          </cell>
          <cell r="H1543" t="str">
            <v>ITALIA</v>
          </cell>
          <cell r="J1543" t="str">
            <v>01277170120</v>
          </cell>
          <cell r="K1543" t="str">
            <v>M5UXCR1</v>
          </cell>
          <cell r="M1543" t="str">
            <v>UFFICIO ACQUISTI</v>
          </cell>
          <cell r="N1543" t="str">
            <v>0332 330151</v>
          </cell>
          <cell r="O1543" t="str">
            <v>335 8241754 GOEM. MANTO MAURO</v>
          </cell>
          <cell r="P1543" t="str">
            <v>info@mpium.it</v>
          </cell>
          <cell r="R1543" t="str">
            <v>BONIFICO BANCARIO, ALLA DATA DELLA NOSTRA CONFERMA D'ORDINE</v>
          </cell>
          <cell r="X1543">
            <v>0.25</v>
          </cell>
          <cell r="Y1543">
            <v>-0.04</v>
          </cell>
          <cell r="AB1543">
            <v>0.25</v>
          </cell>
          <cell r="AC1543">
            <v>0.25</v>
          </cell>
          <cell r="AD1543">
            <v>0.25</v>
          </cell>
          <cell r="AE1543">
            <v>0.25</v>
          </cell>
          <cell r="AF1543">
            <v>0.25</v>
          </cell>
          <cell r="AG1543">
            <v>0.25</v>
          </cell>
          <cell r="AH1543">
            <v>0.25</v>
          </cell>
          <cell r="AI1543">
            <v>0.25</v>
          </cell>
          <cell r="AJ1543">
            <v>0.25</v>
          </cell>
          <cell r="AK1543">
            <v>0.25</v>
          </cell>
          <cell r="AL1543">
            <v>0.25</v>
          </cell>
          <cell r="AM1543">
            <v>0.25</v>
          </cell>
          <cell r="AN1543">
            <v>0.25</v>
          </cell>
          <cell r="AO1543">
            <v>0.25</v>
          </cell>
          <cell r="AP1543">
            <v>0.25</v>
          </cell>
          <cell r="AQ1543">
            <v>0.25</v>
          </cell>
          <cell r="AR1543">
            <v>0.25</v>
          </cell>
          <cell r="AS1543">
            <v>0.25</v>
          </cell>
          <cell r="AT1543">
            <v>-0.04</v>
          </cell>
          <cell r="AU1543">
            <v>0.92</v>
          </cell>
          <cell r="AV1543">
            <v>20</v>
          </cell>
          <cell r="AY1543" t="str">
            <v/>
          </cell>
          <cell r="AZ1543">
            <v>0.25</v>
          </cell>
          <cell r="BA1543">
            <v>0.25</v>
          </cell>
          <cell r="BF1543" t="str">
            <v>CLICK RAPID con carpenteria 07/01/2021</v>
          </cell>
        </row>
        <row r="1544">
          <cell r="A1544" t="str">
            <v>M ARCO INFISSI DI MARCO SPANU &amp; C.SAS</v>
          </cell>
          <cell r="B1544" t="str">
            <v>MARCO SPANU</v>
          </cell>
          <cell r="D1544" t="str">
            <v>Z.I.PREDDA NEDDA/STRADA 27</v>
          </cell>
          <cell r="E1544" t="str">
            <v>07100</v>
          </cell>
          <cell r="F1544" t="str">
            <v>SASSARI</v>
          </cell>
          <cell r="G1544" t="str">
            <v>SS</v>
          </cell>
          <cell r="H1544" t="str">
            <v>ITALIA</v>
          </cell>
          <cell r="M1544" t="str">
            <v>UFFICIO ACQUISTI</v>
          </cell>
          <cell r="N1544" t="str">
            <v>079 2676002</v>
          </cell>
          <cell r="O1544" t="str">
            <v>340 5731775 MARCO SPANU</v>
          </cell>
          <cell r="P1544" t="str">
            <v>m.arcoinfissi@libero.it</v>
          </cell>
          <cell r="R1544" t="str">
            <v>BONIFICO BANCARIO, ALLA DATA DELLA NOSTRA CONFERMA D'ORDINE</v>
          </cell>
          <cell r="X1544">
            <v>0.2</v>
          </cell>
          <cell r="Y1544">
            <v>-0.04</v>
          </cell>
          <cell r="AB1544">
            <v>0.2</v>
          </cell>
          <cell r="AC1544">
            <v>0.2</v>
          </cell>
          <cell r="AD1544">
            <v>0.2</v>
          </cell>
          <cell r="AE1544">
            <v>0.2</v>
          </cell>
          <cell r="AF1544">
            <v>0.2</v>
          </cell>
          <cell r="AG1544">
            <v>0.2</v>
          </cell>
          <cell r="AH1544">
            <v>0.2</v>
          </cell>
          <cell r="AI1544">
            <v>0.2</v>
          </cell>
          <cell r="AJ1544">
            <v>0.2</v>
          </cell>
          <cell r="AK1544">
            <v>0.2</v>
          </cell>
          <cell r="AL1544">
            <v>0.2</v>
          </cell>
          <cell r="AM1544">
            <v>0.2</v>
          </cell>
          <cell r="AN1544">
            <v>0.2</v>
          </cell>
          <cell r="AO1544">
            <v>0.2</v>
          </cell>
          <cell r="AP1544">
            <v>0.2</v>
          </cell>
          <cell r="AQ1544">
            <v>0.2</v>
          </cell>
          <cell r="AR1544">
            <v>0.2</v>
          </cell>
          <cell r="AS1544">
            <v>0.2</v>
          </cell>
          <cell r="AT1544">
            <v>-0.04</v>
          </cell>
          <cell r="AU1544">
            <v>0.92</v>
          </cell>
          <cell r="AV1544">
            <v>20</v>
          </cell>
          <cell r="AZ1544">
            <v>0.2</v>
          </cell>
          <cell r="BA1544">
            <v>0.2</v>
          </cell>
        </row>
        <row r="1545">
          <cell r="A1545" t="str">
            <v>M LUISOTTI MARCO</v>
          </cell>
          <cell r="D1545" t="str">
            <v>VIA AURELIA 2</v>
          </cell>
          <cell r="E1545" t="str">
            <v>54033</v>
          </cell>
          <cell r="F1545" t="str">
            <v xml:space="preserve">CARRARA </v>
          </cell>
          <cell r="G1545" t="str">
            <v>MS</v>
          </cell>
          <cell r="H1545" t="str">
            <v>ITALIA</v>
          </cell>
          <cell r="J1545" t="str">
            <v>00189100456</v>
          </cell>
          <cell r="M1545" t="str">
            <v>UFFICIO ACQUISTI</v>
          </cell>
          <cell r="N1545" t="str">
            <v>0585 52325</v>
          </cell>
          <cell r="R1545" t="str">
            <v>BONIFICO BANCARIO, ALLA DATA DELLA NOSTRA CONFERMA D'ORDINE</v>
          </cell>
          <cell r="X1545">
            <v>0.2</v>
          </cell>
          <cell r="Y1545">
            <v>-0.04</v>
          </cell>
          <cell r="AB1545">
            <v>0.2</v>
          </cell>
          <cell r="AC1545">
            <v>0.2</v>
          </cell>
          <cell r="AD1545">
            <v>0.2</v>
          </cell>
          <cell r="AE1545">
            <v>0.2</v>
          </cell>
          <cell r="AF1545">
            <v>0.2</v>
          </cell>
          <cell r="AG1545">
            <v>0.2</v>
          </cell>
          <cell r="AH1545">
            <v>0.2</v>
          </cell>
          <cell r="AI1545">
            <v>0.2</v>
          </cell>
          <cell r="AJ1545">
            <v>0.2</v>
          </cell>
          <cell r="AK1545">
            <v>0.2</v>
          </cell>
          <cell r="AL1545">
            <v>0.2</v>
          </cell>
          <cell r="AM1545">
            <v>0.2</v>
          </cell>
          <cell r="AN1545">
            <v>0.2</v>
          </cell>
          <cell r="AO1545">
            <v>0.2</v>
          </cell>
          <cell r="AP1545">
            <v>0.2</v>
          </cell>
          <cell r="AQ1545">
            <v>0.2</v>
          </cell>
          <cell r="AR1545">
            <v>0.2</v>
          </cell>
          <cell r="AS1545">
            <v>0.2</v>
          </cell>
          <cell r="AT1545">
            <v>-0.04</v>
          </cell>
          <cell r="AU1545">
            <v>0.92</v>
          </cell>
          <cell r="AV1545">
            <v>20</v>
          </cell>
          <cell r="AY1545" t="str">
            <v/>
          </cell>
          <cell r="AZ1545">
            <v>0.2</v>
          </cell>
          <cell r="BA1545">
            <v>0.2</v>
          </cell>
        </row>
        <row r="1546">
          <cell r="A1546" t="str">
            <v>M PIUM SERRAMENTI</v>
          </cell>
          <cell r="D1546" t="str">
            <v>VIA PERGINE, 5</v>
          </cell>
          <cell r="E1546">
            <v>21100</v>
          </cell>
          <cell r="F1546" t="str">
            <v>VARESE</v>
          </cell>
          <cell r="G1546" t="str">
            <v>VA</v>
          </cell>
          <cell r="H1546" t="str">
            <v>ITALIA</v>
          </cell>
          <cell r="J1546" t="str">
            <v>01277170120</v>
          </cell>
          <cell r="K1546" t="str">
            <v>M5UXCR1</v>
          </cell>
          <cell r="M1546" t="str">
            <v>UFFICIO ACQUISTI</v>
          </cell>
          <cell r="N1546" t="str">
            <v>0332 330151</v>
          </cell>
          <cell r="P1546" t="str">
            <v>info@npium.it</v>
          </cell>
          <cell r="R1546" t="str">
            <v>BONIFICO BANCARIO, ALLA DATA DELLA NOSTRA CONFERMA D'ORDINE</v>
          </cell>
          <cell r="X1546">
            <v>0.25</v>
          </cell>
          <cell r="Y1546">
            <v>-0.04</v>
          </cell>
          <cell r="AB1546">
            <v>0.25</v>
          </cell>
          <cell r="AC1546">
            <v>0.25</v>
          </cell>
          <cell r="AD1546">
            <v>0.25</v>
          </cell>
          <cell r="AE1546">
            <v>0.25</v>
          </cell>
          <cell r="AF1546">
            <v>0.25</v>
          </cell>
          <cell r="AG1546">
            <v>0.25</v>
          </cell>
          <cell r="AH1546">
            <v>0.25</v>
          </cell>
          <cell r="AI1546">
            <v>0.25</v>
          </cell>
          <cell r="AJ1546">
            <v>0.25</v>
          </cell>
          <cell r="AK1546">
            <v>0.25</v>
          </cell>
          <cell r="AL1546">
            <v>0.25</v>
          </cell>
          <cell r="AM1546">
            <v>0.25</v>
          </cell>
          <cell r="AN1546">
            <v>0.25</v>
          </cell>
          <cell r="AO1546">
            <v>0.25</v>
          </cell>
          <cell r="AP1546">
            <v>0.25</v>
          </cell>
          <cell r="AQ1546">
            <v>0.25</v>
          </cell>
          <cell r="AR1546">
            <v>0.25</v>
          </cell>
          <cell r="AS1546">
            <v>0.25</v>
          </cell>
          <cell r="AT1546">
            <v>-0.04</v>
          </cell>
          <cell r="AU1546">
            <v>0.92</v>
          </cell>
          <cell r="AV1546">
            <v>20</v>
          </cell>
          <cell r="AY1546" t="str">
            <v/>
          </cell>
          <cell r="AZ1546">
            <v>0.25</v>
          </cell>
          <cell r="BA1546">
            <v>0.25</v>
          </cell>
        </row>
        <row r="1547">
          <cell r="A1547" t="str">
            <v>M. &amp; M. SRL</v>
          </cell>
          <cell r="D1547" t="str">
            <v>VIA DELLE PALME 37</v>
          </cell>
          <cell r="E1547" t="str">
            <v>55041</v>
          </cell>
          <cell r="F1547" t="str">
            <v>CAMAIORE</v>
          </cell>
          <cell r="G1547" t="str">
            <v>LU</v>
          </cell>
          <cell r="H1547" t="str">
            <v>ITALIA</v>
          </cell>
          <cell r="M1547" t="str">
            <v>UFFICIO ACQUISTI</v>
          </cell>
          <cell r="N1547" t="str">
            <v>334 3957887</v>
          </cell>
          <cell r="R1547" t="str">
            <v>BONIFICO BANCARIO, ALLA DATA DELLA NOSTRA CONFERMA D'ORDINE</v>
          </cell>
          <cell r="X1547">
            <v>0.25</v>
          </cell>
          <cell r="Y1547">
            <v>-0.04</v>
          </cell>
          <cell r="AB1547">
            <v>0.25</v>
          </cell>
          <cell r="AC1547">
            <v>0.25</v>
          </cell>
          <cell r="AD1547">
            <v>0.25</v>
          </cell>
          <cell r="AE1547">
            <v>0.25</v>
          </cell>
          <cell r="AF1547">
            <v>0.25</v>
          </cell>
          <cell r="AG1547">
            <v>0.25</v>
          </cell>
          <cell r="AH1547">
            <v>0.25</v>
          </cell>
          <cell r="AI1547">
            <v>0.25</v>
          </cell>
          <cell r="AJ1547">
            <v>0.25</v>
          </cell>
          <cell r="AK1547">
            <v>0.25</v>
          </cell>
          <cell r="AL1547">
            <v>0.25</v>
          </cell>
          <cell r="AM1547">
            <v>0.25</v>
          </cell>
          <cell r="AN1547">
            <v>0.25</v>
          </cell>
          <cell r="AO1547">
            <v>0.25</v>
          </cell>
          <cell r="AP1547">
            <v>0.25</v>
          </cell>
          <cell r="AQ1547">
            <v>0.25</v>
          </cell>
          <cell r="AR1547">
            <v>0.25</v>
          </cell>
          <cell r="AS1547">
            <v>0.25</v>
          </cell>
          <cell r="AT1547">
            <v>-0.04</v>
          </cell>
          <cell r="AU1547">
            <v>0.92</v>
          </cell>
          <cell r="AV1547">
            <v>20</v>
          </cell>
          <cell r="AY1547" t="str">
            <v/>
          </cell>
          <cell r="AZ1547">
            <v>0.25</v>
          </cell>
          <cell r="BA1547">
            <v>0.25</v>
          </cell>
        </row>
        <row r="1548">
          <cell r="A1548" t="str">
            <v>M.A. SERRAMENTI DI ALESSIO MILENA</v>
          </cell>
          <cell r="B1548" t="str">
            <v xml:space="preserve"> 24/11/20 MANDO PREVENTIVO X 2 BARRIERE 05/12/22 ACQUISTA GIA' DA NOI</v>
          </cell>
          <cell r="D1548" t="str">
            <v>VIA 2 TRAVERSA PASTIFICIO, 71</v>
          </cell>
          <cell r="E1548">
            <v>88900</v>
          </cell>
          <cell r="F1548" t="str">
            <v>CROTONE</v>
          </cell>
          <cell r="G1548" t="str">
            <v>KR</v>
          </cell>
          <cell r="H1548" t="str">
            <v>ITALIA</v>
          </cell>
          <cell r="I1548" t="str">
            <v>LSSMLN79A47Z133Q</v>
          </cell>
          <cell r="J1548" t="str">
            <v>03501810794</v>
          </cell>
          <cell r="M1548" t="str">
            <v>UFFICIO ACQUISTI</v>
          </cell>
          <cell r="N1548" t="str">
            <v>0962 903176</v>
          </cell>
          <cell r="O1548" t="str">
            <v>339 3395649 ALESSIO MILENA</v>
          </cell>
          <cell r="P1548" t="str">
            <v>info@maserramenti.it</v>
          </cell>
          <cell r="R1548" t="str">
            <v>BONIFICO BANCARIO, ALLA DATA DELLA NOSTRA CONFERMA D'ORDINE</v>
          </cell>
          <cell r="X1548">
            <v>0.25</v>
          </cell>
          <cell r="Y1548">
            <v>-0.04</v>
          </cell>
          <cell r="AB1548">
            <v>0.25</v>
          </cell>
          <cell r="AC1548">
            <v>0.25</v>
          </cell>
          <cell r="AD1548">
            <v>0.25</v>
          </cell>
          <cell r="AE1548">
            <v>0.25</v>
          </cell>
          <cell r="AF1548">
            <v>0.25</v>
          </cell>
          <cell r="AG1548">
            <v>0.25</v>
          </cell>
          <cell r="AH1548">
            <v>0.25</v>
          </cell>
          <cell r="AI1548">
            <v>0.25</v>
          </cell>
          <cell r="AJ1548">
            <v>0.25</v>
          </cell>
          <cell r="AK1548">
            <v>0.25</v>
          </cell>
          <cell r="AL1548">
            <v>0.25</v>
          </cell>
          <cell r="AM1548">
            <v>0.25</v>
          </cell>
          <cell r="AN1548">
            <v>0.25</v>
          </cell>
          <cell r="AO1548">
            <v>0.25</v>
          </cell>
          <cell r="AP1548">
            <v>0.25</v>
          </cell>
          <cell r="AQ1548">
            <v>0.25</v>
          </cell>
          <cell r="AR1548">
            <v>0.25</v>
          </cell>
          <cell r="AS1548">
            <v>0.25</v>
          </cell>
          <cell r="AT1548">
            <v>-0.04</v>
          </cell>
          <cell r="AU1548">
            <v>0.92</v>
          </cell>
          <cell r="AV1548">
            <v>20</v>
          </cell>
          <cell r="AW1548" t="str">
            <v>PIETRO OLIVADOTI</v>
          </cell>
          <cell r="AX1548">
            <v>0.95</v>
          </cell>
          <cell r="AY1548" t="str">
            <v/>
          </cell>
          <cell r="AZ1548">
            <v>0.25</v>
          </cell>
          <cell r="BA1548">
            <v>0.25</v>
          </cell>
          <cell r="BF1548" t="str">
            <v>CLICK RAPID con carpenteria 14/10/2020</v>
          </cell>
        </row>
        <row r="1549">
          <cell r="A1549" t="str">
            <v>M.A.C.I.C. SRL</v>
          </cell>
          <cell r="B1549" t="str">
            <v>QUESTO!</v>
          </cell>
          <cell r="D1549" t="str">
            <v>VIA CESARE CANTU', 85</v>
          </cell>
          <cell r="E1549">
            <v>23854</v>
          </cell>
          <cell r="F1549" t="str">
            <v>OLGINATE</v>
          </cell>
          <cell r="G1549" t="str">
            <v>LC</v>
          </cell>
          <cell r="H1549" t="str">
            <v>ITALIA</v>
          </cell>
          <cell r="J1549" t="str">
            <v>02554080131</v>
          </cell>
          <cell r="K1549" t="str">
            <v>M5UXCR1</v>
          </cell>
          <cell r="L1549" t="str">
            <v>VIA PER OLGIATE, 14 - 23883 BEVERATE DI BRIVIO (LC)</v>
          </cell>
          <cell r="M1549" t="str">
            <v>UFFICIO ACQUISTI</v>
          </cell>
          <cell r="N1549" t="str">
            <v>0341 650117</v>
          </cell>
          <cell r="O1549" t="str">
            <v>Andrea Mirto 366 4488415</v>
          </cell>
          <cell r="P1549" t="str">
            <v>commerciale@macic.it</v>
          </cell>
          <cell r="R1549" t="str">
            <v>BONIFICO BANCARIO, ALLA DATA DELLA NOSTRA CONFERMA D'ORDINE</v>
          </cell>
          <cell r="X1549">
            <v>0.25</v>
          </cell>
          <cell r="Y1549">
            <v>-0.04</v>
          </cell>
          <cell r="AB1549">
            <v>0.25</v>
          </cell>
          <cell r="AC1549">
            <v>0.25</v>
          </cell>
          <cell r="AD1549">
            <v>0.25</v>
          </cell>
          <cell r="AE1549">
            <v>0.25</v>
          </cell>
          <cell r="AF1549">
            <v>0.25</v>
          </cell>
          <cell r="AG1549">
            <v>0.25</v>
          </cell>
          <cell r="AH1549">
            <v>0.25</v>
          </cell>
          <cell r="AI1549">
            <v>0.25</v>
          </cell>
          <cell r="AJ1549">
            <v>0.25</v>
          </cell>
          <cell r="AK1549">
            <v>0.25</v>
          </cell>
          <cell r="AL1549">
            <v>0.25</v>
          </cell>
          <cell r="AM1549">
            <v>0.25</v>
          </cell>
          <cell r="AN1549">
            <v>0.25</v>
          </cell>
          <cell r="AO1549">
            <v>0.25</v>
          </cell>
          <cell r="AP1549">
            <v>0.25</v>
          </cell>
          <cell r="AQ1549">
            <v>0.25</v>
          </cell>
          <cell r="AR1549">
            <v>0.25</v>
          </cell>
          <cell r="AS1549">
            <v>0.25</v>
          </cell>
          <cell r="AT1549">
            <v>-0.04</v>
          </cell>
          <cell r="AU1549">
            <v>0.92</v>
          </cell>
          <cell r="AV1549">
            <v>20</v>
          </cell>
          <cell r="AY1549" t="str">
            <v/>
          </cell>
          <cell r="AZ1549">
            <v>0.25</v>
          </cell>
          <cell r="BA1549">
            <v>0.25</v>
          </cell>
          <cell r="BF1549" t="str">
            <v>CLICK RAPID con carpenteria 05/10/2021</v>
          </cell>
        </row>
        <row r="1550">
          <cell r="A1550" t="str">
            <v>M.A.D. SRL</v>
          </cell>
          <cell r="D1550" t="str">
            <v>VIA DELLE SIRENE RIACE CAPO</v>
          </cell>
          <cell r="E1550" t="str">
            <v>89062</v>
          </cell>
          <cell r="F1550" t="str">
            <v>LAZZARO</v>
          </cell>
          <cell r="G1550" t="str">
            <v>RC</v>
          </cell>
          <cell r="H1550" t="str">
            <v>ITALIA</v>
          </cell>
          <cell r="J1550" t="str">
            <v>02980300806</v>
          </cell>
          <cell r="K1550" t="str">
            <v>W7YVJK9</v>
          </cell>
          <cell r="M1550" t="str">
            <v>UFFICIO ACQUISTI</v>
          </cell>
          <cell r="N1550" t="str">
            <v>0965 882087</v>
          </cell>
          <cell r="O1550" t="str">
            <v>347 5451528 mallimaci domenico</v>
          </cell>
          <cell r="P1550" t="str">
            <v>serramentimallimaci@gmail.com</v>
          </cell>
          <cell r="R1550" t="str">
            <v>BONIFICO BANCARIO, ALLA DATA DELLA NOSTRA CONFERMA D'ORDINE</v>
          </cell>
          <cell r="X1550">
            <v>0.2</v>
          </cell>
          <cell r="Y1550">
            <v>-0.04</v>
          </cell>
          <cell r="AB1550">
            <v>0.2</v>
          </cell>
          <cell r="AC1550">
            <v>0.2</v>
          </cell>
          <cell r="AD1550">
            <v>0.2</v>
          </cell>
          <cell r="AE1550">
            <v>0.2</v>
          </cell>
          <cell r="AF1550">
            <v>0.2</v>
          </cell>
          <cell r="AG1550">
            <v>0.2</v>
          </cell>
          <cell r="AH1550">
            <v>0.2</v>
          </cell>
          <cell r="AI1550">
            <v>0.2</v>
          </cell>
          <cell r="AJ1550">
            <v>0.2</v>
          </cell>
          <cell r="AK1550">
            <v>0.2</v>
          </cell>
          <cell r="AL1550">
            <v>0.2</v>
          </cell>
          <cell r="AM1550">
            <v>0.2</v>
          </cell>
          <cell r="AN1550">
            <v>0.2</v>
          </cell>
          <cell r="AO1550">
            <v>0.2</v>
          </cell>
          <cell r="AP1550">
            <v>0.2</v>
          </cell>
          <cell r="AQ1550">
            <v>0.2</v>
          </cell>
          <cell r="AR1550">
            <v>0.2</v>
          </cell>
          <cell r="AS1550">
            <v>0.2</v>
          </cell>
          <cell r="AT1550">
            <v>-0.04</v>
          </cell>
          <cell r="AU1550">
            <v>0.92</v>
          </cell>
          <cell r="AV1550">
            <v>20</v>
          </cell>
          <cell r="AW1550" t="str">
            <v>PIETRO OLIVADOTI</v>
          </cell>
          <cell r="AX1550">
            <v>0.95</v>
          </cell>
          <cell r="AZ1550">
            <v>0.2</v>
          </cell>
          <cell r="BA1550">
            <v>0.2</v>
          </cell>
        </row>
        <row r="1551">
          <cell r="A1551" t="str">
            <v>M.B. FABBROTECNICA DI BERNO MAURO &amp; C. SNC</v>
          </cell>
          <cell r="B1551" t="str">
            <v>MP  10:30 A SALO'</v>
          </cell>
          <cell r="D1551" t="str">
            <v>VIA SAN CARLO, 57</v>
          </cell>
          <cell r="E1551" t="str">
            <v>25080</v>
          </cell>
          <cell r="F1551" t="str">
            <v>SOIANO DEL LAGO</v>
          </cell>
          <cell r="G1551" t="str">
            <v>BS</v>
          </cell>
          <cell r="H1551" t="str">
            <v>ITALIA</v>
          </cell>
          <cell r="I1551" t="str">
            <v>01580460986</v>
          </cell>
          <cell r="J1551" t="str">
            <v>01580460986</v>
          </cell>
          <cell r="K1551" t="str">
            <v>M5UXCR1</v>
          </cell>
          <cell r="M1551" t="str">
            <v>UFFICIO ACQUISTI</v>
          </cell>
          <cell r="N1551" t="str">
            <v>0365 502606</v>
          </cell>
          <cell r="P1551" t="str">
            <v>mbfabbrotecnicasnc@libero.it</v>
          </cell>
          <cell r="R1551" t="str">
            <v>BONIFICO BANCARIO, ALLA DATA DELLA NOSTRA CONFERMA D'ORDINE</v>
          </cell>
          <cell r="X1551">
            <v>0.25</v>
          </cell>
          <cell r="Y1551">
            <v>-0.04</v>
          </cell>
          <cell r="AB1551">
            <v>0.25</v>
          </cell>
          <cell r="AC1551">
            <v>0.25</v>
          </cell>
          <cell r="AD1551">
            <v>0.25</v>
          </cell>
          <cell r="AE1551">
            <v>0.25</v>
          </cell>
          <cell r="AF1551">
            <v>0.25</v>
          </cell>
          <cell r="AG1551">
            <v>0.25</v>
          </cell>
          <cell r="AH1551">
            <v>0.25</v>
          </cell>
          <cell r="AI1551">
            <v>0.25</v>
          </cell>
          <cell r="AJ1551">
            <v>0.25</v>
          </cell>
          <cell r="AK1551">
            <v>0.25</v>
          </cell>
          <cell r="AL1551">
            <v>0.25</v>
          </cell>
          <cell r="AM1551">
            <v>0.25</v>
          </cell>
          <cell r="AN1551">
            <v>0.25</v>
          </cell>
          <cell r="AO1551">
            <v>0.25</v>
          </cell>
          <cell r="AP1551">
            <v>0.25</v>
          </cell>
          <cell r="AQ1551">
            <v>0.25</v>
          </cell>
          <cell r="AR1551">
            <v>0.25</v>
          </cell>
          <cell r="AS1551">
            <v>0.25</v>
          </cell>
          <cell r="AT1551">
            <v>-0.04</v>
          </cell>
          <cell r="AU1551">
            <v>0.92</v>
          </cell>
          <cell r="AV1551">
            <v>20</v>
          </cell>
          <cell r="AZ1551">
            <v>0.25</v>
          </cell>
          <cell r="BA1551">
            <v>0.25</v>
          </cell>
        </row>
        <row r="1552">
          <cell r="A1552" t="str">
            <v>M.C.A. SRL</v>
          </cell>
          <cell r="D1552" t="str">
            <v>STRADA SAN CARLO, 5</v>
          </cell>
          <cell r="E1552" t="str">
            <v>05100</v>
          </cell>
          <cell r="F1552" t="str">
            <v>TERNI</v>
          </cell>
          <cell r="G1552" t="str">
            <v>TR</v>
          </cell>
          <cell r="H1552" t="str">
            <v>ITALIA</v>
          </cell>
          <cell r="J1552" t="str">
            <v>01497970556</v>
          </cell>
          <cell r="M1552" t="str">
            <v>UFFICIO ACQUISTI</v>
          </cell>
          <cell r="N1552" t="str">
            <v>0744 1981535</v>
          </cell>
          <cell r="O1552" t="str">
            <v>348 3503201</v>
          </cell>
          <cell r="P1552" t="str">
            <v>morenocardinali@live.it</v>
          </cell>
          <cell r="R1552" t="str">
            <v>BONIFICO BANCARIO, ALLA DATA DELLA NOSTRA CONFERMA D'ORDINE</v>
          </cell>
          <cell r="Y1552">
            <v>-0.04</v>
          </cell>
          <cell r="AT1552">
            <v>-0.04</v>
          </cell>
          <cell r="AV1552">
            <v>20</v>
          </cell>
          <cell r="AZ1552">
            <v>0</v>
          </cell>
          <cell r="BA1552">
            <v>0</v>
          </cell>
        </row>
        <row r="1553">
          <cell r="A1553" t="str">
            <v>M.D.S SERRAMENTI</v>
          </cell>
          <cell r="D1553" t="str">
            <v>VIA PIETRO D'ARAGONA,  2</v>
          </cell>
          <cell r="E1553">
            <v>90127</v>
          </cell>
          <cell r="F1553" t="str">
            <v>PALERMO</v>
          </cell>
          <cell r="G1553" t="str">
            <v>PA</v>
          </cell>
          <cell r="H1553" t="str">
            <v>ITALIA</v>
          </cell>
          <cell r="M1553" t="str">
            <v>UFFICIO ACQUISTI</v>
          </cell>
          <cell r="N1553" t="str">
            <v>091 214489</v>
          </cell>
          <cell r="O1553" t="str">
            <v>338 6268072</v>
          </cell>
          <cell r="P1553" t="str">
            <v>mds.marco@virgilio.it</v>
          </cell>
          <cell r="R1553" t="str">
            <v>BONIFICO BANCARIO, ALLA DATA DELLA NOSTRA CONFERMA D'ORDINE</v>
          </cell>
          <cell r="X1553">
            <v>0.25</v>
          </cell>
          <cell r="Y1553">
            <v>-0.04</v>
          </cell>
          <cell r="AB1553">
            <v>0.25</v>
          </cell>
          <cell r="AC1553">
            <v>0.25</v>
          </cell>
          <cell r="AD1553">
            <v>0.25</v>
          </cell>
          <cell r="AE1553">
            <v>0.25</v>
          </cell>
          <cell r="AF1553">
            <v>0.25</v>
          </cell>
          <cell r="AG1553">
            <v>0.25</v>
          </cell>
          <cell r="AH1553">
            <v>0.25</v>
          </cell>
          <cell r="AI1553">
            <v>0.25</v>
          </cell>
          <cell r="AJ1553">
            <v>0.25</v>
          </cell>
          <cell r="AK1553">
            <v>0.25</v>
          </cell>
          <cell r="AL1553">
            <v>0.25</v>
          </cell>
          <cell r="AM1553">
            <v>0.25</v>
          </cell>
          <cell r="AN1553">
            <v>0.25</v>
          </cell>
          <cell r="AO1553">
            <v>0.25</v>
          </cell>
          <cell r="AP1553">
            <v>0.25</v>
          </cell>
          <cell r="AQ1553">
            <v>0.25</v>
          </cell>
          <cell r="AR1553">
            <v>0.25</v>
          </cell>
          <cell r="AS1553">
            <v>0.25</v>
          </cell>
          <cell r="AT1553">
            <v>-0.04</v>
          </cell>
          <cell r="AU1553">
            <v>0.92</v>
          </cell>
          <cell r="AV1553">
            <v>20</v>
          </cell>
          <cell r="AY1553" t="str">
            <v/>
          </cell>
          <cell r="AZ1553">
            <v>0.25</v>
          </cell>
          <cell r="BA1553">
            <v>0.25</v>
          </cell>
        </row>
        <row r="1554">
          <cell r="A1554" t="str">
            <v>M.G. DI RENATO DE CUPIS</v>
          </cell>
          <cell r="D1554" t="str">
            <v>VIA DELL'ARMELLINO 33/B</v>
          </cell>
          <cell r="E1554" t="str">
            <v>00042</v>
          </cell>
          <cell r="F1554" t="str">
            <v>ANZIO</v>
          </cell>
          <cell r="G1554" t="str">
            <v>RM</v>
          </cell>
          <cell r="H1554" t="str">
            <v>ITALIA</v>
          </cell>
          <cell r="M1554" t="str">
            <v>UFFICIO ACQUISTI</v>
          </cell>
          <cell r="N1554" t="str">
            <v>06 9874926</v>
          </cell>
          <cell r="P1554" t="str">
            <v>decupis@live.it</v>
          </cell>
          <cell r="R1554" t="str">
            <v>BONIFICO BANCARIO, ALLA DATA DELLA NOSTRA CONFERMA D'ORDINE</v>
          </cell>
          <cell r="X1554">
            <v>0.25</v>
          </cell>
          <cell r="Y1554">
            <v>-0.04</v>
          </cell>
          <cell r="AB1554">
            <v>0.25</v>
          </cell>
          <cell r="AC1554">
            <v>0.25</v>
          </cell>
          <cell r="AD1554">
            <v>0.25</v>
          </cell>
          <cell r="AE1554">
            <v>0.25</v>
          </cell>
          <cell r="AF1554">
            <v>0.25</v>
          </cell>
          <cell r="AG1554">
            <v>0.25</v>
          </cell>
          <cell r="AH1554">
            <v>0.25</v>
          </cell>
          <cell r="AI1554">
            <v>0.25</v>
          </cell>
          <cell r="AJ1554">
            <v>0.25</v>
          </cell>
          <cell r="AK1554">
            <v>0.25</v>
          </cell>
          <cell r="AL1554">
            <v>0.25</v>
          </cell>
          <cell r="AM1554">
            <v>0.25</v>
          </cell>
          <cell r="AN1554">
            <v>0.25</v>
          </cell>
          <cell r="AO1554">
            <v>0.25</v>
          </cell>
          <cell r="AP1554">
            <v>0.25</v>
          </cell>
          <cell r="AQ1554">
            <v>0.25</v>
          </cell>
          <cell r="AR1554">
            <v>0.25</v>
          </cell>
          <cell r="AS1554">
            <v>0.25</v>
          </cell>
          <cell r="AT1554">
            <v>-0.04</v>
          </cell>
          <cell r="AU1554">
            <v>0.92</v>
          </cell>
          <cell r="AV1554">
            <v>20</v>
          </cell>
          <cell r="AY1554" t="str">
            <v/>
          </cell>
          <cell r="AZ1554">
            <v>0.25</v>
          </cell>
          <cell r="BA1554">
            <v>0.25</v>
          </cell>
        </row>
        <row r="1555">
          <cell r="A1555" t="str">
            <v>M.G. INFISSI SNC DEI F.LLI IMITAZIONE</v>
          </cell>
          <cell r="D1555" t="str">
            <v>VIA GIOVANNI XXIII 2 TRAV. 8</v>
          </cell>
          <cell r="F1555" t="str">
            <v>CRISPANO</v>
          </cell>
          <cell r="G1555" t="str">
            <v>NA</v>
          </cell>
          <cell r="H1555" t="str">
            <v>ITALIA</v>
          </cell>
          <cell r="L1555" t="str">
            <v>VIA PAPA GIOVANNI XXIII - GAETA - LT</v>
          </cell>
          <cell r="M1555" t="str">
            <v>UFFICIO ACQUISTI</v>
          </cell>
          <cell r="O1555" t="str">
            <v>333 5883035</v>
          </cell>
          <cell r="P1555" t="str">
            <v>mg_infissimetallici@libero.it</v>
          </cell>
          <cell r="R1555" t="str">
            <v>BONIFICO BANCARIO, ALLA DATA DELLA NOSTRA CONFERMA D'ORDINE</v>
          </cell>
          <cell r="X1555">
            <v>0.25</v>
          </cell>
          <cell r="Y1555">
            <v>-0.04</v>
          </cell>
          <cell r="AB1555">
            <v>0.25</v>
          </cell>
          <cell r="AC1555">
            <v>0.25</v>
          </cell>
          <cell r="AD1555">
            <v>0.25</v>
          </cell>
          <cell r="AE1555">
            <v>0.25</v>
          </cell>
          <cell r="AF1555">
            <v>0.25</v>
          </cell>
          <cell r="AG1555">
            <v>0.25</v>
          </cell>
          <cell r="AH1555">
            <v>0.25</v>
          </cell>
          <cell r="AI1555">
            <v>0.25</v>
          </cell>
          <cell r="AJ1555">
            <v>0.25</v>
          </cell>
          <cell r="AK1555">
            <v>0.25</v>
          </cell>
          <cell r="AL1555">
            <v>0.25</v>
          </cell>
          <cell r="AM1555">
            <v>0.25</v>
          </cell>
          <cell r="AN1555">
            <v>0.25</v>
          </cell>
          <cell r="AO1555">
            <v>0.25</v>
          </cell>
          <cell r="AP1555">
            <v>0.25</v>
          </cell>
          <cell r="AQ1555">
            <v>0.25</v>
          </cell>
          <cell r="AR1555">
            <v>0.25</v>
          </cell>
          <cell r="AS1555">
            <v>0.25</v>
          </cell>
          <cell r="AT1555">
            <v>-0.04</v>
          </cell>
          <cell r="AU1555">
            <v>0.92</v>
          </cell>
          <cell r="AV1555">
            <v>20</v>
          </cell>
          <cell r="AY1555" t="str">
            <v/>
          </cell>
          <cell r="AZ1555">
            <v>0.25</v>
          </cell>
          <cell r="BA1555">
            <v>0.25</v>
          </cell>
        </row>
        <row r="1556">
          <cell r="A1556" t="str">
            <v xml:space="preserve">M2 INFISSI </v>
          </cell>
          <cell r="D1556" t="str">
            <v xml:space="preserve">VIA TORINO, 193, </v>
          </cell>
          <cell r="E1556">
            <v>17100</v>
          </cell>
          <cell r="F1556" t="str">
            <v>SAVONA</v>
          </cell>
          <cell r="G1556" t="str">
            <v>SV</v>
          </cell>
          <cell r="H1556" t="str">
            <v>ITALIA</v>
          </cell>
          <cell r="J1556" t="str">
            <v>01098370099</v>
          </cell>
          <cell r="M1556" t="str">
            <v>UFFICIO ACQUISTI</v>
          </cell>
          <cell r="N1556" t="str">
            <v>019 807725</v>
          </cell>
          <cell r="R1556" t="str">
            <v>BONIFICO BANCARIO, ALLA DATA DELLA NOSTRA CONFERMA D'ORDINE</v>
          </cell>
          <cell r="X1556">
            <v>0.25</v>
          </cell>
          <cell r="Y1556">
            <v>-0.04</v>
          </cell>
          <cell r="AB1556">
            <v>0.25</v>
          </cell>
          <cell r="AC1556">
            <v>0.25</v>
          </cell>
          <cell r="AD1556">
            <v>0.25</v>
          </cell>
          <cell r="AE1556">
            <v>0.25</v>
          </cell>
          <cell r="AF1556">
            <v>0.25</v>
          </cell>
          <cell r="AG1556">
            <v>0.25</v>
          </cell>
          <cell r="AH1556">
            <v>0.25</v>
          </cell>
          <cell r="AI1556">
            <v>0.25</v>
          </cell>
          <cell r="AJ1556">
            <v>0.25</v>
          </cell>
          <cell r="AK1556">
            <v>0.25</v>
          </cell>
          <cell r="AL1556">
            <v>0.25</v>
          </cell>
          <cell r="AM1556">
            <v>0.25</v>
          </cell>
          <cell r="AN1556">
            <v>0.25</v>
          </cell>
          <cell r="AO1556">
            <v>0.25</v>
          </cell>
          <cell r="AP1556">
            <v>0.25</v>
          </cell>
          <cell r="AQ1556">
            <v>0.25</v>
          </cell>
          <cell r="AR1556">
            <v>0.25</v>
          </cell>
          <cell r="AS1556">
            <v>0.25</v>
          </cell>
          <cell r="AT1556">
            <v>-0.04</v>
          </cell>
          <cell r="AU1556">
            <v>0.92</v>
          </cell>
          <cell r="AV1556">
            <v>20</v>
          </cell>
          <cell r="AY1556" t="str">
            <v/>
          </cell>
          <cell r="AZ1556">
            <v>0.25</v>
          </cell>
          <cell r="BA1556">
            <v>0.25</v>
          </cell>
        </row>
        <row r="1557">
          <cell r="A1557" t="str">
            <v>MA COS S.R.L.</v>
          </cell>
          <cell r="D1557" t="str">
            <v>VIA DELLA RUPE, 17</v>
          </cell>
          <cell r="E1557">
            <v>38017</v>
          </cell>
          <cell r="F1557" t="str">
            <v>MEZZOLOMBARDO</v>
          </cell>
          <cell r="G1557" t="str">
            <v>TN</v>
          </cell>
          <cell r="H1557" t="str">
            <v>ITALIA</v>
          </cell>
          <cell r="I1557" t="str">
            <v>01489580223</v>
          </cell>
          <cell r="J1557" t="str">
            <v>01489580223</v>
          </cell>
          <cell r="M1557" t="str">
            <v>UFFICIO ACQUISTI</v>
          </cell>
          <cell r="N1557" t="str">
            <v>046 600488</v>
          </cell>
          <cell r="O1557" t="str">
            <v>Pedro Marquez 329 2312596</v>
          </cell>
          <cell r="P1557" t="str">
            <v>pedro.m@ma-cos.com</v>
          </cell>
          <cell r="R1557" t="str">
            <v>BONIFICO BANCARIO, ALLA DATA DELLA NOSTRA CONFERMA D'ORDINE</v>
          </cell>
          <cell r="X1557">
            <v>0.25</v>
          </cell>
          <cell r="Y1557">
            <v>-0.04</v>
          </cell>
          <cell r="AB1557">
            <v>0.25</v>
          </cell>
          <cell r="AC1557">
            <v>0.25</v>
          </cell>
          <cell r="AD1557">
            <v>0.25</v>
          </cell>
          <cell r="AE1557">
            <v>0.25</v>
          </cell>
          <cell r="AF1557">
            <v>0.25</v>
          </cell>
          <cell r="AG1557">
            <v>0.25</v>
          </cell>
          <cell r="AH1557">
            <v>0.25</v>
          </cell>
          <cell r="AI1557">
            <v>0.25</v>
          </cell>
          <cell r="AJ1557">
            <v>0.25</v>
          </cell>
          <cell r="AK1557">
            <v>0.25</v>
          </cell>
          <cell r="AL1557">
            <v>0.25</v>
          </cell>
          <cell r="AM1557">
            <v>0.25</v>
          </cell>
          <cell r="AN1557">
            <v>0.25</v>
          </cell>
          <cell r="AO1557">
            <v>0.25</v>
          </cell>
          <cell r="AP1557">
            <v>0.25</v>
          </cell>
          <cell r="AQ1557">
            <v>0.25</v>
          </cell>
          <cell r="AR1557">
            <v>0.25</v>
          </cell>
          <cell r="AS1557">
            <v>0.25</v>
          </cell>
          <cell r="AT1557">
            <v>-0.04</v>
          </cell>
          <cell r="AU1557">
            <v>0.92</v>
          </cell>
          <cell r="AV1557">
            <v>20</v>
          </cell>
          <cell r="AY1557" t="str">
            <v/>
          </cell>
          <cell r="AZ1557">
            <v>0.25</v>
          </cell>
          <cell r="BA1557">
            <v>0.25</v>
          </cell>
        </row>
        <row r="1558">
          <cell r="A1558" t="str">
            <v>MA.CA. DI MANCUSI ANTONIO</v>
          </cell>
          <cell r="D1558" t="str">
            <v>VIA LUIGI GUERRASIO, 95</v>
          </cell>
          <cell r="E1558" t="str">
            <v>84083</v>
          </cell>
          <cell r="F1558" t="str">
            <v>CASTEL SAN GIORGIO</v>
          </cell>
          <cell r="G1558" t="str">
            <v>SA</v>
          </cell>
          <cell r="H1558" t="str">
            <v>ITALIA</v>
          </cell>
          <cell r="J1558" t="str">
            <v>03914420652</v>
          </cell>
          <cell r="K1558" t="str">
            <v>T04ZHR3</v>
          </cell>
          <cell r="M1558" t="str">
            <v>UFFICIO ACQUISTI</v>
          </cell>
          <cell r="N1558" t="str">
            <v>081 5162082</v>
          </cell>
          <cell r="P1558" t="str">
            <v>macadistribuzione@alice.it</v>
          </cell>
          <cell r="R1558" t="str">
            <v>BONIFICO BANCARIO, ALLA DATA DELLA NOSTRA CONFERMA D'ORDINE</v>
          </cell>
          <cell r="X1558">
            <v>0.25</v>
          </cell>
          <cell r="Y1558">
            <v>-0.04</v>
          </cell>
          <cell r="AB1558">
            <v>0.25</v>
          </cell>
          <cell r="AC1558">
            <v>0.25</v>
          </cell>
          <cell r="AD1558">
            <v>0.25</v>
          </cell>
          <cell r="AE1558">
            <v>0.25</v>
          </cell>
          <cell r="AF1558">
            <v>0.25</v>
          </cell>
          <cell r="AG1558">
            <v>0.25</v>
          </cell>
          <cell r="AH1558">
            <v>0.25</v>
          </cell>
          <cell r="AI1558">
            <v>0.25</v>
          </cell>
          <cell r="AJ1558">
            <v>0.25</v>
          </cell>
          <cell r="AK1558">
            <v>0.25</v>
          </cell>
          <cell r="AL1558">
            <v>0.25</v>
          </cell>
          <cell r="AM1558">
            <v>0.25</v>
          </cell>
          <cell r="AN1558">
            <v>0.25</v>
          </cell>
          <cell r="AO1558">
            <v>0.25</v>
          </cell>
          <cell r="AP1558">
            <v>0.25</v>
          </cell>
          <cell r="AQ1558">
            <v>0.25</v>
          </cell>
          <cell r="AR1558">
            <v>0.25</v>
          </cell>
          <cell r="AS1558">
            <v>0.25</v>
          </cell>
          <cell r="AT1558">
            <v>-0.04</v>
          </cell>
          <cell r="AU1558">
            <v>0.92</v>
          </cell>
          <cell r="AV1558">
            <v>20</v>
          </cell>
          <cell r="AY1558" t="str">
            <v/>
          </cell>
          <cell r="AZ1558">
            <v>0.25</v>
          </cell>
          <cell r="BA1558">
            <v>0.25</v>
          </cell>
          <cell r="BF1558" t="str">
            <v>CLICK RAPID con carpenteria 12/02/2020</v>
          </cell>
        </row>
        <row r="1559">
          <cell r="A1559" t="str">
            <v>MA.VI</v>
          </cell>
          <cell r="D1559" t="str">
            <v>VIA IV NOVEMBRE, 127</v>
          </cell>
          <cell r="E1559">
            <v>28887</v>
          </cell>
          <cell r="F1559" t="str">
            <v>OMEGNA</v>
          </cell>
          <cell r="G1559" t="str">
            <v>VB</v>
          </cell>
          <cell r="H1559" t="str">
            <v>ITALIA</v>
          </cell>
          <cell r="I1559" t="str">
            <v>02134180039</v>
          </cell>
          <cell r="J1559" t="str">
            <v>02134180039</v>
          </cell>
          <cell r="K1559" t="str">
            <v>KRRH6B9</v>
          </cell>
          <cell r="M1559" t="str">
            <v>UFFICIO ACQUISTI</v>
          </cell>
          <cell r="N1559" t="str">
            <v>0323 641017</v>
          </cell>
          <cell r="O1559" t="str">
            <v>366 2445191</v>
          </cell>
          <cell r="P1559" t="str">
            <v>info@serramenti-mavi.com</v>
          </cell>
          <cell r="R1559" t="str">
            <v>BONIFICO BANCARIO, ALLA DATA DELLA NOSTRA CONFERMA D'ORDINE</v>
          </cell>
          <cell r="X1559">
            <v>0.25</v>
          </cell>
          <cell r="Y1559">
            <v>-0.04</v>
          </cell>
          <cell r="AB1559">
            <v>0.25</v>
          </cell>
          <cell r="AC1559">
            <v>0.25</v>
          </cell>
          <cell r="AD1559">
            <v>0.25</v>
          </cell>
          <cell r="AE1559">
            <v>0.25</v>
          </cell>
          <cell r="AF1559">
            <v>0.25</v>
          </cell>
          <cell r="AG1559">
            <v>0.25</v>
          </cell>
          <cell r="AH1559">
            <v>0.25</v>
          </cell>
          <cell r="AI1559">
            <v>0.25</v>
          </cell>
          <cell r="AJ1559">
            <v>0.25</v>
          </cell>
          <cell r="AK1559">
            <v>0.25</v>
          </cell>
          <cell r="AL1559">
            <v>0.25</v>
          </cell>
          <cell r="AM1559">
            <v>0.25</v>
          </cell>
          <cell r="AN1559">
            <v>0.25</v>
          </cell>
          <cell r="AO1559">
            <v>0.25</v>
          </cell>
          <cell r="AP1559">
            <v>0.25</v>
          </cell>
          <cell r="AQ1559">
            <v>0.25</v>
          </cell>
          <cell r="AR1559">
            <v>0.25</v>
          </cell>
          <cell r="AS1559">
            <v>0.25</v>
          </cell>
          <cell r="AT1559">
            <v>-0.04</v>
          </cell>
          <cell r="AU1559">
            <v>0.92</v>
          </cell>
          <cell r="AV1559">
            <v>20</v>
          </cell>
          <cell r="AZ1559">
            <v>0.25</v>
          </cell>
          <cell r="BA1559">
            <v>0.25</v>
          </cell>
        </row>
        <row r="1560">
          <cell r="A1560" t="str">
            <v>MA.VI. DI MARCO PECORA S.A</v>
          </cell>
          <cell r="D1560" t="str">
            <v>Via IV Novembre, 123</v>
          </cell>
          <cell r="E1560" t="str">
            <v>28887</v>
          </cell>
          <cell r="F1560" t="str">
            <v>OMEGNA</v>
          </cell>
          <cell r="G1560" t="str">
            <v>VB</v>
          </cell>
          <cell r="H1560" t="str">
            <v>ITALIA</v>
          </cell>
          <cell r="J1560" t="str">
            <v>02134180039</v>
          </cell>
          <cell r="K1560" t="str">
            <v>KRRH6B9</v>
          </cell>
          <cell r="M1560" t="str">
            <v>UFFICIO ACQUISTI</v>
          </cell>
          <cell r="N1560" t="str">
            <v>0323 641017</v>
          </cell>
          <cell r="O1560" t="str">
            <v>MARCO 366 2445191</v>
          </cell>
          <cell r="P1560" t="str">
            <v>info@serramenti-mavi.com</v>
          </cell>
          <cell r="R1560" t="str">
            <v>BONIFICO BANCARIO, ALLA DATA DELLA NOSTRA CONFERMA D'ORDINE</v>
          </cell>
          <cell r="X1560">
            <v>0.25</v>
          </cell>
          <cell r="Y1560">
            <v>-0.04</v>
          </cell>
          <cell r="AB1560">
            <v>0.25</v>
          </cell>
          <cell r="AC1560">
            <v>0.25</v>
          </cell>
          <cell r="AD1560">
            <v>0.25</v>
          </cell>
          <cell r="AE1560">
            <v>0.25</v>
          </cell>
          <cell r="AF1560">
            <v>0.25</v>
          </cell>
          <cell r="AG1560">
            <v>0.25</v>
          </cell>
          <cell r="AH1560">
            <v>0.25</v>
          </cell>
          <cell r="AI1560">
            <v>0.25</v>
          </cell>
          <cell r="AJ1560">
            <v>0.25</v>
          </cell>
          <cell r="AK1560">
            <v>0.25</v>
          </cell>
          <cell r="AL1560">
            <v>0.25</v>
          </cell>
          <cell r="AM1560">
            <v>0.25</v>
          </cell>
          <cell r="AN1560">
            <v>0.25</v>
          </cell>
          <cell r="AO1560">
            <v>0.25</v>
          </cell>
          <cell r="AP1560">
            <v>0.25</v>
          </cell>
          <cell r="AQ1560">
            <v>0.25</v>
          </cell>
          <cell r="AR1560">
            <v>0.25</v>
          </cell>
          <cell r="AS1560">
            <v>0.25</v>
          </cell>
          <cell r="AT1560">
            <v>-0.04</v>
          </cell>
          <cell r="AU1560">
            <v>0.92</v>
          </cell>
          <cell r="AV1560">
            <v>20</v>
          </cell>
          <cell r="AY1560" t="str">
            <v/>
          </cell>
          <cell r="AZ1560">
            <v>0.25</v>
          </cell>
          <cell r="BA1560">
            <v>0.25</v>
          </cell>
        </row>
        <row r="1561">
          <cell r="A1561" t="str">
            <v>MAC SRL PORTE PORTONI SERRAMENTI</v>
          </cell>
          <cell r="D1561" t="str">
            <v>VIA LOMBARDIA 76</v>
          </cell>
          <cell r="F1561" t="str">
            <v>NUOVA OLONIO/DUBINO</v>
          </cell>
          <cell r="G1561" t="str">
            <v>SO</v>
          </cell>
          <cell r="H1561" t="str">
            <v>ITALIA</v>
          </cell>
          <cell r="M1561" t="str">
            <v>UFFICIO ACQUISTI</v>
          </cell>
          <cell r="N1561" t="str">
            <v>0343 687265</v>
          </cell>
          <cell r="O1561" t="str">
            <v>348 4104986</v>
          </cell>
          <cell r="P1561" t="str">
            <v>commerciale@macporte.com</v>
          </cell>
          <cell r="R1561" t="str">
            <v>BONIFICO BANCARIO, ALLA DATA DELLA NOSTRA CONFERMA D'ORDINE</v>
          </cell>
          <cell r="X1561">
            <v>0.25</v>
          </cell>
          <cell r="Y1561">
            <v>-0.04</v>
          </cell>
          <cell r="AB1561">
            <v>0.25</v>
          </cell>
          <cell r="AC1561">
            <v>0.25</v>
          </cell>
          <cell r="AD1561">
            <v>0.25</v>
          </cell>
          <cell r="AE1561">
            <v>0.25</v>
          </cell>
          <cell r="AF1561">
            <v>0.25</v>
          </cell>
          <cell r="AG1561">
            <v>0.25</v>
          </cell>
          <cell r="AH1561">
            <v>0.25</v>
          </cell>
          <cell r="AI1561">
            <v>0.25</v>
          </cell>
          <cell r="AJ1561">
            <v>0.25</v>
          </cell>
          <cell r="AK1561">
            <v>0.25</v>
          </cell>
          <cell r="AL1561">
            <v>0.25</v>
          </cell>
          <cell r="AM1561">
            <v>0.25</v>
          </cell>
          <cell r="AN1561">
            <v>0.25</v>
          </cell>
          <cell r="AO1561">
            <v>0.25</v>
          </cell>
          <cell r="AP1561">
            <v>0.25</v>
          </cell>
          <cell r="AQ1561">
            <v>0.25</v>
          </cell>
          <cell r="AR1561">
            <v>0.25</v>
          </cell>
          <cell r="AS1561">
            <v>0.25</v>
          </cell>
          <cell r="AT1561">
            <v>-0.04</v>
          </cell>
          <cell r="AU1561">
            <v>0.92</v>
          </cell>
          <cell r="AV1561">
            <v>20</v>
          </cell>
          <cell r="AY1561" t="str">
            <v/>
          </cell>
          <cell r="AZ1561">
            <v>0.25</v>
          </cell>
          <cell r="BA1561">
            <v>0.25</v>
          </cell>
        </row>
        <row r="1562">
          <cell r="A1562" t="str">
            <v>MACA DI MANCUSI ANTONIO</v>
          </cell>
          <cell r="D1562" t="str">
            <v>VIA LUIGI GUERRASIO 95</v>
          </cell>
          <cell r="E1562" t="str">
            <v>84083</v>
          </cell>
          <cell r="F1562" t="str">
            <v>CASTEL SAN GIORGIO</v>
          </cell>
          <cell r="G1562" t="str">
            <v>SA</v>
          </cell>
          <cell r="H1562" t="str">
            <v>ITALIA</v>
          </cell>
          <cell r="J1562" t="str">
            <v>03914420652</v>
          </cell>
          <cell r="M1562" t="str">
            <v>UFFICIO ACQUISTI</v>
          </cell>
          <cell r="N1562" t="str">
            <v>081 5162082</v>
          </cell>
          <cell r="O1562" t="str">
            <v>339 7401312</v>
          </cell>
          <cell r="R1562" t="str">
            <v>BONIFICO BANCARIO, ALLA DATA DELLA NOSTRA CONFERMA D'ORDINE</v>
          </cell>
          <cell r="X1562">
            <v>0.25</v>
          </cell>
          <cell r="Y1562">
            <v>-0.04</v>
          </cell>
          <cell r="AB1562">
            <v>0.25</v>
          </cell>
          <cell r="AC1562">
            <v>0.25</v>
          </cell>
          <cell r="AD1562">
            <v>0.25</v>
          </cell>
          <cell r="AE1562">
            <v>0.25</v>
          </cell>
          <cell r="AF1562">
            <v>0.25</v>
          </cell>
          <cell r="AG1562">
            <v>0.25</v>
          </cell>
          <cell r="AH1562">
            <v>0.25</v>
          </cell>
          <cell r="AI1562">
            <v>0.25</v>
          </cell>
          <cell r="AJ1562">
            <v>0.25</v>
          </cell>
          <cell r="AK1562">
            <v>0.25</v>
          </cell>
          <cell r="AL1562">
            <v>0.25</v>
          </cell>
          <cell r="AM1562">
            <v>0.25</v>
          </cell>
          <cell r="AN1562">
            <v>0.25</v>
          </cell>
          <cell r="AO1562">
            <v>0.25</v>
          </cell>
          <cell r="AP1562">
            <v>0.25</v>
          </cell>
          <cell r="AQ1562">
            <v>0.25</v>
          </cell>
          <cell r="AR1562">
            <v>0.25</v>
          </cell>
          <cell r="AS1562">
            <v>0.25</v>
          </cell>
          <cell r="AT1562">
            <v>-0.04</v>
          </cell>
          <cell r="AU1562">
            <v>0.92</v>
          </cell>
          <cell r="AV1562">
            <v>20</v>
          </cell>
          <cell r="AY1562" t="str">
            <v/>
          </cell>
          <cell r="AZ1562">
            <v>0.25</v>
          </cell>
          <cell r="BA1562">
            <v>0.25</v>
          </cell>
        </row>
        <row r="1563">
          <cell r="A1563" t="str">
            <v>MACCHINI DI ALESSANDRO E MONICA MACCHINI</v>
          </cell>
          <cell r="D1563" t="str">
            <v>VIA NICOLODI , 27 A</v>
          </cell>
          <cell r="E1563">
            <v>57124</v>
          </cell>
          <cell r="F1563" t="str">
            <v>LIVORNO</v>
          </cell>
          <cell r="G1563" t="str">
            <v>LI</v>
          </cell>
          <cell r="H1563" t="str">
            <v>ITALIA</v>
          </cell>
          <cell r="I1563" t="str">
            <v>01295150492</v>
          </cell>
          <cell r="J1563" t="str">
            <v>01295150492</v>
          </cell>
          <cell r="M1563" t="str">
            <v>UFFICIO ACQUISTI</v>
          </cell>
          <cell r="N1563" t="str">
            <v>0586 401249</v>
          </cell>
          <cell r="P1563" t="str">
            <v>info@eredidimacchini.191.it</v>
          </cell>
          <cell r="R1563" t="str">
            <v>BONIFICO BANCARIO, ALLA DATA DELLA NOSTRA CONFERMA D'ORDINE</v>
          </cell>
          <cell r="X1563">
            <v>0.25</v>
          </cell>
          <cell r="Y1563">
            <v>-0.04</v>
          </cell>
          <cell r="AB1563">
            <v>0.25</v>
          </cell>
          <cell r="AC1563">
            <v>0.25</v>
          </cell>
          <cell r="AD1563">
            <v>0.25</v>
          </cell>
          <cell r="AE1563">
            <v>0.25</v>
          </cell>
          <cell r="AF1563">
            <v>0.25</v>
          </cell>
          <cell r="AG1563">
            <v>0.25</v>
          </cell>
          <cell r="AH1563">
            <v>0.25</v>
          </cell>
          <cell r="AI1563">
            <v>0.25</v>
          </cell>
          <cell r="AJ1563">
            <v>0.25</v>
          </cell>
          <cell r="AK1563">
            <v>0.25</v>
          </cell>
          <cell r="AL1563">
            <v>0.25</v>
          </cell>
          <cell r="AM1563">
            <v>0.25</v>
          </cell>
          <cell r="AN1563">
            <v>0.25</v>
          </cell>
          <cell r="AO1563">
            <v>0.25</v>
          </cell>
          <cell r="AP1563">
            <v>0.25</v>
          </cell>
          <cell r="AQ1563">
            <v>0.25</v>
          </cell>
          <cell r="AR1563">
            <v>0.25</v>
          </cell>
          <cell r="AS1563">
            <v>0.25</v>
          </cell>
          <cell r="AT1563">
            <v>-0.04</v>
          </cell>
          <cell r="AU1563">
            <v>0.92</v>
          </cell>
          <cell r="AV1563">
            <v>20</v>
          </cell>
          <cell r="AY1563" t="str">
            <v/>
          </cell>
          <cell r="AZ1563">
            <v>0.25</v>
          </cell>
          <cell r="BA1563">
            <v>0.25</v>
          </cell>
        </row>
        <row r="1564">
          <cell r="A1564" t="str">
            <v>MACRI TROVO SERRAMENTI di Macri Pasqualino &amp;C s.n.c.</v>
          </cell>
          <cell r="D1564" t="str">
            <v>VIA N. REMBADO</v>
          </cell>
          <cell r="E1564">
            <v>17020</v>
          </cell>
          <cell r="F1564" t="str">
            <v>TOVO S. GIACOMO</v>
          </cell>
          <cell r="G1564" t="str">
            <v>SV</v>
          </cell>
          <cell r="H1564" t="str">
            <v>ITALIA</v>
          </cell>
          <cell r="J1564" t="str">
            <v>01392200091</v>
          </cell>
          <cell r="M1564" t="str">
            <v>UFFICIO ACQUISTI</v>
          </cell>
          <cell r="N1564" t="str">
            <v>019 637154</v>
          </cell>
          <cell r="P1564" t="str">
            <v>info@macritovo.it</v>
          </cell>
          <cell r="R1564" t="str">
            <v>BONIFICO BANCARIO, ALLA DATA DELLA NOSTRA CONFERMA D'ORDINE</v>
          </cell>
          <cell r="X1564">
            <v>0.25</v>
          </cell>
          <cell r="Y1564">
            <v>-0.04</v>
          </cell>
          <cell r="AB1564">
            <v>0.25</v>
          </cell>
          <cell r="AC1564">
            <v>0.25</v>
          </cell>
          <cell r="AD1564">
            <v>0.25</v>
          </cell>
          <cell r="AE1564">
            <v>0.25</v>
          </cell>
          <cell r="AF1564">
            <v>0.25</v>
          </cell>
          <cell r="AG1564">
            <v>0.25</v>
          </cell>
          <cell r="AH1564">
            <v>0.25</v>
          </cell>
          <cell r="AI1564">
            <v>0.25</v>
          </cell>
          <cell r="AJ1564">
            <v>0.25</v>
          </cell>
          <cell r="AK1564">
            <v>0.25</v>
          </cell>
          <cell r="AL1564">
            <v>0.25</v>
          </cell>
          <cell r="AM1564">
            <v>0.25</v>
          </cell>
          <cell r="AN1564">
            <v>0.25</v>
          </cell>
          <cell r="AO1564">
            <v>0.25</v>
          </cell>
          <cell r="AP1564">
            <v>0.25</v>
          </cell>
          <cell r="AQ1564">
            <v>0.25</v>
          </cell>
          <cell r="AR1564">
            <v>0.25</v>
          </cell>
          <cell r="AS1564">
            <v>0.25</v>
          </cell>
          <cell r="AT1564">
            <v>-0.04</v>
          </cell>
          <cell r="AU1564">
            <v>0.92</v>
          </cell>
          <cell r="AV1564">
            <v>20</v>
          </cell>
          <cell r="AY1564" t="str">
            <v/>
          </cell>
          <cell r="AZ1564">
            <v>0.25</v>
          </cell>
          <cell r="BA1564">
            <v>0.25</v>
          </cell>
        </row>
        <row r="1565">
          <cell r="A1565" t="str">
            <v>MAD  DI ALESSANDO DE  VITA</v>
          </cell>
          <cell r="D1565" t="str">
            <v>VIA TOR PISANO, 28  30</v>
          </cell>
          <cell r="E1565">
            <v>72100</v>
          </cell>
          <cell r="F1565" t="str">
            <v>BRINDISI</v>
          </cell>
          <cell r="G1565" t="str">
            <v>BR</v>
          </cell>
          <cell r="H1565" t="str">
            <v>ITALIA</v>
          </cell>
          <cell r="J1565" t="str">
            <v>01541970743</v>
          </cell>
          <cell r="M1565" t="str">
            <v>UFFICIO ACQUISTI</v>
          </cell>
          <cell r="N1565" t="str">
            <v>0831 525443</v>
          </cell>
          <cell r="O1565" t="str">
            <v>335 7492447</v>
          </cell>
          <cell r="P1565" t="str">
            <v>info@madinfissi.it</v>
          </cell>
          <cell r="R1565" t="str">
            <v>BONIFICO BANCARIO, ALLA DATA DELLA NOSTRA CONFERMA D'ORDINE</v>
          </cell>
          <cell r="X1565">
            <v>0.25</v>
          </cell>
          <cell r="Y1565">
            <v>-0.04</v>
          </cell>
          <cell r="AB1565">
            <v>0.25</v>
          </cell>
          <cell r="AC1565">
            <v>0.25</v>
          </cell>
          <cell r="AD1565">
            <v>0.25</v>
          </cell>
          <cell r="AE1565">
            <v>0.25</v>
          </cell>
          <cell r="AF1565">
            <v>0.25</v>
          </cell>
          <cell r="AG1565">
            <v>0.25</v>
          </cell>
          <cell r="AH1565">
            <v>0.25</v>
          </cell>
          <cell r="AI1565">
            <v>0.25</v>
          </cell>
          <cell r="AJ1565">
            <v>0.25</v>
          </cell>
          <cell r="AK1565">
            <v>0.25</v>
          </cell>
          <cell r="AL1565">
            <v>0.25</v>
          </cell>
          <cell r="AM1565">
            <v>0.25</v>
          </cell>
          <cell r="AN1565">
            <v>0.25</v>
          </cell>
          <cell r="AO1565">
            <v>0.25</v>
          </cell>
          <cell r="AP1565">
            <v>0.25</v>
          </cell>
          <cell r="AQ1565">
            <v>0.25</v>
          </cell>
          <cell r="AR1565">
            <v>0.25</v>
          </cell>
          <cell r="AS1565">
            <v>0.25</v>
          </cell>
          <cell r="AT1565">
            <v>-0.04</v>
          </cell>
          <cell r="AU1565">
            <v>0.92</v>
          </cell>
          <cell r="AV1565">
            <v>20</v>
          </cell>
          <cell r="AZ1565">
            <v>0.25</v>
          </cell>
          <cell r="BA1565">
            <v>0.25</v>
          </cell>
        </row>
        <row r="1566">
          <cell r="A1566" t="str">
            <v>MADIMER SRL</v>
          </cell>
          <cell r="B1566" t="str">
            <v>LASCIATO LISTINO</v>
          </cell>
          <cell r="D1566" t="str">
            <v>VIA S.D'ALESSANDRO 68</v>
          </cell>
          <cell r="E1566" t="str">
            <v>84014</v>
          </cell>
          <cell r="F1566" t="str">
            <v>NOCERA INFERIORE</v>
          </cell>
          <cell r="G1566" t="str">
            <v>SA</v>
          </cell>
          <cell r="H1566" t="str">
            <v>ITALIA</v>
          </cell>
          <cell r="M1566" t="str">
            <v>UFFICIO ACQUISTI</v>
          </cell>
          <cell r="N1566" t="str">
            <v>081 5176166</v>
          </cell>
          <cell r="R1566" t="str">
            <v>BONIFICO BANCARIO, ALLA DATA DELLA NOSTRA CONFERMA D'ORDINE</v>
          </cell>
          <cell r="X1566">
            <v>0.25</v>
          </cell>
          <cell r="Y1566">
            <v>-0.04</v>
          </cell>
          <cell r="AB1566">
            <v>0.25</v>
          </cell>
          <cell r="AC1566">
            <v>0.25</v>
          </cell>
          <cell r="AD1566">
            <v>0.25</v>
          </cell>
          <cell r="AE1566">
            <v>0.25</v>
          </cell>
          <cell r="AF1566">
            <v>0.25</v>
          </cell>
          <cell r="AG1566">
            <v>0.25</v>
          </cell>
          <cell r="AH1566">
            <v>0.25</v>
          </cell>
          <cell r="AI1566">
            <v>0.25</v>
          </cell>
          <cell r="AJ1566">
            <v>0.25</v>
          </cell>
          <cell r="AK1566">
            <v>0.25</v>
          </cell>
          <cell r="AL1566">
            <v>0.25</v>
          </cell>
          <cell r="AM1566">
            <v>0.25</v>
          </cell>
          <cell r="AN1566">
            <v>0.25</v>
          </cell>
          <cell r="AO1566">
            <v>0.25</v>
          </cell>
          <cell r="AP1566">
            <v>0.25</v>
          </cell>
          <cell r="AQ1566">
            <v>0.25</v>
          </cell>
          <cell r="AR1566">
            <v>0.25</v>
          </cell>
          <cell r="AS1566">
            <v>0.25</v>
          </cell>
          <cell r="AT1566">
            <v>-0.04</v>
          </cell>
          <cell r="AU1566">
            <v>0.92</v>
          </cell>
          <cell r="AV1566">
            <v>20</v>
          </cell>
          <cell r="AY1566" t="str">
            <v/>
          </cell>
          <cell r="AZ1566">
            <v>0.25</v>
          </cell>
          <cell r="BA1566">
            <v>0.25</v>
          </cell>
        </row>
        <row r="1567">
          <cell r="A1567" t="str">
            <v>MAFFEI DI MAFFEI MARIO</v>
          </cell>
          <cell r="D1567" t="str">
            <v>VIALE DELLE CASCINE, 48</v>
          </cell>
          <cell r="E1567">
            <v>56122</v>
          </cell>
          <cell r="F1567" t="str">
            <v>PISA</v>
          </cell>
          <cell r="G1567" t="str">
            <v>PI</v>
          </cell>
          <cell r="H1567" t="str">
            <v>ITALIA</v>
          </cell>
          <cell r="J1567" t="str">
            <v>01631670500</v>
          </cell>
          <cell r="M1567" t="str">
            <v>UFFICIO ACQUISTI</v>
          </cell>
          <cell r="R1567" t="str">
            <v>BONIFICO BANCARIO, ALLA DATA DELLA NOSTRA CONFERMA D'ORDINE</v>
          </cell>
          <cell r="X1567">
            <v>0.25</v>
          </cell>
          <cell r="Y1567">
            <v>-0.04</v>
          </cell>
          <cell r="AB1567">
            <v>0.25</v>
          </cell>
          <cell r="AC1567">
            <v>0.25</v>
          </cell>
          <cell r="AD1567">
            <v>0.25</v>
          </cell>
          <cell r="AE1567">
            <v>0.25</v>
          </cell>
          <cell r="AF1567">
            <v>0.25</v>
          </cell>
          <cell r="AG1567">
            <v>0.25</v>
          </cell>
          <cell r="AH1567">
            <v>0.25</v>
          </cell>
          <cell r="AI1567">
            <v>0.25</v>
          </cell>
          <cell r="AJ1567">
            <v>0.25</v>
          </cell>
          <cell r="AK1567">
            <v>0.25</v>
          </cell>
          <cell r="AL1567">
            <v>0.25</v>
          </cell>
          <cell r="AM1567">
            <v>0.25</v>
          </cell>
          <cell r="AN1567">
            <v>0.25</v>
          </cell>
          <cell r="AO1567">
            <v>0.25</v>
          </cell>
          <cell r="AP1567">
            <v>0.25</v>
          </cell>
          <cell r="AQ1567">
            <v>0.25</v>
          </cell>
          <cell r="AR1567">
            <v>0.25</v>
          </cell>
          <cell r="AS1567">
            <v>0.25</v>
          </cell>
          <cell r="AT1567">
            <v>-0.04</v>
          </cell>
          <cell r="AU1567">
            <v>0.92</v>
          </cell>
          <cell r="AV1567">
            <v>20</v>
          </cell>
          <cell r="AY1567" t="str">
            <v/>
          </cell>
          <cell r="AZ1567">
            <v>0.25</v>
          </cell>
          <cell r="BA1567">
            <v>0.25</v>
          </cell>
        </row>
        <row r="1568">
          <cell r="A1568" t="str">
            <v>MAG SNC DI RAZZA MARIO E C.</v>
          </cell>
          <cell r="B1568" t="str">
            <v>21/03/23 NON SONO INTERESSATI</v>
          </cell>
          <cell r="D1568" t="str">
            <v>VIA XXIV MAGGIO 138</v>
          </cell>
          <cell r="E1568" t="str">
            <v>29100</v>
          </cell>
          <cell r="F1568" t="str">
            <v>PIACENZA</v>
          </cell>
          <cell r="G1568" t="str">
            <v>PC</v>
          </cell>
          <cell r="H1568" t="str">
            <v>ITALIA</v>
          </cell>
          <cell r="M1568" t="str">
            <v>UFFICIO ACQUISTI</v>
          </cell>
          <cell r="N1568" t="str">
            <v>0523 497106</v>
          </cell>
          <cell r="R1568" t="str">
            <v>BONIFICO BANCARIO, ALLA DATA DELLA NOSTRA CONFERMA D'ORDINE</v>
          </cell>
          <cell r="X1568">
            <v>0.2</v>
          </cell>
          <cell r="Y1568">
            <v>-0.04</v>
          </cell>
          <cell r="AB1568">
            <v>0.2</v>
          </cell>
          <cell r="AC1568">
            <v>0.2</v>
          </cell>
          <cell r="AD1568">
            <v>0.2</v>
          </cell>
          <cell r="AE1568">
            <v>0.2</v>
          </cell>
          <cell r="AF1568">
            <v>0.2</v>
          </cell>
          <cell r="AG1568">
            <v>0.2</v>
          </cell>
          <cell r="AH1568">
            <v>0.2</v>
          </cell>
          <cell r="AI1568">
            <v>0.2</v>
          </cell>
          <cell r="AJ1568">
            <v>0.2</v>
          </cell>
          <cell r="AK1568">
            <v>0.2</v>
          </cell>
          <cell r="AL1568">
            <v>0.2</v>
          </cell>
          <cell r="AM1568">
            <v>0.2</v>
          </cell>
          <cell r="AN1568">
            <v>0.2</v>
          </cell>
          <cell r="AO1568">
            <v>0.2</v>
          </cell>
          <cell r="AP1568">
            <v>0.2</v>
          </cell>
          <cell r="AQ1568">
            <v>0.2</v>
          </cell>
          <cell r="AR1568">
            <v>0.2</v>
          </cell>
          <cell r="AS1568">
            <v>0.2</v>
          </cell>
          <cell r="AT1568">
            <v>-0.04</v>
          </cell>
          <cell r="AU1568">
            <v>0.92</v>
          </cell>
          <cell r="AV1568">
            <v>20</v>
          </cell>
          <cell r="AY1568" t="str">
            <v/>
          </cell>
          <cell r="AZ1568">
            <v>0.2</v>
          </cell>
          <cell r="BA1568">
            <v>0.2</v>
          </cell>
        </row>
        <row r="1569">
          <cell r="A1569" t="str">
            <v>MAGAZZINI FERRARIO</v>
          </cell>
          <cell r="D1569" t="str">
            <v>VIA SAN MARTINO, 3</v>
          </cell>
          <cell r="E1569">
            <v>20066</v>
          </cell>
          <cell r="F1569" t="str">
            <v>MELZO</v>
          </cell>
          <cell r="G1569" t="str">
            <v>MI</v>
          </cell>
          <cell r="H1569" t="str">
            <v>ITALIA</v>
          </cell>
          <cell r="M1569" t="str">
            <v>UFFICIO ACQUISTI</v>
          </cell>
          <cell r="N1569" t="str">
            <v>02 9550853</v>
          </cell>
          <cell r="O1569" t="str">
            <v>371 1853544</v>
          </cell>
          <cell r="P1569" t="str">
            <v>info@magazziniferrario.it</v>
          </cell>
          <cell r="R1569" t="str">
            <v>BONIFICO BANCARIO, ALLA DATA DELLA NOSTRA CONFERMA D'ORDINE</v>
          </cell>
          <cell r="X1569">
            <v>0.25</v>
          </cell>
          <cell r="Y1569">
            <v>-0.04</v>
          </cell>
          <cell r="AB1569">
            <v>0.25</v>
          </cell>
          <cell r="AC1569">
            <v>0.25</v>
          </cell>
          <cell r="AD1569">
            <v>0.25</v>
          </cell>
          <cell r="AE1569">
            <v>0.25</v>
          </cell>
          <cell r="AF1569">
            <v>0.25</v>
          </cell>
          <cell r="AG1569">
            <v>0.25</v>
          </cell>
          <cell r="AH1569">
            <v>0.25</v>
          </cell>
          <cell r="AI1569">
            <v>0.25</v>
          </cell>
          <cell r="AJ1569">
            <v>0.25</v>
          </cell>
          <cell r="AK1569">
            <v>0.25</v>
          </cell>
          <cell r="AL1569">
            <v>0.25</v>
          </cell>
          <cell r="AM1569">
            <v>0.25</v>
          </cell>
          <cell r="AN1569">
            <v>0.25</v>
          </cell>
          <cell r="AO1569">
            <v>0.25</v>
          </cell>
          <cell r="AP1569">
            <v>0.25</v>
          </cell>
          <cell r="AQ1569">
            <v>0.25</v>
          </cell>
          <cell r="AR1569">
            <v>0.25</v>
          </cell>
          <cell r="AS1569">
            <v>0.25</v>
          </cell>
          <cell r="AT1569">
            <v>-0.04</v>
          </cell>
          <cell r="AU1569">
            <v>0.92</v>
          </cell>
          <cell r="AV1569">
            <v>20</v>
          </cell>
          <cell r="AY1569" t="str">
            <v/>
          </cell>
          <cell r="AZ1569">
            <v>0.25</v>
          </cell>
          <cell r="BA1569">
            <v>0.25</v>
          </cell>
        </row>
        <row r="1570">
          <cell r="A1570" t="str">
            <v>MAINA SERRAMENTI DI MAINA GIUSEPPE</v>
          </cell>
          <cell r="B1570" t="str">
            <v>OK CAMPIONE SC.30%</v>
          </cell>
          <cell r="D1570" t="str">
            <v>VIA MILANO, 42</v>
          </cell>
          <cell r="E1570">
            <v>26029</v>
          </cell>
          <cell r="F1570" t="str">
            <v>SONCINO</v>
          </cell>
          <cell r="G1570" t="str">
            <v>CR</v>
          </cell>
          <cell r="H1570" t="str">
            <v>ITALIA</v>
          </cell>
          <cell r="I1570" t="str">
            <v>MNAGPP76L11F205D</v>
          </cell>
          <cell r="J1570" t="str">
            <v>01508060199</v>
          </cell>
          <cell r="K1570" t="str">
            <v>M5UXCR1</v>
          </cell>
          <cell r="M1570" t="str">
            <v>UFFICIO ACQUISTI</v>
          </cell>
          <cell r="N1570" t="str">
            <v>346 3220457</v>
          </cell>
          <cell r="P1570" t="str">
            <v>info@mainaserramenti.it</v>
          </cell>
          <cell r="R1570" t="str">
            <v>BONIFICO BANCARIO, ALLA DATA DELLA NOSTRA CONFERMA D'ORDINE</v>
          </cell>
          <cell r="X1570">
            <v>0.25</v>
          </cell>
          <cell r="Y1570">
            <v>-0.04</v>
          </cell>
          <cell r="AB1570">
            <v>0.25</v>
          </cell>
          <cell r="AC1570">
            <v>0.25</v>
          </cell>
          <cell r="AD1570">
            <v>0.25</v>
          </cell>
          <cell r="AE1570">
            <v>0.25</v>
          </cell>
          <cell r="AF1570">
            <v>0.25</v>
          </cell>
          <cell r="AG1570">
            <v>0.25</v>
          </cell>
          <cell r="AH1570">
            <v>0.25</v>
          </cell>
          <cell r="AI1570">
            <v>0.25</v>
          </cell>
          <cell r="AJ1570">
            <v>0.25</v>
          </cell>
          <cell r="AK1570">
            <v>0.25</v>
          </cell>
          <cell r="AL1570">
            <v>0.25</v>
          </cell>
          <cell r="AM1570">
            <v>0.25</v>
          </cell>
          <cell r="AN1570">
            <v>0.25</v>
          </cell>
          <cell r="AO1570">
            <v>0.25</v>
          </cell>
          <cell r="AP1570">
            <v>0.25</v>
          </cell>
          <cell r="AQ1570">
            <v>0.25</v>
          </cell>
          <cell r="AR1570">
            <v>0.25</v>
          </cell>
          <cell r="AS1570">
            <v>0.25</v>
          </cell>
          <cell r="AT1570">
            <v>-0.04</v>
          </cell>
          <cell r="AU1570">
            <v>0.92</v>
          </cell>
          <cell r="AV1570">
            <v>20</v>
          </cell>
          <cell r="AY1570" t="str">
            <v/>
          </cell>
          <cell r="AZ1570">
            <v>0.25</v>
          </cell>
          <cell r="BA1570">
            <v>0.25</v>
          </cell>
          <cell r="BF1570" t="str">
            <v>CLICK RAPID con carpenteria 11/09/2020</v>
          </cell>
        </row>
        <row r="1571">
          <cell r="A1571" t="str">
            <v>MALAGOLI</v>
          </cell>
          <cell r="D1571" t="str">
            <v>VIA DEGLI SCARLATTI, 97</v>
          </cell>
          <cell r="E1571" t="str">
            <v>41122</v>
          </cell>
          <cell r="F1571" t="str">
            <v>MODENA</v>
          </cell>
          <cell r="G1571" t="str">
            <v>MO</v>
          </cell>
          <cell r="H1571" t="str">
            <v>ITALIA</v>
          </cell>
          <cell r="J1571" t="str">
            <v>03024390365</v>
          </cell>
          <cell r="K1571" t="str">
            <v>T04ZHR3</v>
          </cell>
          <cell r="M1571" t="str">
            <v>UFFICIO ACQUISTI</v>
          </cell>
          <cell r="N1571" t="str">
            <v>059 4821221</v>
          </cell>
          <cell r="R1571" t="str">
            <v>BONIFICO BANCARIO, ALLA DATA DELLA NOSTRA CONFERMA D'ORDINE</v>
          </cell>
          <cell r="X1571">
            <v>0.2</v>
          </cell>
          <cell r="Y1571">
            <v>-0.04</v>
          </cell>
          <cell r="AB1571">
            <v>0.2</v>
          </cell>
          <cell r="AC1571">
            <v>0.2</v>
          </cell>
          <cell r="AD1571">
            <v>0.2</v>
          </cell>
          <cell r="AE1571">
            <v>0.2</v>
          </cell>
          <cell r="AF1571">
            <v>0.2</v>
          </cell>
          <cell r="AG1571">
            <v>0.2</v>
          </cell>
          <cell r="AH1571">
            <v>0.2</v>
          </cell>
          <cell r="AI1571">
            <v>0.2</v>
          </cell>
          <cell r="AJ1571">
            <v>0.2</v>
          </cell>
          <cell r="AK1571">
            <v>0.2</v>
          </cell>
          <cell r="AL1571">
            <v>0.2</v>
          </cell>
          <cell r="AM1571">
            <v>0.2</v>
          </cell>
          <cell r="AN1571">
            <v>0.2</v>
          </cell>
          <cell r="AO1571">
            <v>0.2</v>
          </cell>
          <cell r="AP1571">
            <v>0.2</v>
          </cell>
          <cell r="AQ1571">
            <v>0.2</v>
          </cell>
          <cell r="AR1571">
            <v>0.2</v>
          </cell>
          <cell r="AS1571">
            <v>0.2</v>
          </cell>
          <cell r="AT1571">
            <v>-0.04</v>
          </cell>
          <cell r="AU1571">
            <v>0.92</v>
          </cell>
          <cell r="AV1571">
            <v>20</v>
          </cell>
          <cell r="AZ1571">
            <v>0.2</v>
          </cell>
          <cell r="BA1571">
            <v>0.2</v>
          </cell>
        </row>
        <row r="1572">
          <cell r="A1572" t="str">
            <v>MALAGOLI SERRAMENTI MODENA</v>
          </cell>
          <cell r="D1572" t="str">
            <v>VIA DEGLI SCARLATTI, 97</v>
          </cell>
          <cell r="E1572">
            <v>41122</v>
          </cell>
          <cell r="F1572" t="str">
            <v>MODENA</v>
          </cell>
          <cell r="G1572" t="str">
            <v>MO</v>
          </cell>
          <cell r="H1572" t="str">
            <v>ITALIA</v>
          </cell>
          <cell r="J1572" t="str">
            <v>03024390365</v>
          </cell>
          <cell r="K1572" t="str">
            <v>T04ZHR3</v>
          </cell>
          <cell r="M1572" t="str">
            <v>UFFICIO ACQUISTI</v>
          </cell>
          <cell r="N1572" t="str">
            <v>059 4821221</v>
          </cell>
          <cell r="P1572" t="str">
            <v>info@serramentimalagoli.it - serramentimalagoli@dapec.it</v>
          </cell>
          <cell r="R1572" t="str">
            <v>BONIFICO BANCARIO, ALLA DATA DELLA NOSTRA CONFERMA D'ORDINE</v>
          </cell>
          <cell r="X1572">
            <v>0.25</v>
          </cell>
          <cell r="Y1572">
            <v>-0.04</v>
          </cell>
          <cell r="AB1572">
            <v>0.25</v>
          </cell>
          <cell r="AC1572">
            <v>0.25</v>
          </cell>
          <cell r="AD1572">
            <v>0.25</v>
          </cell>
          <cell r="AE1572">
            <v>0.25</v>
          </cell>
          <cell r="AF1572">
            <v>0.25</v>
          </cell>
          <cell r="AG1572">
            <v>0.25</v>
          </cell>
          <cell r="AH1572">
            <v>0.25</v>
          </cell>
          <cell r="AI1572">
            <v>0.25</v>
          </cell>
          <cell r="AJ1572">
            <v>0.25</v>
          </cell>
          <cell r="AK1572">
            <v>0.25</v>
          </cell>
          <cell r="AL1572">
            <v>0.25</v>
          </cell>
          <cell r="AM1572">
            <v>0.25</v>
          </cell>
          <cell r="AN1572">
            <v>0.25</v>
          </cell>
          <cell r="AO1572">
            <v>0.25</v>
          </cell>
          <cell r="AP1572">
            <v>0.25</v>
          </cell>
          <cell r="AQ1572">
            <v>0.25</v>
          </cell>
          <cell r="AR1572">
            <v>0.25</v>
          </cell>
          <cell r="AS1572">
            <v>0.25</v>
          </cell>
          <cell r="AT1572">
            <v>-0.04</v>
          </cell>
          <cell r="AU1572">
            <v>0.92</v>
          </cell>
          <cell r="AV1572">
            <v>20</v>
          </cell>
          <cell r="AY1572" t="str">
            <v/>
          </cell>
          <cell r="AZ1572">
            <v>0.25</v>
          </cell>
          <cell r="BA1572">
            <v>0.25</v>
          </cell>
        </row>
        <row r="1573">
          <cell r="A1573" t="str">
            <v>MALAVASI DEMOS</v>
          </cell>
          <cell r="D1573" t="str">
            <v>VIA CREMONA, 25</v>
          </cell>
          <cell r="E1573">
            <v>46100</v>
          </cell>
          <cell r="F1573" t="str">
            <v>MANTOVA</v>
          </cell>
          <cell r="G1573" t="str">
            <v>MN</v>
          </cell>
          <cell r="H1573" t="str">
            <v>ITALIA</v>
          </cell>
          <cell r="M1573" t="str">
            <v>UFFICIO ACQUISTI</v>
          </cell>
          <cell r="N1573" t="str">
            <v>0376 380178</v>
          </cell>
          <cell r="P1573" t="str">
            <v>info@malavasidemos.it</v>
          </cell>
          <cell r="R1573" t="str">
            <v>BONIFICO BANCARIO, ALLA DATA DELLA NOSTRA CONFERMA D'ORDINE</v>
          </cell>
          <cell r="X1573">
            <v>0.25</v>
          </cell>
          <cell r="Y1573">
            <v>-0.04</v>
          </cell>
          <cell r="AB1573">
            <v>0.25</v>
          </cell>
          <cell r="AC1573">
            <v>0.25</v>
          </cell>
          <cell r="AD1573">
            <v>0.25</v>
          </cell>
          <cell r="AE1573">
            <v>0.25</v>
          </cell>
          <cell r="AF1573">
            <v>0.25</v>
          </cell>
          <cell r="AG1573">
            <v>0.25</v>
          </cell>
          <cell r="AH1573">
            <v>0.25</v>
          </cell>
          <cell r="AI1573">
            <v>0.25</v>
          </cell>
          <cell r="AJ1573">
            <v>0.25</v>
          </cell>
          <cell r="AK1573">
            <v>0.25</v>
          </cell>
          <cell r="AL1573">
            <v>0.25</v>
          </cell>
          <cell r="AM1573">
            <v>0.25</v>
          </cell>
          <cell r="AN1573">
            <v>0.25</v>
          </cell>
          <cell r="AO1573">
            <v>0.25</v>
          </cell>
          <cell r="AP1573">
            <v>0.25</v>
          </cell>
          <cell r="AQ1573">
            <v>0.25</v>
          </cell>
          <cell r="AR1573">
            <v>0.25</v>
          </cell>
          <cell r="AS1573">
            <v>0.25</v>
          </cell>
          <cell r="AT1573">
            <v>-0.04</v>
          </cell>
          <cell r="AU1573">
            <v>0.92</v>
          </cell>
          <cell r="AV1573">
            <v>20</v>
          </cell>
          <cell r="AY1573" t="str">
            <v/>
          </cell>
          <cell r="AZ1573">
            <v>0.25</v>
          </cell>
          <cell r="BA1573">
            <v>0.25</v>
          </cell>
        </row>
        <row r="1574">
          <cell r="A1574" t="str">
            <v>MALIPENSA INFISSI</v>
          </cell>
          <cell r="D1574" t="str">
            <v>VIA DELL'ECONOMIA, 18</v>
          </cell>
          <cell r="E1574" t="str">
            <v>35044</v>
          </cell>
          <cell r="F1574" t="str">
            <v>MONTAGNANA</v>
          </cell>
          <cell r="G1574" t="str">
            <v>PD</v>
          </cell>
          <cell r="H1574" t="str">
            <v>ITALIA</v>
          </cell>
          <cell r="M1574" t="str">
            <v>UFFICIO ACQUISTI</v>
          </cell>
          <cell r="N1574" t="str">
            <v>0429 83597</v>
          </cell>
          <cell r="O1574" t="str">
            <v>335 6756329</v>
          </cell>
          <cell r="P1574" t="str">
            <v>malimpensainfissi@alice.it</v>
          </cell>
          <cell r="R1574" t="str">
            <v>BONIFICO BANCARIO, ALLA DATA DELLA NOSTRA CONFERMA D'ORDINE</v>
          </cell>
          <cell r="X1574">
            <v>0.25</v>
          </cell>
          <cell r="Y1574">
            <v>-0.04</v>
          </cell>
          <cell r="AB1574">
            <v>0.25</v>
          </cell>
          <cell r="AC1574">
            <v>0.25</v>
          </cell>
          <cell r="AD1574">
            <v>0.25</v>
          </cell>
          <cell r="AE1574">
            <v>0.25</v>
          </cell>
          <cell r="AF1574">
            <v>0.25</v>
          </cell>
          <cell r="AG1574">
            <v>0.25</v>
          </cell>
          <cell r="AH1574">
            <v>0.25</v>
          </cell>
          <cell r="AI1574">
            <v>0.25</v>
          </cell>
          <cell r="AJ1574">
            <v>0.25</v>
          </cell>
          <cell r="AK1574">
            <v>0.25</v>
          </cell>
          <cell r="AL1574">
            <v>0.25</v>
          </cell>
          <cell r="AM1574">
            <v>0.25</v>
          </cell>
          <cell r="AN1574">
            <v>0.25</v>
          </cell>
          <cell r="AO1574">
            <v>0.25</v>
          </cell>
          <cell r="AP1574">
            <v>0.25</v>
          </cell>
          <cell r="AQ1574">
            <v>0.25</v>
          </cell>
          <cell r="AR1574">
            <v>0.25</v>
          </cell>
          <cell r="AS1574">
            <v>0.25</v>
          </cell>
          <cell r="AT1574">
            <v>-0.04</v>
          </cell>
          <cell r="AU1574">
            <v>0.92</v>
          </cell>
          <cell r="AV1574">
            <v>20</v>
          </cell>
          <cell r="AY1574" t="str">
            <v/>
          </cell>
          <cell r="AZ1574">
            <v>0.25</v>
          </cell>
          <cell r="BA1574">
            <v>0.25</v>
          </cell>
        </row>
        <row r="1575">
          <cell r="A1575" t="str">
            <v>MAMOINFISSI DI MORENO VANNOZZI</v>
          </cell>
          <cell r="D1575" t="str">
            <v>VIA AURELIA SUD 345</v>
          </cell>
          <cell r="E1575" t="str">
            <v>55049</v>
          </cell>
          <cell r="F1575" t="str">
            <v>VIAREGGIO</v>
          </cell>
          <cell r="G1575" t="str">
            <v>LU</v>
          </cell>
          <cell r="H1575" t="str">
            <v>ITALIA</v>
          </cell>
          <cell r="M1575" t="str">
            <v>UFFICIO ACQUISTI</v>
          </cell>
          <cell r="N1575" t="str">
            <v>0584 387714</v>
          </cell>
          <cell r="O1575" t="str">
            <v>392 7856970 - 348 6808760</v>
          </cell>
          <cell r="P1575" t="str">
            <v>mamomoreno@hotmail.it</v>
          </cell>
          <cell r="R1575" t="str">
            <v>BONIFICO BANCARIO, ALLA DATA DELLA NOSTRA CONFERMA D'ORDINE</v>
          </cell>
          <cell r="X1575">
            <v>0.25</v>
          </cell>
          <cell r="Y1575">
            <v>-0.04</v>
          </cell>
          <cell r="AB1575">
            <v>0.25</v>
          </cell>
          <cell r="AC1575">
            <v>0.25</v>
          </cell>
          <cell r="AD1575">
            <v>0.25</v>
          </cell>
          <cell r="AE1575">
            <v>0.25</v>
          </cell>
          <cell r="AF1575">
            <v>0.25</v>
          </cell>
          <cell r="AG1575">
            <v>0.25</v>
          </cell>
          <cell r="AH1575">
            <v>0.25</v>
          </cell>
          <cell r="AI1575">
            <v>0.25</v>
          </cell>
          <cell r="AJ1575">
            <v>0.25</v>
          </cell>
          <cell r="AK1575">
            <v>0.25</v>
          </cell>
          <cell r="AL1575">
            <v>0.25</v>
          </cell>
          <cell r="AM1575">
            <v>0.25</v>
          </cell>
          <cell r="AN1575">
            <v>0.25</v>
          </cell>
          <cell r="AO1575">
            <v>0.25</v>
          </cell>
          <cell r="AP1575">
            <v>0.25</v>
          </cell>
          <cell r="AQ1575">
            <v>0.25</v>
          </cell>
          <cell r="AR1575">
            <v>0.25</v>
          </cell>
          <cell r="AS1575">
            <v>0.25</v>
          </cell>
          <cell r="AT1575">
            <v>-0.04</v>
          </cell>
          <cell r="AU1575">
            <v>0.92</v>
          </cell>
          <cell r="AV1575">
            <v>20</v>
          </cell>
          <cell r="AY1575" t="str">
            <v/>
          </cell>
          <cell r="AZ1575">
            <v>0.25</v>
          </cell>
          <cell r="BA1575">
            <v>0.25</v>
          </cell>
        </row>
        <row r="1576">
          <cell r="A1576" t="str">
            <v>MANCUSO &amp; NAPOLITANO</v>
          </cell>
          <cell r="D1576" t="str">
            <v xml:space="preserve">VIA KEPLERO, 3 5 </v>
          </cell>
          <cell r="E1576">
            <v>20016</v>
          </cell>
          <cell r="F1576" t="str">
            <v>PERO</v>
          </cell>
          <cell r="G1576" t="str">
            <v>MI</v>
          </cell>
          <cell r="H1576" t="str">
            <v>ITALIA</v>
          </cell>
          <cell r="I1576" t="str">
            <v>NPLNDR89D28H264D</v>
          </cell>
          <cell r="J1576" t="str">
            <v>08847570960</v>
          </cell>
          <cell r="M1576" t="str">
            <v>UFFICIO ACQUISTI</v>
          </cell>
          <cell r="N1576" t="str">
            <v>02 38100271</v>
          </cell>
          <cell r="P1576" t="str">
            <v>nuovanapolitano@gmail.com</v>
          </cell>
          <cell r="R1576" t="str">
            <v>BONIFICO BANCARIO, ALLA DATA DELLA NOSTRA CONFERMA D'ORDINE</v>
          </cell>
          <cell r="X1576">
            <v>0.25</v>
          </cell>
          <cell r="Y1576">
            <v>-0.04</v>
          </cell>
          <cell r="AB1576">
            <v>0.25</v>
          </cell>
          <cell r="AC1576">
            <v>0.25</v>
          </cell>
          <cell r="AD1576">
            <v>0.25</v>
          </cell>
          <cell r="AE1576">
            <v>0.25</v>
          </cell>
          <cell r="AF1576">
            <v>0.25</v>
          </cell>
          <cell r="AG1576">
            <v>0.25</v>
          </cell>
          <cell r="AH1576">
            <v>0.25</v>
          </cell>
          <cell r="AI1576">
            <v>0.25</v>
          </cell>
          <cell r="AJ1576">
            <v>0.25</v>
          </cell>
          <cell r="AK1576">
            <v>0.25</v>
          </cell>
          <cell r="AL1576">
            <v>0.25</v>
          </cell>
          <cell r="AM1576">
            <v>0.25</v>
          </cell>
          <cell r="AN1576">
            <v>0.25</v>
          </cell>
          <cell r="AO1576">
            <v>0.25</v>
          </cell>
          <cell r="AP1576">
            <v>0.25</v>
          </cell>
          <cell r="AQ1576">
            <v>0.25</v>
          </cell>
          <cell r="AR1576">
            <v>0.25</v>
          </cell>
          <cell r="AS1576">
            <v>0.25</v>
          </cell>
          <cell r="AT1576">
            <v>-0.04</v>
          </cell>
          <cell r="AU1576">
            <v>0.92</v>
          </cell>
          <cell r="AV1576">
            <v>20</v>
          </cell>
          <cell r="AY1576" t="str">
            <v/>
          </cell>
          <cell r="AZ1576">
            <v>0.25</v>
          </cell>
          <cell r="BA1576">
            <v>0.25</v>
          </cell>
        </row>
        <row r="1577">
          <cell r="A1577" t="str">
            <v>MANDALARI SRL</v>
          </cell>
          <cell r="B1577" t="str">
            <v>CAMPIONE + VOLANTINI+ LETTERA    LINEA LEGNO TRIFODI</v>
          </cell>
          <cell r="D1577" t="str">
            <v>Via Lia Traversa I, 11</v>
          </cell>
          <cell r="E1577" t="str">
            <v>89122</v>
          </cell>
          <cell r="F1577" t="str">
            <v>REGGIO CALABRIA</v>
          </cell>
          <cell r="G1577" t="str">
            <v>RC</v>
          </cell>
          <cell r="H1577" t="str">
            <v>ITALIA</v>
          </cell>
          <cell r="J1577" t="str">
            <v>02090220803</v>
          </cell>
          <cell r="K1577" t="str">
            <v>USAL89PV</v>
          </cell>
          <cell r="M1577" t="str">
            <v>UFFICIO ACQUISTI</v>
          </cell>
          <cell r="N1577" t="str">
            <v>0965 46532</v>
          </cell>
          <cell r="P1577" t="str">
            <v>commerciale.mandalarisrl@gmail.com</v>
          </cell>
          <cell r="R1577" t="str">
            <v>BONIFICO BANCARIO, ALLA DATA DELLA NOSTRA CONFERMA D'ORDINE</v>
          </cell>
          <cell r="X1577">
            <v>0.25</v>
          </cell>
          <cell r="Y1577">
            <v>-0.04</v>
          </cell>
          <cell r="AB1577">
            <v>0.25</v>
          </cell>
          <cell r="AC1577">
            <v>0.25</v>
          </cell>
          <cell r="AD1577">
            <v>0.25</v>
          </cell>
          <cell r="AE1577">
            <v>0.25</v>
          </cell>
          <cell r="AF1577">
            <v>0.25</v>
          </cell>
          <cell r="AG1577">
            <v>0.25</v>
          </cell>
          <cell r="AH1577">
            <v>0.25</v>
          </cell>
          <cell r="AI1577">
            <v>0.25</v>
          </cell>
          <cell r="AJ1577">
            <v>0.25</v>
          </cell>
          <cell r="AK1577">
            <v>0.25</v>
          </cell>
          <cell r="AL1577">
            <v>0.25</v>
          </cell>
          <cell r="AM1577">
            <v>0.25</v>
          </cell>
          <cell r="AN1577">
            <v>0.25</v>
          </cell>
          <cell r="AO1577">
            <v>0.25</v>
          </cell>
          <cell r="AP1577">
            <v>0.25</v>
          </cell>
          <cell r="AQ1577">
            <v>0.25</v>
          </cell>
          <cell r="AR1577">
            <v>0.25</v>
          </cell>
          <cell r="AS1577">
            <v>0.25</v>
          </cell>
          <cell r="AT1577">
            <v>-0.04</v>
          </cell>
          <cell r="AU1577">
            <v>0.92</v>
          </cell>
          <cell r="AV1577">
            <v>20</v>
          </cell>
          <cell r="AW1577" t="str">
            <v>PIETRO OLIVADOTI</v>
          </cell>
          <cell r="AX1577">
            <v>0.95</v>
          </cell>
          <cell r="AY1577" t="str">
            <v/>
          </cell>
          <cell r="AZ1577">
            <v>0.25</v>
          </cell>
          <cell r="BA1577">
            <v>0.25</v>
          </cell>
        </row>
        <row r="1578">
          <cell r="A1578" t="str">
            <v>MANDARA ALESSIO</v>
          </cell>
          <cell r="D1578" t="str">
            <v>ZONA INDUSTRIALE PRATO SARDO LOTTO 64</v>
          </cell>
          <cell r="E1578" t="str">
            <v>08100</v>
          </cell>
          <cell r="F1578" t="str">
            <v>NUORO</v>
          </cell>
          <cell r="G1578" t="str">
            <v>NU</v>
          </cell>
          <cell r="H1578" t="str">
            <v>ITALIA</v>
          </cell>
          <cell r="J1578" t="str">
            <v>01386410912</v>
          </cell>
          <cell r="K1578" t="str">
            <v>M5UXCR1</v>
          </cell>
          <cell r="M1578" t="str">
            <v>UFFICIO ACQUISTI</v>
          </cell>
          <cell r="O1578" t="str">
            <v>329 4158738 - 3518836810</v>
          </cell>
          <cell r="P1578" t="str">
            <v>edilmandara@gmail.com</v>
          </cell>
          <cell r="R1578" t="str">
            <v>BONIFICO BANCARIO, ALLA DATA DELLA NOSTRA CONFERMA D'ORDINE</v>
          </cell>
          <cell r="X1578">
            <v>0.25</v>
          </cell>
          <cell r="Y1578">
            <v>-0.04</v>
          </cell>
          <cell r="AB1578">
            <v>0.25</v>
          </cell>
          <cell r="AC1578">
            <v>0.25</v>
          </cell>
          <cell r="AD1578">
            <v>0.25</v>
          </cell>
          <cell r="AE1578">
            <v>0.25</v>
          </cell>
          <cell r="AF1578">
            <v>0.25</v>
          </cell>
          <cell r="AG1578">
            <v>0.25</v>
          </cell>
          <cell r="AH1578">
            <v>0.25</v>
          </cell>
          <cell r="AI1578">
            <v>0.25</v>
          </cell>
          <cell r="AJ1578">
            <v>0.25</v>
          </cell>
          <cell r="AK1578">
            <v>0.25</v>
          </cell>
          <cell r="AL1578">
            <v>0.25</v>
          </cell>
          <cell r="AM1578">
            <v>0.25</v>
          </cell>
          <cell r="AN1578">
            <v>0.25</v>
          </cell>
          <cell r="AO1578">
            <v>0.25</v>
          </cell>
          <cell r="AP1578">
            <v>0.25</v>
          </cell>
          <cell r="AQ1578">
            <v>0.25</v>
          </cell>
          <cell r="AR1578">
            <v>0.25</v>
          </cell>
          <cell r="AS1578">
            <v>0.25</v>
          </cell>
          <cell r="AT1578">
            <v>-0.04</v>
          </cell>
          <cell r="AU1578">
            <v>0.92</v>
          </cell>
          <cell r="AV1578">
            <v>20</v>
          </cell>
          <cell r="AZ1578">
            <v>0.25</v>
          </cell>
          <cell r="BA1578">
            <v>0.25</v>
          </cell>
          <cell r="BF1578" t="str">
            <v>CLICK RAPID con carpenteria 14/04/2021</v>
          </cell>
        </row>
        <row r="1579">
          <cell r="A1579" t="str">
            <v>MANEA AURELIAN</v>
          </cell>
          <cell r="D1579" t="str">
            <v>VIA DI PIETRALATA, 318 A</v>
          </cell>
          <cell r="E1579" t="str">
            <v>00158</v>
          </cell>
          <cell r="F1579" t="str">
            <v>ROMA</v>
          </cell>
          <cell r="G1579" t="str">
            <v>RM</v>
          </cell>
          <cell r="H1579" t="str">
            <v>ITALIA</v>
          </cell>
          <cell r="J1579" t="str">
            <v>13342971002</v>
          </cell>
          <cell r="M1579" t="str">
            <v>UFFICIO ACQUISTI</v>
          </cell>
          <cell r="N1579" t="str">
            <v>0641 734720</v>
          </cell>
          <cell r="O1579" t="str">
            <v>328 1763869</v>
          </cell>
          <cell r="R1579" t="str">
            <v>BONIFICO BANCARIO, ALLA DATA DELLA NOSTRA CONFERMA D'ORDINE</v>
          </cell>
          <cell r="X1579">
            <v>0.25</v>
          </cell>
          <cell r="Y1579">
            <v>-0.04</v>
          </cell>
          <cell r="AB1579">
            <v>0.25</v>
          </cell>
          <cell r="AC1579">
            <v>0.25</v>
          </cell>
          <cell r="AD1579">
            <v>0.25</v>
          </cell>
          <cell r="AE1579">
            <v>0.25</v>
          </cell>
          <cell r="AF1579">
            <v>0.25</v>
          </cell>
          <cell r="AG1579">
            <v>0.25</v>
          </cell>
          <cell r="AH1579">
            <v>0.25</v>
          </cell>
          <cell r="AI1579">
            <v>0.25</v>
          </cell>
          <cell r="AJ1579">
            <v>0.25</v>
          </cell>
          <cell r="AK1579">
            <v>0.25</v>
          </cell>
          <cell r="AL1579">
            <v>0.25</v>
          </cell>
          <cell r="AM1579">
            <v>0.25</v>
          </cell>
          <cell r="AN1579">
            <v>0.25</v>
          </cell>
          <cell r="AO1579">
            <v>0.25</v>
          </cell>
          <cell r="AP1579">
            <v>0.25</v>
          </cell>
          <cell r="AQ1579">
            <v>0.25</v>
          </cell>
          <cell r="AR1579">
            <v>0.25</v>
          </cell>
          <cell r="AS1579">
            <v>0.25</v>
          </cell>
          <cell r="AT1579">
            <v>-0.04</v>
          </cell>
          <cell r="AU1579">
            <v>0.92</v>
          </cell>
          <cell r="AV1579">
            <v>20</v>
          </cell>
          <cell r="AZ1579">
            <v>0.25</v>
          </cell>
          <cell r="BA1579">
            <v>0.25</v>
          </cell>
        </row>
        <row r="1580">
          <cell r="A1580" t="str">
            <v>MANSERVIGI SRL</v>
          </cell>
          <cell r="B1580" t="str">
            <v>CLIENTE PREFERISCE GLS A BRT</v>
          </cell>
          <cell r="D1580" t="str">
            <v>VIA BELA BARTOK, 5</v>
          </cell>
          <cell r="E1580" t="str">
            <v>44124</v>
          </cell>
          <cell r="F1580" t="str">
            <v>FERRARA</v>
          </cell>
          <cell r="G1580" t="str">
            <v>FE</v>
          </cell>
          <cell r="H1580" t="str">
            <v>ITALIA</v>
          </cell>
          <cell r="J1580" t="str">
            <v>01913790380</v>
          </cell>
          <cell r="K1580" t="str">
            <v>M5UXCR1</v>
          </cell>
          <cell r="M1580" t="str">
            <v>UFFICIO ACQUISTI</v>
          </cell>
          <cell r="N1580" t="str">
            <v>0532 94189</v>
          </cell>
          <cell r="O1580" t="str">
            <v>329 2996413</v>
          </cell>
          <cell r="P1580" t="str">
            <v>paqualino.manservigi@virgilio.it</v>
          </cell>
          <cell r="R1580" t="str">
            <v>BONIFICO BANCARIO, ALLA DATA DELLA NOSTRA CONFERMA D'ORDINE</v>
          </cell>
          <cell r="X1580">
            <v>0.25</v>
          </cell>
          <cell r="Y1580">
            <v>-0.04</v>
          </cell>
          <cell r="AB1580">
            <v>0.25</v>
          </cell>
          <cell r="AC1580">
            <v>0.25</v>
          </cell>
          <cell r="AD1580">
            <v>0.25</v>
          </cell>
          <cell r="AE1580">
            <v>0.25</v>
          </cell>
          <cell r="AF1580">
            <v>0.25</v>
          </cell>
          <cell r="AG1580">
            <v>0.25</v>
          </cell>
          <cell r="AH1580">
            <v>0.25</v>
          </cell>
          <cell r="AI1580">
            <v>0.25</v>
          </cell>
          <cell r="AJ1580">
            <v>0.25</v>
          </cell>
          <cell r="AK1580">
            <v>0.25</v>
          </cell>
          <cell r="AL1580">
            <v>0.25</v>
          </cell>
          <cell r="AM1580">
            <v>0.25</v>
          </cell>
          <cell r="AN1580">
            <v>0.25</v>
          </cell>
          <cell r="AO1580">
            <v>0.25</v>
          </cell>
          <cell r="AP1580">
            <v>0.25</v>
          </cell>
          <cell r="AQ1580">
            <v>0.25</v>
          </cell>
          <cell r="AR1580">
            <v>0.25</v>
          </cell>
          <cell r="AS1580">
            <v>0.25</v>
          </cell>
          <cell r="AT1580">
            <v>-0.04</v>
          </cell>
          <cell r="AU1580">
            <v>0.9</v>
          </cell>
          <cell r="AV1580">
            <v>20</v>
          </cell>
          <cell r="AY1580" t="str">
            <v>GLS</v>
          </cell>
          <cell r="AZ1580">
            <v>0.25</v>
          </cell>
          <cell r="BA1580">
            <v>0.25</v>
          </cell>
          <cell r="BF1580" t="str">
            <v>CLICK RAPID con espositore 19/10/2022</v>
          </cell>
        </row>
        <row r="1581">
          <cell r="A1581" t="str">
            <v>MANTOVANI GIANNI</v>
          </cell>
          <cell r="D1581" t="str">
            <v>VIA MARINUZZI, 34</v>
          </cell>
          <cell r="E1581">
            <v>41100</v>
          </cell>
          <cell r="F1581" t="str">
            <v>MODENA</v>
          </cell>
          <cell r="G1581" t="str">
            <v>MO</v>
          </cell>
          <cell r="H1581" t="str">
            <v>ITALIA</v>
          </cell>
          <cell r="J1581" t="str">
            <v>02481190367</v>
          </cell>
          <cell r="M1581" t="str">
            <v>UFFICIO ACQUISTI</v>
          </cell>
          <cell r="N1581" t="str">
            <v>059 283212</v>
          </cell>
          <cell r="P1581" t="str">
            <v>info@mantovaniserramenti.it</v>
          </cell>
          <cell r="R1581" t="str">
            <v>BONIFICO BANCARIO, ALLA DATA DELLA NOSTRA CONFERMA D'ORDINE</v>
          </cell>
          <cell r="X1581">
            <v>0.25</v>
          </cell>
          <cell r="Y1581">
            <v>-0.04</v>
          </cell>
          <cell r="AB1581">
            <v>0.25</v>
          </cell>
          <cell r="AC1581">
            <v>0.25</v>
          </cell>
          <cell r="AD1581">
            <v>0.25</v>
          </cell>
          <cell r="AE1581">
            <v>0.25</v>
          </cell>
          <cell r="AF1581">
            <v>0.25</v>
          </cell>
          <cell r="AG1581">
            <v>0.25</v>
          </cell>
          <cell r="AH1581">
            <v>0.25</v>
          </cell>
          <cell r="AI1581">
            <v>0.25</v>
          </cell>
          <cell r="AJ1581">
            <v>0.25</v>
          </cell>
          <cell r="AK1581">
            <v>0.25</v>
          </cell>
          <cell r="AL1581">
            <v>0.25</v>
          </cell>
          <cell r="AM1581">
            <v>0.25</v>
          </cell>
          <cell r="AN1581">
            <v>0.25</v>
          </cell>
          <cell r="AO1581">
            <v>0.25</v>
          </cell>
          <cell r="AP1581">
            <v>0.25</v>
          </cell>
          <cell r="AQ1581">
            <v>0.25</v>
          </cell>
          <cell r="AR1581">
            <v>0.25</v>
          </cell>
          <cell r="AS1581">
            <v>0.25</v>
          </cell>
          <cell r="AT1581">
            <v>-0.04</v>
          </cell>
          <cell r="AU1581">
            <v>0.92</v>
          </cell>
          <cell r="AV1581">
            <v>20</v>
          </cell>
          <cell r="AY1581" t="str">
            <v/>
          </cell>
          <cell r="AZ1581">
            <v>0.25</v>
          </cell>
          <cell r="BA1581">
            <v>0.25</v>
          </cell>
        </row>
        <row r="1582">
          <cell r="A1582" t="str">
            <v>MANTUA ALLUMINIO SRL</v>
          </cell>
          <cell r="D1582" t="str">
            <v>VIA DELL'ARTIGIANATO, 22</v>
          </cell>
          <cell r="E1582">
            <v>46010</v>
          </cell>
          <cell r="F1582" t="str">
            <v>CURTATONE MANTOVA</v>
          </cell>
          <cell r="G1582" t="str">
            <v>MN</v>
          </cell>
          <cell r="H1582" t="str">
            <v>ITALIA</v>
          </cell>
          <cell r="J1582" t="str">
            <v>02064870203</v>
          </cell>
          <cell r="M1582" t="str">
            <v>UFFICIO ACQUISTI</v>
          </cell>
          <cell r="N1582" t="str">
            <v>0376 348240</v>
          </cell>
          <cell r="P1582" t="str">
            <v>mantua-alluminio@librero.it</v>
          </cell>
          <cell r="R1582" t="str">
            <v>BONIFICO BANCARIO, ALLA DATA DELLA NOSTRA CONFERMA D'ORDINE</v>
          </cell>
          <cell r="X1582">
            <v>0.25</v>
          </cell>
          <cell r="Y1582">
            <v>-0.04</v>
          </cell>
          <cell r="AB1582">
            <v>0.25</v>
          </cell>
          <cell r="AC1582">
            <v>0.25</v>
          </cell>
          <cell r="AD1582">
            <v>0.25</v>
          </cell>
          <cell r="AE1582">
            <v>0.25</v>
          </cell>
          <cell r="AF1582">
            <v>0.25</v>
          </cell>
          <cell r="AG1582">
            <v>0.25</v>
          </cell>
          <cell r="AH1582">
            <v>0.25</v>
          </cell>
          <cell r="AI1582">
            <v>0.25</v>
          </cell>
          <cell r="AJ1582">
            <v>0.25</v>
          </cell>
          <cell r="AK1582">
            <v>0.25</v>
          </cell>
          <cell r="AL1582">
            <v>0.25</v>
          </cell>
          <cell r="AM1582">
            <v>0.25</v>
          </cell>
          <cell r="AN1582">
            <v>0.25</v>
          </cell>
          <cell r="AO1582">
            <v>0.25</v>
          </cell>
          <cell r="AP1582">
            <v>0.25</v>
          </cell>
          <cell r="AQ1582">
            <v>0.25</v>
          </cell>
          <cell r="AR1582">
            <v>0.25</v>
          </cell>
          <cell r="AS1582">
            <v>0.25</v>
          </cell>
          <cell r="AT1582">
            <v>-0.04</v>
          </cell>
          <cell r="AU1582">
            <v>0.92</v>
          </cell>
          <cell r="AV1582">
            <v>20</v>
          </cell>
          <cell r="AY1582" t="str">
            <v/>
          </cell>
          <cell r="AZ1582">
            <v>0.25</v>
          </cell>
          <cell r="BA1582">
            <v>0.25</v>
          </cell>
        </row>
        <row r="1583">
          <cell r="A1583" t="str">
            <v>MANUTENZIONI-RISTRUTTURAZIONI EDILI DI NESPOLI GIOVANNI E C. SNC</v>
          </cell>
          <cell r="D1583" t="str">
            <v>VIA GIACOMO LEOPARDI 44</v>
          </cell>
          <cell r="E1583" t="str">
            <v>24050</v>
          </cell>
          <cell r="F1583" t="str">
            <v>ZANIGA</v>
          </cell>
          <cell r="G1583" t="str">
            <v>BG</v>
          </cell>
          <cell r="H1583" t="str">
            <v>ITALIA</v>
          </cell>
          <cell r="J1583" t="str">
            <v>02888670169</v>
          </cell>
          <cell r="M1583" t="str">
            <v>UFFICIO ACQUISTI</v>
          </cell>
          <cell r="N1583" t="str">
            <v>035 670209</v>
          </cell>
          <cell r="O1583" t="str">
            <v>335 6107410</v>
          </cell>
          <cell r="R1583" t="str">
            <v>BONIFICO BANCARIO, ALLA DATA DELLA NOSTRA CONFERMA D'ORDINE</v>
          </cell>
          <cell r="X1583">
            <v>0.25</v>
          </cell>
          <cell r="Y1583">
            <v>-0.04</v>
          </cell>
          <cell r="AB1583">
            <v>0.25</v>
          </cell>
          <cell r="AC1583">
            <v>0.25</v>
          </cell>
          <cell r="AD1583">
            <v>0.25</v>
          </cell>
          <cell r="AE1583">
            <v>0.25</v>
          </cell>
          <cell r="AF1583">
            <v>0.25</v>
          </cell>
          <cell r="AG1583">
            <v>0.25</v>
          </cell>
          <cell r="AH1583">
            <v>0.25</v>
          </cell>
          <cell r="AI1583">
            <v>0.25</v>
          </cell>
          <cell r="AJ1583">
            <v>0.25</v>
          </cell>
          <cell r="AK1583">
            <v>0.25</v>
          </cell>
          <cell r="AL1583">
            <v>0.25</v>
          </cell>
          <cell r="AM1583">
            <v>0.25</v>
          </cell>
          <cell r="AN1583">
            <v>0.25</v>
          </cell>
          <cell r="AO1583">
            <v>0.25</v>
          </cell>
          <cell r="AP1583">
            <v>0.25</v>
          </cell>
          <cell r="AQ1583">
            <v>0.25</v>
          </cell>
          <cell r="AR1583">
            <v>0.25</v>
          </cell>
          <cell r="AS1583">
            <v>0.25</v>
          </cell>
          <cell r="AT1583">
            <v>-0.04</v>
          </cell>
          <cell r="AU1583">
            <v>0.92</v>
          </cell>
          <cell r="AV1583">
            <v>20</v>
          </cell>
          <cell r="AY1583" t="str">
            <v/>
          </cell>
          <cell r="AZ1583">
            <v>0.25</v>
          </cell>
          <cell r="BA1583">
            <v>0.25</v>
          </cell>
        </row>
        <row r="1584">
          <cell r="A1584" t="str">
            <v xml:space="preserve">MARANI BRUNO E FIGLI </v>
          </cell>
          <cell r="D1584" t="str">
            <v xml:space="preserve">VIA GAMBARONE 25 </v>
          </cell>
          <cell r="E1584" t="str">
            <v>43015</v>
          </cell>
          <cell r="F1584" t="str">
            <v>NOCETO</v>
          </cell>
          <cell r="G1584" t="str">
            <v>PR</v>
          </cell>
          <cell r="H1584" t="str">
            <v>ITALIA</v>
          </cell>
          <cell r="J1584" t="str">
            <v>0151560347</v>
          </cell>
          <cell r="M1584" t="str">
            <v>UFFICIO ACQUISTI</v>
          </cell>
          <cell r="N1584" t="str">
            <v>0521 620787</v>
          </cell>
          <cell r="O1584" t="str">
            <v>333 5743184 MARIO MARANI</v>
          </cell>
          <cell r="R1584" t="str">
            <v>BONIFICO BANCARIO, ALLA DATA DELLA NOSTRA CONFERMA D'ORDINE</v>
          </cell>
          <cell r="X1584">
            <v>0.25</v>
          </cell>
          <cell r="Y1584">
            <v>-0.04</v>
          </cell>
          <cell r="AB1584">
            <v>0.25</v>
          </cell>
          <cell r="AC1584">
            <v>0.25</v>
          </cell>
          <cell r="AD1584">
            <v>0.25</v>
          </cell>
          <cell r="AE1584">
            <v>0.25</v>
          </cell>
          <cell r="AF1584">
            <v>0.25</v>
          </cell>
          <cell r="AG1584">
            <v>0.25</v>
          </cell>
          <cell r="AH1584">
            <v>0.25</v>
          </cell>
          <cell r="AI1584">
            <v>0.25</v>
          </cell>
          <cell r="AJ1584">
            <v>0.25</v>
          </cell>
          <cell r="AK1584">
            <v>0.25</v>
          </cell>
          <cell r="AL1584">
            <v>0.25</v>
          </cell>
          <cell r="AM1584">
            <v>0.25</v>
          </cell>
          <cell r="AN1584">
            <v>0.25</v>
          </cell>
          <cell r="AO1584">
            <v>0.25</v>
          </cell>
          <cell r="AP1584">
            <v>0.25</v>
          </cell>
          <cell r="AQ1584">
            <v>0.25</v>
          </cell>
          <cell r="AR1584">
            <v>0.25</v>
          </cell>
          <cell r="AS1584">
            <v>0.25</v>
          </cell>
          <cell r="AT1584">
            <v>-0.04</v>
          </cell>
          <cell r="AU1584">
            <v>0.92</v>
          </cell>
          <cell r="AV1584">
            <v>20</v>
          </cell>
          <cell r="AY1584" t="str">
            <v/>
          </cell>
          <cell r="AZ1584">
            <v>0.25</v>
          </cell>
          <cell r="BA1584">
            <v>0.25</v>
          </cell>
        </row>
        <row r="1585">
          <cell r="A1585" t="str">
            <v>marchi infissi
BIANCHETTIN SERRAMENTI &amp; C. snc</v>
          </cell>
          <cell r="D1585" t="str">
            <v>VIA MUSIL 12</v>
          </cell>
          <cell r="E1585" t="str">
            <v>33084</v>
          </cell>
          <cell r="F1585" t="str">
            <v>CORDENONS</v>
          </cell>
          <cell r="G1585" t="str">
            <v>PN</v>
          </cell>
          <cell r="H1585" t="str">
            <v>ITALIA</v>
          </cell>
          <cell r="M1585" t="str">
            <v>UFFICIO ACQUISTI</v>
          </cell>
          <cell r="N1585" t="str">
            <v>0434 40460</v>
          </cell>
          <cell r="O1585" t="str">
            <v>348 5263763</v>
          </cell>
          <cell r="P1585" t="str">
            <v>bianchettin@libero.it</v>
          </cell>
          <cell r="R1585" t="str">
            <v>BONIFICO BANCARIO, ALLA DATA DELLA NOSTRA CONFERMA D'ORDINE</v>
          </cell>
          <cell r="X1585">
            <v>0.25</v>
          </cell>
          <cell r="Y1585">
            <v>-0.04</v>
          </cell>
          <cell r="AB1585">
            <v>0.25</v>
          </cell>
          <cell r="AC1585">
            <v>0.25</v>
          </cell>
          <cell r="AD1585">
            <v>0.25</v>
          </cell>
          <cell r="AE1585">
            <v>0.25</v>
          </cell>
          <cell r="AF1585">
            <v>0.25</v>
          </cell>
          <cell r="AG1585">
            <v>0.25</v>
          </cell>
          <cell r="AH1585">
            <v>0.25</v>
          </cell>
          <cell r="AI1585">
            <v>0.25</v>
          </cell>
          <cell r="AJ1585">
            <v>0.25</v>
          </cell>
          <cell r="AK1585">
            <v>0.25</v>
          </cell>
          <cell r="AL1585">
            <v>0.25</v>
          </cell>
          <cell r="AM1585">
            <v>0.25</v>
          </cell>
          <cell r="AN1585">
            <v>0.25</v>
          </cell>
          <cell r="AO1585">
            <v>0.25</v>
          </cell>
          <cell r="AP1585">
            <v>0.25</v>
          </cell>
          <cell r="AQ1585">
            <v>0.25</v>
          </cell>
          <cell r="AR1585">
            <v>0.25</v>
          </cell>
          <cell r="AS1585">
            <v>0.25</v>
          </cell>
          <cell r="AT1585">
            <v>-0.04</v>
          </cell>
          <cell r="AU1585">
            <v>0.92</v>
          </cell>
          <cell r="AV1585">
            <v>20</v>
          </cell>
          <cell r="AY1585" t="str">
            <v/>
          </cell>
          <cell r="AZ1585">
            <v>0.25</v>
          </cell>
          <cell r="BA1585">
            <v>0.25</v>
          </cell>
        </row>
        <row r="1586">
          <cell r="A1586" t="str">
            <v>MARCO MENCARELLI</v>
          </cell>
          <cell r="D1586" t="str">
            <v>STRADA S. GAUDENZIO, 6</v>
          </cell>
          <cell r="E1586" t="str">
            <v>60019</v>
          </cell>
          <cell r="F1586" t="str">
            <v>SENIGALLIA</v>
          </cell>
          <cell r="G1586" t="str">
            <v>AN</v>
          </cell>
          <cell r="H1586" t="str">
            <v>ITALIA</v>
          </cell>
          <cell r="I1586" t="str">
            <v>MNCMRC78S03I608O </v>
          </cell>
          <cell r="J1586" t="str">
            <v>02909560423</v>
          </cell>
          <cell r="M1586" t="str">
            <v>UFFICIO ACQUISTI</v>
          </cell>
          <cell r="N1586" t="str">
            <v>071 65410</v>
          </cell>
          <cell r="O1586" t="str">
            <v>339 6471393 MARCO</v>
          </cell>
          <cell r="P1586" t="str">
            <v>info@labottegadiomero.it</v>
          </cell>
          <cell r="R1586" t="str">
            <v>BONIFICO BANCARIO, ALLA DATA DELLA NOSTRA CONFERMA D'ORDINE</v>
          </cell>
          <cell r="X1586">
            <v>0.25</v>
          </cell>
          <cell r="Y1586">
            <v>-0.04</v>
          </cell>
          <cell r="AB1586">
            <v>0.25</v>
          </cell>
          <cell r="AC1586">
            <v>0.25</v>
          </cell>
          <cell r="AD1586">
            <v>0.25</v>
          </cell>
          <cell r="AE1586">
            <v>0.25</v>
          </cell>
          <cell r="AF1586">
            <v>0.25</v>
          </cell>
          <cell r="AG1586">
            <v>0.25</v>
          </cell>
          <cell r="AH1586">
            <v>0.25</v>
          </cell>
          <cell r="AI1586">
            <v>0.25</v>
          </cell>
          <cell r="AJ1586">
            <v>0.25</v>
          </cell>
          <cell r="AK1586">
            <v>0.25</v>
          </cell>
          <cell r="AL1586">
            <v>0.25</v>
          </cell>
          <cell r="AM1586">
            <v>0.25</v>
          </cell>
          <cell r="AN1586">
            <v>0.25</v>
          </cell>
          <cell r="AO1586">
            <v>0.25</v>
          </cell>
          <cell r="AP1586">
            <v>0.25</v>
          </cell>
          <cell r="AQ1586">
            <v>0.25</v>
          </cell>
          <cell r="AR1586">
            <v>0.25</v>
          </cell>
          <cell r="AS1586">
            <v>0.25</v>
          </cell>
          <cell r="AT1586">
            <v>-0.04</v>
          </cell>
          <cell r="AU1586">
            <v>0.88</v>
          </cell>
          <cell r="AV1586">
            <v>20</v>
          </cell>
          <cell r="AZ1586">
            <v>0.25</v>
          </cell>
          <cell r="BA1586">
            <v>0.25</v>
          </cell>
        </row>
        <row r="1587">
          <cell r="A1587" t="str">
            <v>MARE DI MATTEO ALBERTINI</v>
          </cell>
          <cell r="D1587" t="str">
            <v>VICOLO DELLA SPIGA, 8</v>
          </cell>
          <cell r="E1587" t="str">
            <v>24043</v>
          </cell>
          <cell r="F1587" t="str">
            <v>CARAVAGGIO</v>
          </cell>
          <cell r="G1587" t="str">
            <v>BG</v>
          </cell>
          <cell r="H1587" t="str">
            <v>ITALIA</v>
          </cell>
          <cell r="M1587" t="str">
            <v>UFFICIO ACQUISTI</v>
          </cell>
          <cell r="N1587" t="str">
            <v>0363 879073</v>
          </cell>
          <cell r="O1587" t="str">
            <v>349 5876790 MATTEO ALBERTINI</v>
          </cell>
          <cell r="P1587" t="str">
            <v>albertini@mare-design.it</v>
          </cell>
          <cell r="R1587" t="str">
            <v>BONIFICO BANCARIO, ALLA DATA DELLA NOSTRA CONFERMA D'ORDINE</v>
          </cell>
          <cell r="X1587">
            <v>0.2</v>
          </cell>
          <cell r="Y1587">
            <v>-0.04</v>
          </cell>
          <cell r="AB1587">
            <v>0.2</v>
          </cell>
          <cell r="AC1587">
            <v>0.2</v>
          </cell>
          <cell r="AD1587">
            <v>0.2</v>
          </cell>
          <cell r="AE1587">
            <v>0.2</v>
          </cell>
          <cell r="AF1587">
            <v>0.2</v>
          </cell>
          <cell r="AG1587">
            <v>0.2</v>
          </cell>
          <cell r="AH1587">
            <v>0.2</v>
          </cell>
          <cell r="AI1587">
            <v>0.2</v>
          </cell>
          <cell r="AJ1587">
            <v>0.2</v>
          </cell>
          <cell r="AK1587">
            <v>0.2</v>
          </cell>
          <cell r="AL1587">
            <v>0.2</v>
          </cell>
          <cell r="AM1587">
            <v>0.2</v>
          </cell>
          <cell r="AN1587">
            <v>0.2</v>
          </cell>
          <cell r="AO1587">
            <v>0.2</v>
          </cell>
          <cell r="AP1587">
            <v>0.2</v>
          </cell>
          <cell r="AQ1587">
            <v>0.2</v>
          </cell>
          <cell r="AR1587">
            <v>0.2</v>
          </cell>
          <cell r="AS1587">
            <v>0.2</v>
          </cell>
          <cell r="AT1587">
            <v>-0.04</v>
          </cell>
          <cell r="AU1587">
            <v>0.92</v>
          </cell>
          <cell r="AV1587">
            <v>20</v>
          </cell>
          <cell r="AZ1587">
            <v>0.2</v>
          </cell>
          <cell r="BA1587">
            <v>0.2</v>
          </cell>
        </row>
        <row r="1588">
          <cell r="A1588" t="str">
            <v>MARENCO</v>
          </cell>
          <cell r="D1588" t="str">
            <v>VIA ROCCAGRIMALDA, 32 A</v>
          </cell>
          <cell r="E1588" t="str">
            <v>15076</v>
          </cell>
          <cell r="F1588" t="str">
            <v>OVADA</v>
          </cell>
          <cell r="G1588" t="str">
            <v>AL</v>
          </cell>
          <cell r="H1588" t="str">
            <v>ITALIA</v>
          </cell>
          <cell r="I1588" t="str">
            <v>01460700063</v>
          </cell>
          <cell r="J1588" t="str">
            <v>01460700063</v>
          </cell>
          <cell r="M1588" t="str">
            <v>UFFICIO ACQUISTI</v>
          </cell>
          <cell r="N1588" t="str">
            <v>0143 86263</v>
          </cell>
          <cell r="O1588" t="str">
            <v>348 8630398</v>
          </cell>
          <cell r="P1588" t="str">
            <v>info@marencoserrande.it</v>
          </cell>
          <cell r="R1588" t="str">
            <v>BONIFICO BANCARIO, ALLA DATA DELLA NOSTRA CONFERMA D'ORDINE</v>
          </cell>
          <cell r="X1588">
            <v>0.25</v>
          </cell>
          <cell r="Y1588">
            <v>-0.04</v>
          </cell>
          <cell r="AB1588">
            <v>0.25</v>
          </cell>
          <cell r="AC1588">
            <v>0.25</v>
          </cell>
          <cell r="AD1588">
            <v>0.25</v>
          </cell>
          <cell r="AE1588">
            <v>0.25</v>
          </cell>
          <cell r="AF1588">
            <v>0.25</v>
          </cell>
          <cell r="AG1588">
            <v>0.25</v>
          </cell>
          <cell r="AH1588">
            <v>0.25</v>
          </cell>
          <cell r="AI1588">
            <v>0.25</v>
          </cell>
          <cell r="AJ1588">
            <v>0.25</v>
          </cell>
          <cell r="AK1588">
            <v>0.25</v>
          </cell>
          <cell r="AL1588">
            <v>0.25</v>
          </cell>
          <cell r="AM1588">
            <v>0.25</v>
          </cell>
          <cell r="AN1588">
            <v>0.25</v>
          </cell>
          <cell r="AO1588">
            <v>0.25</v>
          </cell>
          <cell r="AP1588">
            <v>0.25</v>
          </cell>
          <cell r="AQ1588">
            <v>0.25</v>
          </cell>
          <cell r="AR1588">
            <v>0.25</v>
          </cell>
          <cell r="AS1588">
            <v>0.25</v>
          </cell>
          <cell r="AT1588">
            <v>-0.04</v>
          </cell>
          <cell r="AU1588">
            <v>0.92</v>
          </cell>
          <cell r="AV1588">
            <v>20</v>
          </cell>
          <cell r="AZ1588">
            <v>0.25</v>
          </cell>
          <cell r="BA1588">
            <v>0.25</v>
          </cell>
        </row>
        <row r="1589">
          <cell r="A1589" t="str">
            <v>MARENCO CHIUSURE S.R.L.</v>
          </cell>
          <cell r="D1589" t="str">
            <v>Via Roccagrimalda, 32/A</v>
          </cell>
          <cell r="E1589">
            <v>15076</v>
          </cell>
          <cell r="F1589" t="str">
            <v>OVADA</v>
          </cell>
          <cell r="G1589" t="str">
            <v>AL</v>
          </cell>
          <cell r="H1589" t="str">
            <v>ITALIA</v>
          </cell>
          <cell r="J1589" t="str">
            <v>01460700063</v>
          </cell>
          <cell r="K1589" t="str">
            <v>J6URRTW</v>
          </cell>
          <cell r="M1589" t="str">
            <v>UFFICIO ACQUISTI</v>
          </cell>
          <cell r="N1589" t="str">
            <v>0143 86263</v>
          </cell>
          <cell r="O1589" t="str">
            <v>393 8931361 GRILLO ALESSANDRO</v>
          </cell>
          <cell r="P1589" t="str">
            <v>grillo@marencoserrande.it</v>
          </cell>
          <cell r="R1589" t="str">
            <v>BONIFICO BANCARIO, ALLA DATA DELLA NOSTRA CONFERMA D'ORDINE</v>
          </cell>
          <cell r="X1589">
            <v>0.25</v>
          </cell>
          <cell r="Y1589">
            <v>-0.04</v>
          </cell>
          <cell r="AB1589">
            <v>0.25</v>
          </cell>
          <cell r="AC1589">
            <v>0.25</v>
          </cell>
          <cell r="AD1589">
            <v>0.25</v>
          </cell>
          <cell r="AE1589">
            <v>0.25</v>
          </cell>
          <cell r="AF1589">
            <v>0.25</v>
          </cell>
          <cell r="AG1589">
            <v>0.25</v>
          </cell>
          <cell r="AH1589">
            <v>0.25</v>
          </cell>
          <cell r="AI1589">
            <v>0.25</v>
          </cell>
          <cell r="AJ1589">
            <v>0.25</v>
          </cell>
          <cell r="AK1589">
            <v>0.25</v>
          </cell>
          <cell r="AL1589">
            <v>0.25</v>
          </cell>
          <cell r="AM1589">
            <v>0.25</v>
          </cell>
          <cell r="AN1589">
            <v>0.25</v>
          </cell>
          <cell r="AO1589">
            <v>0.25</v>
          </cell>
          <cell r="AP1589">
            <v>0.25</v>
          </cell>
          <cell r="AQ1589">
            <v>0.25</v>
          </cell>
          <cell r="AR1589">
            <v>0.25</v>
          </cell>
          <cell r="AS1589">
            <v>0.25</v>
          </cell>
          <cell r="AT1589">
            <v>-0.04</v>
          </cell>
          <cell r="AU1589">
            <v>0.92</v>
          </cell>
          <cell r="AV1589">
            <v>20</v>
          </cell>
          <cell r="AY1589" t="str">
            <v/>
          </cell>
          <cell r="AZ1589">
            <v>0.25</v>
          </cell>
          <cell r="BA1589">
            <v>0.25</v>
          </cell>
        </row>
        <row r="1590">
          <cell r="A1590" t="str">
            <v>MARENZI S.R.L.</v>
          </cell>
          <cell r="C1590" t="str">
            <v>PV1</v>
          </cell>
          <cell r="D1590" t="str">
            <v>VIA TORTONA,  51 BIS</v>
          </cell>
          <cell r="E1590">
            <v>27058</v>
          </cell>
          <cell r="F1590" t="str">
            <v>VOGHERA</v>
          </cell>
          <cell r="G1590" t="str">
            <v>PV</v>
          </cell>
          <cell r="H1590" t="str">
            <v>ITALIA</v>
          </cell>
          <cell r="I1590" t="str">
            <v>01549330189</v>
          </cell>
          <cell r="J1590" t="str">
            <v>01549330189</v>
          </cell>
          <cell r="M1590" t="str">
            <v>UFFICIO ACQUISTI</v>
          </cell>
          <cell r="N1590" t="str">
            <v>0383 367201</v>
          </cell>
          <cell r="P1590" t="str">
            <v>INFO@MARENZISRL.COM</v>
          </cell>
          <cell r="R1590" t="str">
            <v>BONIFICO BANCARIO, ALLA DATA DELLA NOSTRA CONFERMA D'ORDINE</v>
          </cell>
          <cell r="X1590">
            <v>0.25</v>
          </cell>
          <cell r="Y1590">
            <v>-0.04</v>
          </cell>
          <cell r="AB1590">
            <v>0.25</v>
          </cell>
          <cell r="AC1590">
            <v>0.25</v>
          </cell>
          <cell r="AD1590">
            <v>0.25</v>
          </cell>
          <cell r="AE1590">
            <v>0.25</v>
          </cell>
          <cell r="AF1590">
            <v>0.25</v>
          </cell>
          <cell r="AG1590">
            <v>0.25</v>
          </cell>
          <cell r="AH1590">
            <v>0.25</v>
          </cell>
          <cell r="AI1590">
            <v>0.25</v>
          </cell>
          <cell r="AJ1590">
            <v>0.25</v>
          </cell>
          <cell r="AK1590">
            <v>0.25</v>
          </cell>
          <cell r="AL1590">
            <v>0.25</v>
          </cell>
          <cell r="AM1590">
            <v>0.25</v>
          </cell>
          <cell r="AN1590">
            <v>0.25</v>
          </cell>
          <cell r="AO1590">
            <v>0.25</v>
          </cell>
          <cell r="AP1590">
            <v>0.25</v>
          </cell>
          <cell r="AQ1590">
            <v>0.25</v>
          </cell>
          <cell r="AR1590">
            <v>0.25</v>
          </cell>
          <cell r="AS1590">
            <v>0.25</v>
          </cell>
          <cell r="AT1590">
            <v>-0.04</v>
          </cell>
          <cell r="AU1590">
            <v>0.92</v>
          </cell>
          <cell r="AV1590">
            <v>20</v>
          </cell>
          <cell r="AY1590" t="str">
            <v/>
          </cell>
          <cell r="AZ1590">
            <v>0.25</v>
          </cell>
          <cell r="BA1590">
            <v>0.25</v>
          </cell>
        </row>
        <row r="1591">
          <cell r="A1591" t="str">
            <v>MARGAGLIOTTI PORTE &amp; FINESTRE</v>
          </cell>
          <cell r="B1591" t="str">
            <v>PRODUCE PORTE E BLINDATI  INTERESSATO</v>
          </cell>
          <cell r="D1591" t="str">
            <v>VIA DANTE, 19</v>
          </cell>
          <cell r="E1591" t="str">
            <v>09127</v>
          </cell>
          <cell r="F1591" t="str">
            <v>CAGLIARI</v>
          </cell>
          <cell r="G1591" t="str">
            <v>CA</v>
          </cell>
          <cell r="H1591" t="str">
            <v>ITALIA</v>
          </cell>
          <cell r="M1591" t="str">
            <v>UFFICIO ACQUISTI</v>
          </cell>
          <cell r="N1591" t="str">
            <v>070 3325634</v>
          </cell>
          <cell r="O1591" t="str">
            <v>345 4775159 FABRIZIO   320 8013249 RICCARDO</v>
          </cell>
          <cell r="P1591" t="str">
            <v>info@margagliotti.it</v>
          </cell>
          <cell r="R1591" t="str">
            <v>BONIFICO BANCARIO, ALLA DATA DELLA NOSTRA CONFERMA D'ORDINE</v>
          </cell>
          <cell r="X1591">
            <v>0.15</v>
          </cell>
          <cell r="Y1591">
            <v>-0.04</v>
          </cell>
          <cell r="AB1591">
            <v>0.15</v>
          </cell>
          <cell r="AC1591">
            <v>0.15</v>
          </cell>
          <cell r="AD1591">
            <v>0.15</v>
          </cell>
          <cell r="AE1591">
            <v>0.15</v>
          </cell>
          <cell r="AF1591">
            <v>0.15</v>
          </cell>
          <cell r="AG1591">
            <v>0.15</v>
          </cell>
          <cell r="AH1591">
            <v>0.15</v>
          </cell>
          <cell r="AI1591">
            <v>0.15</v>
          </cell>
          <cell r="AJ1591">
            <v>0.15</v>
          </cell>
          <cell r="AK1591">
            <v>0.15</v>
          </cell>
          <cell r="AL1591">
            <v>0.15</v>
          </cell>
          <cell r="AM1591">
            <v>0.15</v>
          </cell>
          <cell r="AN1591">
            <v>0.15</v>
          </cell>
          <cell r="AO1591">
            <v>0.15</v>
          </cell>
          <cell r="AP1591">
            <v>0.15</v>
          </cell>
          <cell r="AQ1591">
            <v>0.15</v>
          </cell>
          <cell r="AR1591">
            <v>0.15</v>
          </cell>
          <cell r="AS1591">
            <v>0.15</v>
          </cell>
          <cell r="AT1591">
            <v>-0.04</v>
          </cell>
          <cell r="AU1591">
            <v>0.92</v>
          </cell>
          <cell r="AV1591">
            <v>20</v>
          </cell>
          <cell r="AZ1591">
            <v>0.15</v>
          </cell>
          <cell r="BA1591">
            <v>0.15</v>
          </cell>
        </row>
        <row r="1592">
          <cell r="A1592" t="str">
            <v>MARI SERRANDE</v>
          </cell>
          <cell r="D1592" t="str">
            <v>S.S. 16 ADRIATICA 60</v>
          </cell>
          <cell r="E1592" t="str">
            <v>64014</v>
          </cell>
          <cell r="F1592" t="str">
            <v>MARTINSICURO</v>
          </cell>
          <cell r="G1592" t="str">
            <v>TE</v>
          </cell>
          <cell r="H1592" t="str">
            <v>ITALIA</v>
          </cell>
          <cell r="J1592" t="str">
            <v>00555780675</v>
          </cell>
          <cell r="M1592" t="str">
            <v>UFFICIO ACQUISTI</v>
          </cell>
          <cell r="N1592" t="str">
            <v>0861 797383</v>
          </cell>
          <cell r="P1592" t="str">
            <v>info@mariserrande.it</v>
          </cell>
          <cell r="R1592" t="str">
            <v>BONIFICO BANCARIO, ALLA DATA DELLA NOSTRA CONFERMA D'ORDINE</v>
          </cell>
          <cell r="X1592">
            <v>0.25</v>
          </cell>
          <cell r="Y1592">
            <v>-0.04</v>
          </cell>
          <cell r="AB1592">
            <v>0.25</v>
          </cell>
          <cell r="AC1592">
            <v>0.25</v>
          </cell>
          <cell r="AD1592">
            <v>0.25</v>
          </cell>
          <cell r="AE1592">
            <v>0.25</v>
          </cell>
          <cell r="AF1592">
            <v>0.25</v>
          </cell>
          <cell r="AG1592">
            <v>0.25</v>
          </cell>
          <cell r="AH1592">
            <v>0.25</v>
          </cell>
          <cell r="AI1592">
            <v>0.25</v>
          </cell>
          <cell r="AJ1592">
            <v>0.25</v>
          </cell>
          <cell r="AK1592">
            <v>0.25</v>
          </cell>
          <cell r="AL1592">
            <v>0.25</v>
          </cell>
          <cell r="AM1592">
            <v>0.25</v>
          </cell>
          <cell r="AN1592">
            <v>0.25</v>
          </cell>
          <cell r="AO1592">
            <v>0.25</v>
          </cell>
          <cell r="AP1592">
            <v>0.25</v>
          </cell>
          <cell r="AQ1592">
            <v>0.25</v>
          </cell>
          <cell r="AR1592">
            <v>0.25</v>
          </cell>
          <cell r="AS1592">
            <v>0.25</v>
          </cell>
          <cell r="AT1592">
            <v>-0.04</v>
          </cell>
          <cell r="AU1592">
            <v>0.92</v>
          </cell>
          <cell r="AV1592">
            <v>20</v>
          </cell>
          <cell r="AY1592" t="str">
            <v/>
          </cell>
          <cell r="AZ1592">
            <v>0.25</v>
          </cell>
          <cell r="BA1592">
            <v>0.25</v>
          </cell>
        </row>
        <row r="1593">
          <cell r="A1593" t="str">
            <v>MARIANI SRL</v>
          </cell>
          <cell r="D1593" t="str">
            <v>VIA R.BANDERALI, 5  3 CANC.</v>
          </cell>
          <cell r="E1593">
            <v>16121</v>
          </cell>
          <cell r="F1593" t="str">
            <v>GENOVA</v>
          </cell>
          <cell r="G1593" t="str">
            <v>GE</v>
          </cell>
          <cell r="H1593" t="str">
            <v>ITALIA</v>
          </cell>
          <cell r="M1593" t="str">
            <v>UFFICIO ACQUISTI</v>
          </cell>
          <cell r="N1593" t="str">
            <v>010 593710</v>
          </cell>
          <cell r="P1593" t="str">
            <v>marianisas@gmail.com</v>
          </cell>
          <cell r="R1593" t="str">
            <v>BONIFICO BANCARIO, ALLA DATA DELLA NOSTRA CONFERMA D'ORDINE</v>
          </cell>
          <cell r="X1593">
            <v>0.25</v>
          </cell>
          <cell r="Y1593">
            <v>-0.04</v>
          </cell>
          <cell r="AB1593">
            <v>0.25</v>
          </cell>
          <cell r="AC1593">
            <v>0.25</v>
          </cell>
          <cell r="AD1593">
            <v>0.25</v>
          </cell>
          <cell r="AE1593">
            <v>0.25</v>
          </cell>
          <cell r="AF1593">
            <v>0.25</v>
          </cell>
          <cell r="AG1593">
            <v>0.25</v>
          </cell>
          <cell r="AH1593">
            <v>0.25</v>
          </cell>
          <cell r="AI1593">
            <v>0.25</v>
          </cell>
          <cell r="AJ1593">
            <v>0.25</v>
          </cell>
          <cell r="AK1593">
            <v>0.25</v>
          </cell>
          <cell r="AL1593">
            <v>0.25</v>
          </cell>
          <cell r="AM1593">
            <v>0.25</v>
          </cell>
          <cell r="AN1593">
            <v>0.25</v>
          </cell>
          <cell r="AO1593">
            <v>0.25</v>
          </cell>
          <cell r="AP1593">
            <v>0.25</v>
          </cell>
          <cell r="AQ1593">
            <v>0.25</v>
          </cell>
          <cell r="AR1593">
            <v>0.25</v>
          </cell>
          <cell r="AS1593">
            <v>0.25</v>
          </cell>
          <cell r="AT1593">
            <v>-0.04</v>
          </cell>
          <cell r="AU1593">
            <v>0.92</v>
          </cell>
          <cell r="AV1593">
            <v>20</v>
          </cell>
          <cell r="AY1593" t="str">
            <v/>
          </cell>
          <cell r="AZ1593">
            <v>0.25</v>
          </cell>
          <cell r="BA1593">
            <v>0.25</v>
          </cell>
        </row>
        <row r="1594">
          <cell r="A1594" t="str">
            <v>MARINIG REMO DI MARINIG PAOLO SAS</v>
          </cell>
          <cell r="B1594" t="str">
            <v>FABRIZIO,NON COMPRERANNO MAI</v>
          </cell>
          <cell r="D1594" t="str">
            <v>VIA DELL'ARTIGIANATO, 45</v>
          </cell>
          <cell r="E1594" t="str">
            <v>33043</v>
          </cell>
          <cell r="F1594" t="str">
            <v>CIVIDALE DEL FRIULI</v>
          </cell>
          <cell r="G1594" t="str">
            <v>UD</v>
          </cell>
          <cell r="H1594" t="str">
            <v>ITALIA</v>
          </cell>
          <cell r="J1594" t="str">
            <v>01408540308</v>
          </cell>
          <cell r="M1594" t="str">
            <v>UFFICIO ACQUISTI</v>
          </cell>
          <cell r="N1594" t="str">
            <v>0432 730088</v>
          </cell>
          <cell r="P1594" t="str">
            <v>info@marinig.com</v>
          </cell>
          <cell r="R1594" t="str">
            <v>BONIFICO BANCARIO, ALLA DATA DELLA NOSTRA CONFERMA D'ORDINE</v>
          </cell>
          <cell r="X1594">
            <v>0.25</v>
          </cell>
          <cell r="Y1594">
            <v>-0.04</v>
          </cell>
          <cell r="AB1594">
            <v>0.25</v>
          </cell>
          <cell r="AC1594">
            <v>0.25</v>
          </cell>
          <cell r="AD1594">
            <v>0.25</v>
          </cell>
          <cell r="AE1594">
            <v>0.25</v>
          </cell>
          <cell r="AF1594">
            <v>0.25</v>
          </cell>
          <cell r="AG1594">
            <v>0.25</v>
          </cell>
          <cell r="AH1594">
            <v>0.25</v>
          </cell>
          <cell r="AI1594">
            <v>0.25</v>
          </cell>
          <cell r="AJ1594">
            <v>0.25</v>
          </cell>
          <cell r="AK1594">
            <v>0.25</v>
          </cell>
          <cell r="AL1594">
            <v>0.25</v>
          </cell>
          <cell r="AM1594">
            <v>0.25</v>
          </cell>
          <cell r="AN1594">
            <v>0.25</v>
          </cell>
          <cell r="AO1594">
            <v>0.25</v>
          </cell>
          <cell r="AP1594">
            <v>0.25</v>
          </cell>
          <cell r="AQ1594">
            <v>0.25</v>
          </cell>
          <cell r="AR1594">
            <v>0.25</v>
          </cell>
          <cell r="AS1594">
            <v>0.25</v>
          </cell>
          <cell r="AT1594">
            <v>-0.04</v>
          </cell>
          <cell r="AU1594">
            <v>0.92</v>
          </cell>
          <cell r="AV1594">
            <v>20</v>
          </cell>
          <cell r="AY1594" t="str">
            <v/>
          </cell>
          <cell r="AZ1594">
            <v>0.25</v>
          </cell>
          <cell r="BA1594">
            <v>0.25</v>
          </cell>
        </row>
        <row r="1595">
          <cell r="A1595" t="str">
            <v xml:space="preserve">MARINO </v>
          </cell>
          <cell r="D1595" t="str">
            <v>VIA LA FARINA INCROCIO VIA S. COSIMO ( LATO MARE )</v>
          </cell>
          <cell r="E1595">
            <v>98124</v>
          </cell>
          <cell r="F1595" t="str">
            <v>MESSINA</v>
          </cell>
          <cell r="G1595" t="str">
            <v>ME</v>
          </cell>
          <cell r="H1595" t="str">
            <v>ITALIA</v>
          </cell>
          <cell r="M1595" t="str">
            <v>UFFICIO ACQUISTI</v>
          </cell>
          <cell r="N1595" t="str">
            <v>090 2934811</v>
          </cell>
          <cell r="R1595" t="str">
            <v>BONIFICO BANCARIO, ALLA DATA DELLA NOSTRA CONFERMA D'ORDINE</v>
          </cell>
          <cell r="X1595">
            <v>0.25</v>
          </cell>
          <cell r="Y1595">
            <v>-0.04</v>
          </cell>
          <cell r="AB1595">
            <v>0.25</v>
          </cell>
          <cell r="AC1595">
            <v>0.25</v>
          </cell>
          <cell r="AD1595">
            <v>0.25</v>
          </cell>
          <cell r="AE1595">
            <v>0.25</v>
          </cell>
          <cell r="AF1595">
            <v>0.25</v>
          </cell>
          <cell r="AG1595">
            <v>0.25</v>
          </cell>
          <cell r="AH1595">
            <v>0.25</v>
          </cell>
          <cell r="AI1595">
            <v>0.25</v>
          </cell>
          <cell r="AJ1595">
            <v>0.25</v>
          </cell>
          <cell r="AK1595">
            <v>0.25</v>
          </cell>
          <cell r="AL1595">
            <v>0.25</v>
          </cell>
          <cell r="AM1595">
            <v>0.25</v>
          </cell>
          <cell r="AN1595">
            <v>0.25</v>
          </cell>
          <cell r="AO1595">
            <v>0.25</v>
          </cell>
          <cell r="AP1595">
            <v>0.25</v>
          </cell>
          <cell r="AQ1595">
            <v>0.25</v>
          </cell>
          <cell r="AR1595">
            <v>0.25</v>
          </cell>
          <cell r="AS1595">
            <v>0.25</v>
          </cell>
          <cell r="AT1595">
            <v>-0.04</v>
          </cell>
          <cell r="AU1595">
            <v>0.92</v>
          </cell>
          <cell r="AV1595">
            <v>20</v>
          </cell>
          <cell r="AY1595" t="str">
            <v/>
          </cell>
          <cell r="AZ1595">
            <v>0.25</v>
          </cell>
          <cell r="BA1595">
            <v>0.25</v>
          </cell>
        </row>
        <row r="1596">
          <cell r="A1596" t="str">
            <v>MARINOTTO FALEGNAMERIA</v>
          </cell>
          <cell r="D1596" t="str">
            <v>VIA UMBERTO PIAZZA 7-7A</v>
          </cell>
          <cell r="E1596" t="str">
            <v>15033</v>
          </cell>
          <cell r="F1596" t="str">
            <v>CASALE MONFERRATO</v>
          </cell>
          <cell r="G1596" t="str">
            <v>AL</v>
          </cell>
          <cell r="H1596" t="str">
            <v>ITALIA</v>
          </cell>
          <cell r="M1596" t="str">
            <v>UFFICIO ACQUISTI</v>
          </cell>
          <cell r="N1596" t="str">
            <v>0142 454055</v>
          </cell>
          <cell r="O1596" t="str">
            <v>348 8064687</v>
          </cell>
          <cell r="P1596" t="str">
            <v>rmarinotto@gmail.com</v>
          </cell>
          <cell r="R1596" t="str">
            <v>BONIFICO BANCARIO, ALLA DATA DELLA NOSTRA CONFERMA D'ORDINE</v>
          </cell>
          <cell r="X1596">
            <v>0.25</v>
          </cell>
          <cell r="Y1596">
            <v>-0.04</v>
          </cell>
          <cell r="AB1596">
            <v>0.25</v>
          </cell>
          <cell r="AC1596">
            <v>0.25</v>
          </cell>
          <cell r="AD1596">
            <v>0.25</v>
          </cell>
          <cell r="AE1596">
            <v>0.25</v>
          </cell>
          <cell r="AF1596">
            <v>0.25</v>
          </cell>
          <cell r="AG1596">
            <v>0.25</v>
          </cell>
          <cell r="AH1596">
            <v>0.25</v>
          </cell>
          <cell r="AI1596">
            <v>0.25</v>
          </cell>
          <cell r="AJ1596">
            <v>0.25</v>
          </cell>
          <cell r="AK1596">
            <v>0.25</v>
          </cell>
          <cell r="AL1596">
            <v>0.25</v>
          </cell>
          <cell r="AM1596">
            <v>0.25</v>
          </cell>
          <cell r="AN1596">
            <v>0.25</v>
          </cell>
          <cell r="AO1596">
            <v>0.25</v>
          </cell>
          <cell r="AP1596">
            <v>0.25</v>
          </cell>
          <cell r="AQ1596">
            <v>0.25</v>
          </cell>
          <cell r="AR1596">
            <v>0.25</v>
          </cell>
          <cell r="AS1596">
            <v>0.25</v>
          </cell>
          <cell r="AT1596">
            <v>-0.04</v>
          </cell>
          <cell r="AU1596">
            <v>0.92</v>
          </cell>
          <cell r="AV1596">
            <v>20</v>
          </cell>
          <cell r="AY1596" t="str">
            <v/>
          </cell>
          <cell r="AZ1596">
            <v>0.25</v>
          </cell>
          <cell r="BA1596">
            <v>0.25</v>
          </cell>
        </row>
        <row r="1597">
          <cell r="A1597" t="str">
            <v>MARONE METAL SAS DI FIORENZO PAOLO MARONE</v>
          </cell>
          <cell r="B1597" t="str">
            <v>MARONE FIORENZO</v>
          </cell>
          <cell r="D1597" t="str">
            <v>VIA G.CARDUCCI, 8</v>
          </cell>
          <cell r="E1597" t="str">
            <v>24047</v>
          </cell>
          <cell r="F1597" t="str">
            <v>TRAVIGLIO</v>
          </cell>
          <cell r="G1597" t="str">
            <v>BG</v>
          </cell>
          <cell r="H1597" t="str">
            <v>ITALIA</v>
          </cell>
          <cell r="J1597" t="str">
            <v>03540440165</v>
          </cell>
          <cell r="K1597" t="str">
            <v>M5UXCR1</v>
          </cell>
          <cell r="M1597" t="str">
            <v>UFFICIO ACQUISTI</v>
          </cell>
          <cell r="N1597" t="str">
            <v>0363 49903</v>
          </cell>
          <cell r="O1597" t="str">
            <v>340 1516820 MARONE FIORENZO</v>
          </cell>
          <cell r="P1597" t="str">
            <v>info@maronemetal.it</v>
          </cell>
          <cell r="R1597" t="str">
            <v>BONIFICO BANCARIO, ALLA DATA DELLA NOSTRA CONFERMA D'ORDINE</v>
          </cell>
          <cell r="X1597">
            <v>0.2</v>
          </cell>
          <cell r="Y1597">
            <v>-0.04</v>
          </cell>
          <cell r="AB1597">
            <v>0.2</v>
          </cell>
          <cell r="AC1597">
            <v>0.2</v>
          </cell>
          <cell r="AD1597">
            <v>0.2</v>
          </cell>
          <cell r="AE1597">
            <v>0.2</v>
          </cell>
          <cell r="AF1597">
            <v>0.2</v>
          </cell>
          <cell r="AG1597">
            <v>0.2</v>
          </cell>
          <cell r="AH1597">
            <v>0.2</v>
          </cell>
          <cell r="AI1597">
            <v>0.2</v>
          </cell>
          <cell r="AJ1597">
            <v>0.2</v>
          </cell>
          <cell r="AK1597">
            <v>0.2</v>
          </cell>
          <cell r="AL1597">
            <v>0.2</v>
          </cell>
          <cell r="AM1597">
            <v>0.2</v>
          </cell>
          <cell r="AN1597">
            <v>0.2</v>
          </cell>
          <cell r="AO1597">
            <v>0.2</v>
          </cell>
          <cell r="AP1597">
            <v>0.2</v>
          </cell>
          <cell r="AQ1597">
            <v>0.2</v>
          </cell>
          <cell r="AR1597">
            <v>0.2</v>
          </cell>
          <cell r="AS1597">
            <v>0.2</v>
          </cell>
          <cell r="AT1597">
            <v>-0.04</v>
          </cell>
          <cell r="AU1597">
            <v>0.92</v>
          </cell>
          <cell r="AV1597">
            <v>20</v>
          </cell>
          <cell r="AZ1597">
            <v>0.2</v>
          </cell>
          <cell r="BA1597">
            <v>0.2</v>
          </cell>
        </row>
        <row r="1598">
          <cell r="A1598" t="str">
            <v xml:space="preserve">MAROTTA INFISSI </v>
          </cell>
          <cell r="D1598" t="str">
            <v>VIA ZANDONAI, 2</v>
          </cell>
          <cell r="F1598" t="str">
            <v>RIBERA</v>
          </cell>
          <cell r="G1598" t="str">
            <v>AG</v>
          </cell>
          <cell r="H1598" t="str">
            <v>ITALIA</v>
          </cell>
          <cell r="M1598" t="str">
            <v>UFFICIO ACQUISTI</v>
          </cell>
          <cell r="N1598" t="str">
            <v>0925 67121</v>
          </cell>
          <cell r="O1598" t="str">
            <v>333 2598093</v>
          </cell>
          <cell r="P1598" t="str">
            <v>marottainfissi@virgilio.it</v>
          </cell>
          <cell r="R1598" t="str">
            <v>BONIFICO BANCARIO, ALLA DATA DELLA NOSTRA CONFERMA D'ORDINE</v>
          </cell>
          <cell r="X1598">
            <v>0.25</v>
          </cell>
          <cell r="Y1598">
            <v>-0.04</v>
          </cell>
          <cell r="AB1598">
            <v>0.25</v>
          </cell>
          <cell r="AC1598">
            <v>0.25</v>
          </cell>
          <cell r="AD1598">
            <v>0.25</v>
          </cell>
          <cell r="AE1598">
            <v>0.25</v>
          </cell>
          <cell r="AF1598">
            <v>0.25</v>
          </cell>
          <cell r="AG1598">
            <v>0.25</v>
          </cell>
          <cell r="AH1598">
            <v>0.25</v>
          </cell>
          <cell r="AI1598">
            <v>0.25</v>
          </cell>
          <cell r="AJ1598">
            <v>0.25</v>
          </cell>
          <cell r="AK1598">
            <v>0.25</v>
          </cell>
          <cell r="AL1598">
            <v>0.25</v>
          </cell>
          <cell r="AM1598">
            <v>0.25</v>
          </cell>
          <cell r="AN1598">
            <v>0.25</v>
          </cell>
          <cell r="AO1598">
            <v>0.25</v>
          </cell>
          <cell r="AP1598">
            <v>0.25</v>
          </cell>
          <cell r="AQ1598">
            <v>0.25</v>
          </cell>
          <cell r="AR1598">
            <v>0.25</v>
          </cell>
          <cell r="AS1598">
            <v>0.25</v>
          </cell>
          <cell r="AT1598">
            <v>-0.04</v>
          </cell>
          <cell r="AU1598">
            <v>0.92</v>
          </cell>
          <cell r="AV1598">
            <v>20</v>
          </cell>
          <cell r="AY1598" t="str">
            <v/>
          </cell>
          <cell r="AZ1598">
            <v>0.25</v>
          </cell>
          <cell r="BA1598">
            <v>0.25</v>
          </cell>
        </row>
        <row r="1599">
          <cell r="A1599" t="str">
            <v>MAROZZI VALENTINO SRL</v>
          </cell>
          <cell r="D1599" t="str">
            <v>VIA PIAVE, 12 PORTO D'ASCOLI</v>
          </cell>
          <cell r="E1599" t="str">
            <v>63074</v>
          </cell>
          <cell r="F1599" t="str">
            <v>SAN BENEDETTO DEL TRONTO</v>
          </cell>
          <cell r="G1599" t="str">
            <v>AP</v>
          </cell>
          <cell r="H1599" t="str">
            <v>ITALIA</v>
          </cell>
          <cell r="J1599" t="str">
            <v>01176810446</v>
          </cell>
          <cell r="K1599" t="str">
            <v>M5UXCR1</v>
          </cell>
          <cell r="M1599" t="str">
            <v>UFFICIO ACQUISTI</v>
          </cell>
          <cell r="N1599" t="str">
            <v>0735 659897</v>
          </cell>
          <cell r="P1599" t="str">
            <v>www.marotti.it</v>
          </cell>
          <cell r="R1599" t="str">
            <v>BONIFICO BANCARIO, ALLA DATA DELLA NOSTRA CONFERMA D'ORDINE</v>
          </cell>
          <cell r="X1599">
            <v>0.2</v>
          </cell>
          <cell r="Y1599">
            <v>-0.04</v>
          </cell>
          <cell r="AB1599">
            <v>0.2</v>
          </cell>
          <cell r="AC1599">
            <v>0.2</v>
          </cell>
          <cell r="AD1599">
            <v>0.2</v>
          </cell>
          <cell r="AE1599">
            <v>0.2</v>
          </cell>
          <cell r="AF1599">
            <v>0.2</v>
          </cell>
          <cell r="AG1599">
            <v>0.2</v>
          </cell>
          <cell r="AH1599">
            <v>0.2</v>
          </cell>
          <cell r="AI1599">
            <v>0.2</v>
          </cell>
          <cell r="AJ1599">
            <v>0.2</v>
          </cell>
          <cell r="AK1599">
            <v>0.2</v>
          </cell>
          <cell r="AL1599">
            <v>0.2</v>
          </cell>
          <cell r="AM1599">
            <v>0.2</v>
          </cell>
          <cell r="AN1599">
            <v>0.2</v>
          </cell>
          <cell r="AO1599">
            <v>0.2</v>
          </cell>
          <cell r="AP1599">
            <v>0.2</v>
          </cell>
          <cell r="AQ1599">
            <v>0.2</v>
          </cell>
          <cell r="AR1599">
            <v>0.2</v>
          </cell>
          <cell r="AS1599">
            <v>0.2</v>
          </cell>
          <cell r="AT1599">
            <v>-0.04</v>
          </cell>
          <cell r="AU1599">
            <v>0.92</v>
          </cell>
          <cell r="AV1599">
            <v>20</v>
          </cell>
          <cell r="AZ1599">
            <v>0.2</v>
          </cell>
          <cell r="BA1599">
            <v>0.2</v>
          </cell>
        </row>
        <row r="1600">
          <cell r="A1600" t="str">
            <v>MARTINET JEAN MARC</v>
          </cell>
          <cell r="D1600" t="str">
            <v>FRAZ.CRET DE BREIL</v>
          </cell>
          <cell r="E1600">
            <v>11024</v>
          </cell>
          <cell r="F1600" t="str">
            <v>CHATILLON</v>
          </cell>
          <cell r="G1600" t="str">
            <v>AO</v>
          </cell>
          <cell r="H1600" t="str">
            <v>ITALIA</v>
          </cell>
          <cell r="I1600" t="str">
            <v>MRTJNR67A18Z133P</v>
          </cell>
          <cell r="J1600" t="str">
            <v>006111850074</v>
          </cell>
          <cell r="M1600" t="str">
            <v>UFFICIO ACQUISTI</v>
          </cell>
          <cell r="O1600" t="str">
            <v>348 6404234</v>
          </cell>
          <cell r="R1600" t="str">
            <v>BONIFICO BANCARIO, ALLA DATA DELLA NOSTRA CONFERMA D'ORDINE</v>
          </cell>
          <cell r="X1600">
            <v>0.25</v>
          </cell>
          <cell r="Y1600">
            <v>-0.04</v>
          </cell>
          <cell r="AB1600">
            <v>0.25</v>
          </cell>
          <cell r="AC1600">
            <v>0.25</v>
          </cell>
          <cell r="AD1600">
            <v>0.25</v>
          </cell>
          <cell r="AE1600">
            <v>0.25</v>
          </cell>
          <cell r="AF1600">
            <v>0.25</v>
          </cell>
          <cell r="AG1600">
            <v>0.25</v>
          </cell>
          <cell r="AH1600">
            <v>0.25</v>
          </cell>
          <cell r="AI1600">
            <v>0.25</v>
          </cell>
          <cell r="AJ1600">
            <v>0.25</v>
          </cell>
          <cell r="AK1600">
            <v>0.25</v>
          </cell>
          <cell r="AL1600">
            <v>0.25</v>
          </cell>
          <cell r="AM1600">
            <v>0.25</v>
          </cell>
          <cell r="AN1600">
            <v>0.25</v>
          </cell>
          <cell r="AO1600">
            <v>0.25</v>
          </cell>
          <cell r="AP1600">
            <v>0.25</v>
          </cell>
          <cell r="AQ1600">
            <v>0.25</v>
          </cell>
          <cell r="AR1600">
            <v>0.25</v>
          </cell>
          <cell r="AS1600">
            <v>0.25</v>
          </cell>
          <cell r="AT1600">
            <v>-0.04</v>
          </cell>
          <cell r="AU1600">
            <v>0.92</v>
          </cell>
          <cell r="AV1600">
            <v>20</v>
          </cell>
          <cell r="AZ1600">
            <v>0.25</v>
          </cell>
          <cell r="BA1600">
            <v>0.25</v>
          </cell>
        </row>
        <row r="1601">
          <cell r="A1601" t="str">
            <v>MARTINFISSI EREDI ENZO TASSONI DI POGGI G.&amp;C.SAS</v>
          </cell>
          <cell r="B1601" t="str">
            <v>30/03/23 NON SONO INTERESSATI PERCHE' NON HANNO MAI AVUTO RICHIESTE</v>
          </cell>
          <cell r="D1601" t="str">
            <v>VIA DELL'INDUSTRIA,SNC</v>
          </cell>
          <cell r="E1601" t="str">
            <v>64014</v>
          </cell>
          <cell r="F1601" t="str">
            <v>MARTINSICURO</v>
          </cell>
          <cell r="G1601" t="str">
            <v>TE</v>
          </cell>
          <cell r="H1601" t="str">
            <v>ITALIA</v>
          </cell>
          <cell r="J1601" t="str">
            <v>01967640871</v>
          </cell>
          <cell r="M1601" t="str">
            <v>UFFICIO ACQUISTI</v>
          </cell>
          <cell r="N1601" t="str">
            <v>0861 796950</v>
          </cell>
          <cell r="O1601" t="str">
            <v>335 3511524</v>
          </cell>
          <cell r="P1601" t="str">
            <v>martinfissi@libero.it</v>
          </cell>
          <cell r="R1601" t="str">
            <v>BONIFICO BANCARIO, ALLA DATA DELLA NOSTRA CONFERMA D'ORDINE</v>
          </cell>
          <cell r="X1601">
            <v>0.2</v>
          </cell>
          <cell r="Y1601">
            <v>-0.04</v>
          </cell>
          <cell r="AB1601">
            <v>0.2</v>
          </cell>
          <cell r="AC1601">
            <v>0.2</v>
          </cell>
          <cell r="AD1601">
            <v>0.2</v>
          </cell>
          <cell r="AE1601">
            <v>0.2</v>
          </cell>
          <cell r="AF1601">
            <v>0.2</v>
          </cell>
          <cell r="AG1601">
            <v>0.2</v>
          </cell>
          <cell r="AH1601">
            <v>0.2</v>
          </cell>
          <cell r="AI1601">
            <v>0.2</v>
          </cell>
          <cell r="AJ1601">
            <v>0.2</v>
          </cell>
          <cell r="AK1601">
            <v>0.2</v>
          </cell>
          <cell r="AL1601">
            <v>0.2</v>
          </cell>
          <cell r="AM1601">
            <v>0.2</v>
          </cell>
          <cell r="AN1601">
            <v>0.2</v>
          </cell>
          <cell r="AO1601">
            <v>0.2</v>
          </cell>
          <cell r="AP1601">
            <v>0.2</v>
          </cell>
          <cell r="AQ1601">
            <v>0.2</v>
          </cell>
          <cell r="AR1601">
            <v>0.2</v>
          </cell>
          <cell r="AS1601">
            <v>0.2</v>
          </cell>
          <cell r="AT1601">
            <v>-0.04</v>
          </cell>
          <cell r="AU1601">
            <v>0.92</v>
          </cell>
          <cell r="AV1601">
            <v>20</v>
          </cell>
          <cell r="AZ1601">
            <v>0.2</v>
          </cell>
          <cell r="BA1601">
            <v>0.2</v>
          </cell>
        </row>
        <row r="1602">
          <cell r="A1602" t="str">
            <v>MARTOCCHI SERRAMENTI</v>
          </cell>
          <cell r="H1602" t="str">
            <v>ITALIA</v>
          </cell>
          <cell r="M1602" t="str">
            <v>UFFICIO ACQUISTI</v>
          </cell>
          <cell r="N1602" t="str">
            <v>0343 34900</v>
          </cell>
          <cell r="R1602" t="str">
            <v>BONIFICO BANCARIO, ALLA DATA DELLA NOSTRA CONFERMA D'ORDINE</v>
          </cell>
          <cell r="X1602">
            <v>0.25</v>
          </cell>
          <cell r="Y1602">
            <v>-0.04</v>
          </cell>
          <cell r="AB1602">
            <v>0.25</v>
          </cell>
          <cell r="AC1602">
            <v>0.25</v>
          </cell>
          <cell r="AD1602">
            <v>0.25</v>
          </cell>
          <cell r="AE1602">
            <v>0.25</v>
          </cell>
          <cell r="AF1602">
            <v>0.25</v>
          </cell>
          <cell r="AG1602">
            <v>0.25</v>
          </cell>
          <cell r="AH1602">
            <v>0.25</v>
          </cell>
          <cell r="AI1602">
            <v>0.25</v>
          </cell>
          <cell r="AJ1602">
            <v>0.25</v>
          </cell>
          <cell r="AK1602">
            <v>0.25</v>
          </cell>
          <cell r="AL1602">
            <v>0.25</v>
          </cell>
          <cell r="AM1602">
            <v>0.25</v>
          </cell>
          <cell r="AN1602">
            <v>0.25</v>
          </cell>
          <cell r="AO1602">
            <v>0.25</v>
          </cell>
          <cell r="AP1602">
            <v>0.25</v>
          </cell>
          <cell r="AQ1602">
            <v>0.25</v>
          </cell>
          <cell r="AR1602">
            <v>0.25</v>
          </cell>
          <cell r="AS1602">
            <v>0.25</v>
          </cell>
          <cell r="AT1602">
            <v>-0.04</v>
          </cell>
          <cell r="AU1602">
            <v>0.92</v>
          </cell>
          <cell r="AV1602">
            <v>20</v>
          </cell>
          <cell r="AY1602" t="str">
            <v/>
          </cell>
          <cell r="AZ1602">
            <v>0.25</v>
          </cell>
          <cell r="BA1602">
            <v>0.25</v>
          </cell>
        </row>
        <row r="1603">
          <cell r="A1603" t="str">
            <v>MARTURANO SERRAMENTI</v>
          </cell>
          <cell r="B1603" t="str">
            <v>RICHIAMARE MERCOLEDI 25/11/2020</v>
          </cell>
          <cell r="D1603" t="str">
            <v>VIA PANAREA, 9</v>
          </cell>
          <cell r="E1603">
            <v>88070</v>
          </cell>
          <cell r="F1603" t="str">
            <v>BOTRICELLO</v>
          </cell>
          <cell r="G1603" t="str">
            <v>CZ</v>
          </cell>
          <cell r="H1603" t="str">
            <v>ITALIA</v>
          </cell>
          <cell r="M1603" t="str">
            <v>UFFICIO ACQUISTI</v>
          </cell>
          <cell r="O1603" t="str">
            <v>Pino 347 9090192</v>
          </cell>
          <cell r="P1603" t="str">
            <v>marturanoserramenti@gmail.com - serramentimarturano@pec.cgn.it</v>
          </cell>
          <cell r="R1603" t="str">
            <v>BONIFICO BANCARIO, ALLA DATA DELLA NOSTRA CONFERMA D'ORDINE</v>
          </cell>
          <cell r="X1603">
            <v>0.25</v>
          </cell>
          <cell r="Y1603">
            <v>-0.04</v>
          </cell>
          <cell r="AB1603">
            <v>0.25</v>
          </cell>
          <cell r="AC1603">
            <v>0.25</v>
          </cell>
          <cell r="AD1603">
            <v>0.25</v>
          </cell>
          <cell r="AE1603">
            <v>0.25</v>
          </cell>
          <cell r="AF1603">
            <v>0.25</v>
          </cell>
          <cell r="AG1603">
            <v>0.25</v>
          </cell>
          <cell r="AH1603">
            <v>0.25</v>
          </cell>
          <cell r="AI1603">
            <v>0.25</v>
          </cell>
          <cell r="AJ1603">
            <v>0.25</v>
          </cell>
          <cell r="AK1603">
            <v>0.25</v>
          </cell>
          <cell r="AL1603">
            <v>0.25</v>
          </cell>
          <cell r="AM1603">
            <v>0.25</v>
          </cell>
          <cell r="AN1603">
            <v>0.25</v>
          </cell>
          <cell r="AO1603">
            <v>0.25</v>
          </cell>
          <cell r="AP1603">
            <v>0.25</v>
          </cell>
          <cell r="AQ1603">
            <v>0.25</v>
          </cell>
          <cell r="AR1603">
            <v>0.25</v>
          </cell>
          <cell r="AS1603">
            <v>0.25</v>
          </cell>
          <cell r="AT1603">
            <v>-0.04</v>
          </cell>
          <cell r="AU1603">
            <v>0.92</v>
          </cell>
          <cell r="AV1603">
            <v>20</v>
          </cell>
          <cell r="AW1603" t="str">
            <v>PIETRO OLIVADOTI</v>
          </cell>
          <cell r="AX1603">
            <v>0.95</v>
          </cell>
          <cell r="AY1603" t="str">
            <v/>
          </cell>
          <cell r="AZ1603">
            <v>0.25</v>
          </cell>
          <cell r="BA1603">
            <v>0.25</v>
          </cell>
        </row>
        <row r="1604">
          <cell r="A1604" t="str">
            <v>MARUSSI SNC</v>
          </cell>
          <cell r="B1604" t="str">
            <v>CAMPIONE OK</v>
          </cell>
          <cell r="D1604" t="str">
            <v>VIA CABOTO, 33</v>
          </cell>
          <cell r="E1604" t="str">
            <v>34147</v>
          </cell>
          <cell r="F1604" t="str">
            <v>TRIESTE</v>
          </cell>
          <cell r="G1604" t="str">
            <v>TS</v>
          </cell>
          <cell r="H1604" t="str">
            <v>ITALIA</v>
          </cell>
          <cell r="J1604" t="str">
            <v>00805250321</v>
          </cell>
          <cell r="M1604" t="str">
            <v>UFFICIO ACQUISTI</v>
          </cell>
          <cell r="N1604" t="str">
            <v>040 8323221</v>
          </cell>
          <cell r="P1604" t="str">
            <v>info@serramentimarussi.it</v>
          </cell>
          <cell r="R1604" t="str">
            <v>BONIFICO BANCARIO, ALLA DATA DELLA NOSTRA CONFERMA D'ORDINE</v>
          </cell>
          <cell r="X1604">
            <v>0.25</v>
          </cell>
          <cell r="Y1604">
            <v>-0.04</v>
          </cell>
          <cell r="AB1604">
            <v>0.25</v>
          </cell>
          <cell r="AC1604">
            <v>0.25</v>
          </cell>
          <cell r="AD1604">
            <v>0.25</v>
          </cell>
          <cell r="AE1604">
            <v>0.25</v>
          </cell>
          <cell r="AF1604">
            <v>0.25</v>
          </cell>
          <cell r="AG1604">
            <v>0.25</v>
          </cell>
          <cell r="AH1604">
            <v>0.25</v>
          </cell>
          <cell r="AI1604">
            <v>0.25</v>
          </cell>
          <cell r="AJ1604">
            <v>0.25</v>
          </cell>
          <cell r="AK1604">
            <v>0.25</v>
          </cell>
          <cell r="AL1604">
            <v>0.25</v>
          </cell>
          <cell r="AM1604">
            <v>0.25</v>
          </cell>
          <cell r="AN1604">
            <v>0.25</v>
          </cell>
          <cell r="AO1604">
            <v>0.25</v>
          </cell>
          <cell r="AP1604">
            <v>0.25</v>
          </cell>
          <cell r="AQ1604">
            <v>0.25</v>
          </cell>
          <cell r="AR1604">
            <v>0.25</v>
          </cell>
          <cell r="AS1604">
            <v>0.25</v>
          </cell>
          <cell r="AT1604">
            <v>-0.04</v>
          </cell>
          <cell r="AU1604">
            <v>0.92</v>
          </cell>
          <cell r="AV1604">
            <v>20</v>
          </cell>
          <cell r="AY1604" t="str">
            <v/>
          </cell>
          <cell r="AZ1604">
            <v>0.25</v>
          </cell>
          <cell r="BA1604">
            <v>0.25</v>
          </cell>
          <cell r="BF1604" t="str">
            <v>CLICK RAPID con carpenteria 19/02/2020</v>
          </cell>
        </row>
        <row r="1605">
          <cell r="A1605" t="str">
            <v>MARVULLI FALEGNAMERIA ARTIGIANA</v>
          </cell>
          <cell r="D1605" t="str">
            <v>VIA TRENTO E TRIESTE, 6B</v>
          </cell>
          <cell r="E1605">
            <v>12042</v>
          </cell>
          <cell r="F1605" t="str">
            <v>BRA</v>
          </cell>
          <cell r="G1605" t="str">
            <v>CN</v>
          </cell>
          <cell r="H1605" t="str">
            <v>ITALIA</v>
          </cell>
          <cell r="J1605">
            <v>3617660018</v>
          </cell>
          <cell r="M1605" t="str">
            <v>UFFICIO ACQUISTI</v>
          </cell>
          <cell r="O1605" t="str">
            <v>335 6617131</v>
          </cell>
          <cell r="P1605" t="str">
            <v>marvulli.bra@gmail.com - serramenti.marvulli@gmail.com</v>
          </cell>
          <cell r="R1605" t="str">
            <v>BONIFICO BANCARIO, ALLA DATA DELLA NOSTRA CONFERMA D'ORDINE</v>
          </cell>
          <cell r="X1605">
            <v>0.25</v>
          </cell>
          <cell r="Y1605">
            <v>-0.04</v>
          </cell>
          <cell r="AB1605">
            <v>0.25</v>
          </cell>
          <cell r="AC1605">
            <v>0.25</v>
          </cell>
          <cell r="AD1605">
            <v>0.25</v>
          </cell>
          <cell r="AE1605">
            <v>0.25</v>
          </cell>
          <cell r="AF1605">
            <v>0.25</v>
          </cell>
          <cell r="AG1605">
            <v>0.25</v>
          </cell>
          <cell r="AH1605">
            <v>0.25</v>
          </cell>
          <cell r="AI1605">
            <v>0.25</v>
          </cell>
          <cell r="AJ1605">
            <v>0.25</v>
          </cell>
          <cell r="AK1605">
            <v>0.25</v>
          </cell>
          <cell r="AL1605">
            <v>0.25</v>
          </cell>
          <cell r="AM1605">
            <v>0.25</v>
          </cell>
          <cell r="AN1605">
            <v>0.25</v>
          </cell>
          <cell r="AO1605">
            <v>0.25</v>
          </cell>
          <cell r="AP1605">
            <v>0.25</v>
          </cell>
          <cell r="AQ1605">
            <v>0.25</v>
          </cell>
          <cell r="AR1605">
            <v>0.25</v>
          </cell>
          <cell r="AS1605">
            <v>0.25</v>
          </cell>
          <cell r="AT1605">
            <v>-0.04</v>
          </cell>
          <cell r="AU1605">
            <v>0.92</v>
          </cell>
          <cell r="AV1605">
            <v>20</v>
          </cell>
          <cell r="AY1605" t="str">
            <v/>
          </cell>
          <cell r="AZ1605">
            <v>0.25</v>
          </cell>
          <cell r="BA1605">
            <v>0.25</v>
          </cell>
        </row>
        <row r="1606">
          <cell r="A1606" t="str">
            <v>MAS INFISSI TENDE</v>
          </cell>
          <cell r="B1606" t="str">
            <v>INTERESSATO</v>
          </cell>
          <cell r="D1606" t="str">
            <v>VIA POZZILLO, 86</v>
          </cell>
          <cell r="E1606">
            <v>80053</v>
          </cell>
          <cell r="F1606" t="str">
            <v>CASTELL. DI STABIA</v>
          </cell>
          <cell r="G1606" t="str">
            <v>NA</v>
          </cell>
          <cell r="H1606" t="str">
            <v>ITALIA</v>
          </cell>
          <cell r="M1606" t="str">
            <v>UFFICIO ACQUISTI</v>
          </cell>
          <cell r="O1606" t="str">
            <v> Marone Nunzio 338 8045925</v>
          </cell>
          <cell r="R1606" t="str">
            <v>BONIFICO BANCARIO, ALLA DATA DELLA NOSTRA CONFERMA D'ORDINE</v>
          </cell>
          <cell r="X1606">
            <v>0.25</v>
          </cell>
          <cell r="Y1606">
            <v>-0.04</v>
          </cell>
          <cell r="AB1606">
            <v>0.25</v>
          </cell>
          <cell r="AC1606">
            <v>0.25</v>
          </cell>
          <cell r="AD1606">
            <v>0.25</v>
          </cell>
          <cell r="AE1606">
            <v>0.25</v>
          </cell>
          <cell r="AF1606">
            <v>0.25</v>
          </cell>
          <cell r="AG1606">
            <v>0.25</v>
          </cell>
          <cell r="AH1606">
            <v>0.25</v>
          </cell>
          <cell r="AI1606">
            <v>0.25</v>
          </cell>
          <cell r="AJ1606">
            <v>0.25</v>
          </cell>
          <cell r="AK1606">
            <v>0.25</v>
          </cell>
          <cell r="AL1606">
            <v>0.25</v>
          </cell>
          <cell r="AM1606">
            <v>0.25</v>
          </cell>
          <cell r="AN1606">
            <v>0.25</v>
          </cell>
          <cell r="AO1606">
            <v>0.25</v>
          </cell>
          <cell r="AP1606">
            <v>0.25</v>
          </cell>
          <cell r="AQ1606">
            <v>0.25</v>
          </cell>
          <cell r="AR1606">
            <v>0.25</v>
          </cell>
          <cell r="AS1606">
            <v>0.25</v>
          </cell>
          <cell r="AT1606">
            <v>-0.04</v>
          </cell>
          <cell r="AU1606">
            <v>0.92</v>
          </cell>
          <cell r="AV1606">
            <v>20</v>
          </cell>
          <cell r="AY1606" t="str">
            <v/>
          </cell>
          <cell r="AZ1606">
            <v>0.25</v>
          </cell>
          <cell r="BA1606">
            <v>0.25</v>
          </cell>
        </row>
        <row r="1607">
          <cell r="A1607" t="str">
            <v>MASALA AUTOMAZIONI SAS</v>
          </cell>
          <cell r="D1607">
            <v>0</v>
          </cell>
          <cell r="E1607">
            <v>16137</v>
          </cell>
          <cell r="F1607" t="str">
            <v>GENOVA</v>
          </cell>
          <cell r="G1607" t="str">
            <v>GE</v>
          </cell>
          <cell r="H1607" t="str">
            <v>ITALIA</v>
          </cell>
          <cell r="J1607" t="str">
            <v>02650370105</v>
          </cell>
          <cell r="K1607" t="str">
            <v>M5UXCR1</v>
          </cell>
          <cell r="M1607" t="str">
            <v>UFFICIO ACQUISTI</v>
          </cell>
          <cell r="N1607" t="str">
            <v>0108315270</v>
          </cell>
          <cell r="O1607" t="str">
            <v>335 7465214</v>
          </cell>
          <cell r="P1607" t="str">
            <v>info@masalaautomazioni.com</v>
          </cell>
          <cell r="R1607" t="str">
            <v>BONIFICO BANCARIO, ALLA DATA DELLA NOSTRA CONFERMA D'ORDINE</v>
          </cell>
          <cell r="X1607">
            <v>0.25</v>
          </cell>
          <cell r="Y1607">
            <v>-0.04</v>
          </cell>
          <cell r="AB1607">
            <v>0.25</v>
          </cell>
          <cell r="AC1607">
            <v>0.25</v>
          </cell>
          <cell r="AD1607">
            <v>0.25</v>
          </cell>
          <cell r="AE1607">
            <v>0.25</v>
          </cell>
          <cell r="AF1607">
            <v>0.25</v>
          </cell>
          <cell r="AG1607">
            <v>0.25</v>
          </cell>
          <cell r="AH1607">
            <v>0.25</v>
          </cell>
          <cell r="AI1607">
            <v>0.25</v>
          </cell>
          <cell r="AJ1607">
            <v>0.25</v>
          </cell>
          <cell r="AK1607">
            <v>0.25</v>
          </cell>
          <cell r="AL1607">
            <v>0.25</v>
          </cell>
          <cell r="AM1607">
            <v>0.25</v>
          </cell>
          <cell r="AN1607">
            <v>0.25</v>
          </cell>
          <cell r="AO1607">
            <v>0.25</v>
          </cell>
          <cell r="AP1607">
            <v>0.25</v>
          </cell>
          <cell r="AQ1607">
            <v>0.25</v>
          </cell>
          <cell r="AR1607">
            <v>0.25</v>
          </cell>
          <cell r="AS1607">
            <v>0.25</v>
          </cell>
          <cell r="AT1607">
            <v>-0.04</v>
          </cell>
          <cell r="AU1607">
            <v>0.92</v>
          </cell>
          <cell r="AV1607">
            <v>20</v>
          </cell>
          <cell r="AY1607" t="str">
            <v/>
          </cell>
          <cell r="AZ1607">
            <v>0.25</v>
          </cell>
          <cell r="BA1607">
            <v>0.25</v>
          </cell>
          <cell r="BF1607" t="str">
            <v>CLICK RAPID con carpenteria 02/12/2020</v>
          </cell>
        </row>
        <row r="1608">
          <cell r="A1608" t="str">
            <v>MASCHERONI SRL</v>
          </cell>
          <cell r="D1608" t="str">
            <v>VIA ROMA, 52</v>
          </cell>
          <cell r="E1608">
            <v>20090</v>
          </cell>
          <cell r="F1608" t="str">
            <v>SEGRATE</v>
          </cell>
          <cell r="G1608" t="str">
            <v>MI</v>
          </cell>
          <cell r="H1608" t="str">
            <v>ITALIA</v>
          </cell>
          <cell r="J1608" t="str">
            <v>05999900961</v>
          </cell>
          <cell r="M1608" t="str">
            <v>UFFICIO ACQUISTI</v>
          </cell>
          <cell r="N1608" t="str">
            <v>02 2133037</v>
          </cell>
          <cell r="P1608" t="str">
            <v>info@mascheroni.com</v>
          </cell>
          <cell r="R1608" t="str">
            <v>BONIFICO BANCARIO, ALLA DATA DELLA NOSTRA CONFERMA D'ORDINE</v>
          </cell>
          <cell r="X1608">
            <v>0.25</v>
          </cell>
          <cell r="Y1608">
            <v>-0.04</v>
          </cell>
          <cell r="AB1608">
            <v>0.25</v>
          </cell>
          <cell r="AC1608">
            <v>0.25</v>
          </cell>
          <cell r="AD1608">
            <v>0.25</v>
          </cell>
          <cell r="AE1608">
            <v>0.25</v>
          </cell>
          <cell r="AF1608">
            <v>0.25</v>
          </cell>
          <cell r="AG1608">
            <v>0.25</v>
          </cell>
          <cell r="AH1608">
            <v>0.25</v>
          </cell>
          <cell r="AI1608">
            <v>0.25</v>
          </cell>
          <cell r="AJ1608">
            <v>0.25</v>
          </cell>
          <cell r="AK1608">
            <v>0.25</v>
          </cell>
          <cell r="AL1608">
            <v>0.25</v>
          </cell>
          <cell r="AM1608">
            <v>0.25</v>
          </cell>
          <cell r="AN1608">
            <v>0.25</v>
          </cell>
          <cell r="AO1608">
            <v>0.25</v>
          </cell>
          <cell r="AP1608">
            <v>0.25</v>
          </cell>
          <cell r="AQ1608">
            <v>0.25</v>
          </cell>
          <cell r="AR1608">
            <v>0.25</v>
          </cell>
          <cell r="AS1608">
            <v>0.25</v>
          </cell>
          <cell r="AT1608">
            <v>-0.04</v>
          </cell>
          <cell r="AU1608">
            <v>0.92</v>
          </cell>
          <cell r="AV1608">
            <v>20</v>
          </cell>
          <cell r="AY1608" t="str">
            <v/>
          </cell>
          <cell r="AZ1608">
            <v>0.25</v>
          </cell>
          <cell r="BA1608">
            <v>0.25</v>
          </cell>
        </row>
        <row r="1609">
          <cell r="A1609" t="str">
            <v>MASCIA GIANLUCA</v>
          </cell>
          <cell r="B1609" t="str">
            <v>SOLO BIGLIETTO DA VISITA</v>
          </cell>
          <cell r="D1609" t="str">
            <v>VIA PIRASTU, 37</v>
          </cell>
          <cell r="E1609" t="str">
            <v xml:space="preserve">09045 </v>
          </cell>
          <cell r="F1609" t="str">
            <v>QUARTU S.ELENA</v>
          </cell>
          <cell r="G1609" t="str">
            <v>CA</v>
          </cell>
          <cell r="H1609" t="str">
            <v>ITALIA</v>
          </cell>
          <cell r="I1609" t="str">
            <v>MSCGLC69P19B354U</v>
          </cell>
          <cell r="J1609" t="str">
            <v>02984630927</v>
          </cell>
          <cell r="M1609" t="str">
            <v>UFFICIO ACQUISTI</v>
          </cell>
          <cell r="N1609" t="str">
            <v>070 881587</v>
          </cell>
          <cell r="O1609" t="str">
            <v>349 0920048 GIANLUCA MASCIA</v>
          </cell>
          <cell r="P1609" t="str">
            <v>mascia.luca@hotmail.it</v>
          </cell>
          <cell r="R1609" t="str">
            <v>BONIFICO BANCARIO, ALLA DATA DELLA NOSTRA CONFERMA D'ORDINE</v>
          </cell>
          <cell r="X1609">
            <v>0.25</v>
          </cell>
          <cell r="Y1609">
            <v>-0.04</v>
          </cell>
          <cell r="AB1609">
            <v>0.25</v>
          </cell>
          <cell r="AC1609">
            <v>0.25</v>
          </cell>
          <cell r="AD1609">
            <v>0.25</v>
          </cell>
          <cell r="AE1609">
            <v>0.25</v>
          </cell>
          <cell r="AF1609">
            <v>0.25</v>
          </cell>
          <cell r="AG1609">
            <v>0.25</v>
          </cell>
          <cell r="AH1609">
            <v>0.25</v>
          </cell>
          <cell r="AI1609">
            <v>0.25</v>
          </cell>
          <cell r="AJ1609">
            <v>0.25</v>
          </cell>
          <cell r="AK1609">
            <v>0.25</v>
          </cell>
          <cell r="AL1609">
            <v>0.25</v>
          </cell>
          <cell r="AM1609">
            <v>0.25</v>
          </cell>
          <cell r="AN1609">
            <v>0.25</v>
          </cell>
          <cell r="AO1609">
            <v>0.25</v>
          </cell>
          <cell r="AP1609">
            <v>0.25</v>
          </cell>
          <cell r="AQ1609">
            <v>0.25</v>
          </cell>
          <cell r="AR1609">
            <v>0.25</v>
          </cell>
          <cell r="AS1609">
            <v>0.25</v>
          </cell>
          <cell r="AT1609">
            <v>-0.04</v>
          </cell>
          <cell r="AU1609">
            <v>0.92</v>
          </cell>
          <cell r="AV1609">
            <v>20</v>
          </cell>
          <cell r="AZ1609">
            <v>0.25</v>
          </cell>
          <cell r="BA1609">
            <v>0.25</v>
          </cell>
        </row>
        <row r="1610">
          <cell r="A1610" t="str">
            <v>MASI GLASS</v>
          </cell>
          <cell r="D1610" t="str">
            <v>VIA LUCIO MARIANI 45C</v>
          </cell>
          <cell r="E1610">
            <v>178</v>
          </cell>
          <cell r="F1610" t="str">
            <v>ROMA</v>
          </cell>
          <cell r="G1610" t="str">
            <v>RM</v>
          </cell>
          <cell r="H1610" t="str">
            <v>ITALIA</v>
          </cell>
          <cell r="J1610" t="str">
            <v>10162491004</v>
          </cell>
          <cell r="M1610" t="str">
            <v>UFFICIO ACQUISTI</v>
          </cell>
          <cell r="N1610" t="str">
            <v>067231477</v>
          </cell>
          <cell r="P1610" t="str">
            <v>masiglass@gmail.com</v>
          </cell>
          <cell r="R1610" t="str">
            <v>BONIFICO BANCARIO, ALLA DATA DELLA NOSTRA CONFERMA D'ORDINE</v>
          </cell>
          <cell r="X1610">
            <v>0.25</v>
          </cell>
          <cell r="Y1610">
            <v>-0.04</v>
          </cell>
          <cell r="AB1610">
            <v>0.25</v>
          </cell>
          <cell r="AC1610">
            <v>0.25</v>
          </cell>
          <cell r="AD1610">
            <v>0.25</v>
          </cell>
          <cell r="AE1610">
            <v>0.25</v>
          </cell>
          <cell r="AF1610">
            <v>0.25</v>
          </cell>
          <cell r="AG1610">
            <v>0.25</v>
          </cell>
          <cell r="AH1610">
            <v>0.25</v>
          </cell>
          <cell r="AI1610">
            <v>0.25</v>
          </cell>
          <cell r="AJ1610">
            <v>0.25</v>
          </cell>
          <cell r="AK1610">
            <v>0.25</v>
          </cell>
          <cell r="AL1610">
            <v>0.25</v>
          </cell>
          <cell r="AM1610">
            <v>0.25</v>
          </cell>
          <cell r="AN1610">
            <v>0.25</v>
          </cell>
          <cell r="AO1610">
            <v>0.25</v>
          </cell>
          <cell r="AP1610">
            <v>0.25</v>
          </cell>
          <cell r="AQ1610">
            <v>0.25</v>
          </cell>
          <cell r="AR1610">
            <v>0.25</v>
          </cell>
          <cell r="AS1610">
            <v>0.25</v>
          </cell>
          <cell r="AT1610">
            <v>-0.04</v>
          </cell>
          <cell r="AU1610">
            <v>0.92</v>
          </cell>
          <cell r="AV1610">
            <v>20</v>
          </cell>
          <cell r="AY1610" t="str">
            <v/>
          </cell>
          <cell r="AZ1610">
            <v>0.25</v>
          </cell>
          <cell r="BA1610">
            <v>0.25</v>
          </cell>
        </row>
        <row r="1611">
          <cell r="A1611" t="str">
            <v>MASPERO</v>
          </cell>
          <cell r="D1611" t="str">
            <v>VIA SPARTACO 10</v>
          </cell>
          <cell r="E1611" t="str">
            <v>22100</v>
          </cell>
          <cell r="F1611" t="str">
            <v>COMO</v>
          </cell>
          <cell r="G1611" t="str">
            <v>CO</v>
          </cell>
          <cell r="H1611" t="str">
            <v>ITALIA</v>
          </cell>
          <cell r="M1611" t="str">
            <v>UFFICIO ACQUISTI</v>
          </cell>
          <cell r="N1611" t="str">
            <v>031 522465</v>
          </cell>
          <cell r="R1611" t="str">
            <v>BONIFICO BANCARIO, ALLA DATA DELLA NOSTRA CONFERMA D'ORDINE</v>
          </cell>
          <cell r="X1611">
            <v>0.25</v>
          </cell>
          <cell r="Y1611">
            <v>-0.04</v>
          </cell>
          <cell r="AB1611">
            <v>0.25</v>
          </cell>
          <cell r="AC1611">
            <v>0.25</v>
          </cell>
          <cell r="AD1611">
            <v>0.25</v>
          </cell>
          <cell r="AE1611">
            <v>0.25</v>
          </cell>
          <cell r="AF1611">
            <v>0.25</v>
          </cell>
          <cell r="AG1611">
            <v>0.25</v>
          </cell>
          <cell r="AH1611">
            <v>0.25</v>
          </cell>
          <cell r="AI1611">
            <v>0.25</v>
          </cell>
          <cell r="AJ1611">
            <v>0.25</v>
          </cell>
          <cell r="AK1611">
            <v>0.25</v>
          </cell>
          <cell r="AL1611">
            <v>0.25</v>
          </cell>
          <cell r="AM1611">
            <v>0.25</v>
          </cell>
          <cell r="AN1611">
            <v>0.25</v>
          </cell>
          <cell r="AO1611">
            <v>0.25</v>
          </cell>
          <cell r="AP1611">
            <v>0.25</v>
          </cell>
          <cell r="AQ1611">
            <v>0.25</v>
          </cell>
          <cell r="AR1611">
            <v>0.25</v>
          </cell>
          <cell r="AS1611">
            <v>0.25</v>
          </cell>
          <cell r="AT1611">
            <v>-0.04</v>
          </cell>
          <cell r="AU1611">
            <v>0.92</v>
          </cell>
          <cell r="AV1611">
            <v>20</v>
          </cell>
          <cell r="AY1611" t="str">
            <v/>
          </cell>
          <cell r="AZ1611">
            <v>0.25</v>
          </cell>
          <cell r="BA1611">
            <v>0.25</v>
          </cell>
        </row>
        <row r="1612">
          <cell r="A1612" t="str">
            <v>MASSA SERRAMENTI SRL</v>
          </cell>
          <cell r="D1612" t="str">
            <v>CORSO XXVII MARZO 118</v>
          </cell>
          <cell r="E1612" t="str">
            <v>27058</v>
          </cell>
          <cell r="F1612" t="str">
            <v>VOGHERA</v>
          </cell>
          <cell r="G1612" t="str">
            <v>PV</v>
          </cell>
          <cell r="H1612" t="str">
            <v>ITALIA</v>
          </cell>
          <cell r="J1612" t="str">
            <v>02188230185</v>
          </cell>
          <cell r="M1612" t="str">
            <v>UFFICIO ACQUISTI</v>
          </cell>
          <cell r="O1612" t="str">
            <v>393 4595744 CLAUDIO MASSA</v>
          </cell>
          <cell r="R1612" t="str">
            <v>BONIFICO BANCARIO, ALLA DATA DELLA NOSTRA CONFERMA D'ORDINE</v>
          </cell>
          <cell r="X1612">
            <v>0.25</v>
          </cell>
          <cell r="Y1612">
            <v>-0.04</v>
          </cell>
          <cell r="AB1612">
            <v>0.25</v>
          </cell>
          <cell r="AC1612">
            <v>0.25</v>
          </cell>
          <cell r="AD1612">
            <v>0.25</v>
          </cell>
          <cell r="AE1612">
            <v>0.25</v>
          </cell>
          <cell r="AF1612">
            <v>0.25</v>
          </cell>
          <cell r="AG1612">
            <v>0.25</v>
          </cell>
          <cell r="AH1612">
            <v>0.25</v>
          </cell>
          <cell r="AI1612">
            <v>0.25</v>
          </cell>
          <cell r="AJ1612">
            <v>0.25</v>
          </cell>
          <cell r="AK1612">
            <v>0.25</v>
          </cell>
          <cell r="AL1612">
            <v>0.25</v>
          </cell>
          <cell r="AM1612">
            <v>0.25</v>
          </cell>
          <cell r="AN1612">
            <v>0.25</v>
          </cell>
          <cell r="AO1612">
            <v>0.25</v>
          </cell>
          <cell r="AP1612">
            <v>0.25</v>
          </cell>
          <cell r="AQ1612">
            <v>0.25</v>
          </cell>
          <cell r="AR1612">
            <v>0.25</v>
          </cell>
          <cell r="AS1612">
            <v>0.25</v>
          </cell>
          <cell r="AT1612">
            <v>-0.04</v>
          </cell>
          <cell r="AU1612">
            <v>0.92</v>
          </cell>
          <cell r="AV1612">
            <v>20</v>
          </cell>
          <cell r="AY1612" t="str">
            <v/>
          </cell>
          <cell r="AZ1612">
            <v>0.25</v>
          </cell>
          <cell r="BA1612">
            <v>0.25</v>
          </cell>
        </row>
        <row r="1613">
          <cell r="A1613" t="str">
            <v>MASSIMO FRASSON ARCHITETTO OTIA</v>
          </cell>
          <cell r="D1613" t="str">
            <v>VIA SAN GOTTARDO, 58</v>
          </cell>
          <cell r="E1613" t="str">
            <v>6648</v>
          </cell>
          <cell r="F1613" t="str">
            <v>MINUSIO</v>
          </cell>
          <cell r="G1613" t="str">
            <v>CH</v>
          </cell>
          <cell r="H1613" t="str">
            <v>SVIZZERA</v>
          </cell>
          <cell r="M1613" t="str">
            <v>UFFICIO ACQUISTI</v>
          </cell>
          <cell r="N1613" t="str">
            <v>+41 767333104</v>
          </cell>
          <cell r="P1613" t="str">
            <v>m.frasson.architetto@gmail.com</v>
          </cell>
          <cell r="R1613" t="str">
            <v>BONIFICO BANCARIO, ALLA DATA DELLA NOSTRA CONFERMA D'ORDINE</v>
          </cell>
          <cell r="X1613">
            <v>0.15</v>
          </cell>
          <cell r="Y1613">
            <v>-0.04</v>
          </cell>
          <cell r="AB1613">
            <v>0.25</v>
          </cell>
          <cell r="AC1613">
            <v>0.25</v>
          </cell>
          <cell r="AD1613">
            <v>0.25</v>
          </cell>
          <cell r="AE1613">
            <v>0.25</v>
          </cell>
          <cell r="AF1613">
            <v>0.25</v>
          </cell>
          <cell r="AG1613">
            <v>0.25</v>
          </cell>
          <cell r="AH1613">
            <v>0.25</v>
          </cell>
          <cell r="AI1613">
            <v>0.25</v>
          </cell>
          <cell r="AJ1613">
            <v>0.25</v>
          </cell>
          <cell r="AK1613">
            <v>0.25</v>
          </cell>
          <cell r="AL1613">
            <v>0.25</v>
          </cell>
          <cell r="AM1613">
            <v>0.25</v>
          </cell>
          <cell r="AN1613">
            <v>0.25</v>
          </cell>
          <cell r="AO1613">
            <v>0.25</v>
          </cell>
          <cell r="AP1613">
            <v>0.25</v>
          </cell>
          <cell r="AQ1613">
            <v>0.25</v>
          </cell>
          <cell r="AR1613">
            <v>0.25</v>
          </cell>
          <cell r="AS1613">
            <v>0.25</v>
          </cell>
          <cell r="AT1613">
            <v>-0.04</v>
          </cell>
          <cell r="AU1613">
            <v>0.9</v>
          </cell>
          <cell r="AV1613">
            <v>20</v>
          </cell>
          <cell r="AZ1613">
            <v>0.25</v>
          </cell>
          <cell r="BA1613">
            <v>0.25</v>
          </cell>
        </row>
        <row r="1614">
          <cell r="A1614" t="str">
            <v>MASTRO-SERRAMENTI SNC</v>
          </cell>
          <cell r="D1614" t="str">
            <v>VIA MAZZINI 2/A</v>
          </cell>
          <cell r="E1614" t="str">
            <v>20027</v>
          </cell>
          <cell r="F1614" t="str">
            <v>RESCALDINA</v>
          </cell>
          <cell r="G1614" t="str">
            <v>MI</v>
          </cell>
          <cell r="H1614" t="str">
            <v>ITALIA</v>
          </cell>
          <cell r="J1614" t="str">
            <v>07864530154</v>
          </cell>
          <cell r="M1614" t="str">
            <v>UFFICIO ACQUISTI</v>
          </cell>
          <cell r="R1614" t="str">
            <v>BONIFICO BANCARIO, ALLA DATA DELLA NOSTRA CONFERMA D'ORDINE</v>
          </cell>
          <cell r="X1614">
            <v>0.25</v>
          </cell>
          <cell r="Y1614">
            <v>-0.04</v>
          </cell>
          <cell r="AB1614">
            <v>0.25</v>
          </cell>
          <cell r="AC1614">
            <v>0.25</v>
          </cell>
          <cell r="AD1614">
            <v>0.25</v>
          </cell>
          <cell r="AE1614">
            <v>0.25</v>
          </cell>
          <cell r="AF1614">
            <v>0.25</v>
          </cell>
          <cell r="AG1614">
            <v>0.25</v>
          </cell>
          <cell r="AH1614">
            <v>0.25</v>
          </cell>
          <cell r="AI1614">
            <v>0.25</v>
          </cell>
          <cell r="AJ1614">
            <v>0.25</v>
          </cell>
          <cell r="AK1614">
            <v>0.25</v>
          </cell>
          <cell r="AL1614">
            <v>0.25</v>
          </cell>
          <cell r="AM1614">
            <v>0.25</v>
          </cell>
          <cell r="AN1614">
            <v>0.25</v>
          </cell>
          <cell r="AO1614">
            <v>0.25</v>
          </cell>
          <cell r="AP1614">
            <v>0.25</v>
          </cell>
          <cell r="AQ1614">
            <v>0.25</v>
          </cell>
          <cell r="AR1614">
            <v>0.25</v>
          </cell>
          <cell r="AS1614">
            <v>0.25</v>
          </cell>
          <cell r="AT1614">
            <v>-0.04</v>
          </cell>
          <cell r="AU1614">
            <v>0.92</v>
          </cell>
          <cell r="AV1614">
            <v>20</v>
          </cell>
          <cell r="AY1614" t="str">
            <v/>
          </cell>
          <cell r="AZ1614">
            <v>0.25</v>
          </cell>
          <cell r="BA1614">
            <v>0.25</v>
          </cell>
        </row>
        <row r="1615">
          <cell r="A1615" t="str">
            <v>MATERIALI EDILI FRATELLI QUEIROLO</v>
          </cell>
          <cell r="D1615" t="str">
            <v>VIA GHIARE, 9</v>
          </cell>
          <cell r="E1615" t="str">
            <v>19015</v>
          </cell>
          <cell r="F1615" t="str">
            <v>LEVANTO</v>
          </cell>
          <cell r="G1615" t="str">
            <v>SP</v>
          </cell>
          <cell r="H1615" t="str">
            <v>ITALIA</v>
          </cell>
          <cell r="J1615" t="str">
            <v>0187800017</v>
          </cell>
          <cell r="M1615" t="str">
            <v>UFFICIO ACQUISTI</v>
          </cell>
          <cell r="N1615" t="str">
            <v xml:space="preserve">0187 800017 </v>
          </cell>
          <cell r="O1615" t="str">
            <v>CAROLINA QUEIROLO</v>
          </cell>
          <cell r="P1615" t="str">
            <v>carolina@fratelliqueirolo.com</v>
          </cell>
          <cell r="R1615" t="str">
            <v>BONIFICO BANCARIO, ALLA DATA DELLA NOSTRA CONFERMA D'ORDINE</v>
          </cell>
          <cell r="X1615">
            <v>0.08</v>
          </cell>
          <cell r="Y1615">
            <v>-0.04</v>
          </cell>
          <cell r="AB1615">
            <v>0.08</v>
          </cell>
          <cell r="AC1615">
            <v>0.08</v>
          </cell>
          <cell r="AD1615">
            <v>0.08</v>
          </cell>
          <cell r="AE1615">
            <v>0.08</v>
          </cell>
          <cell r="AF1615">
            <v>0.08</v>
          </cell>
          <cell r="AG1615">
            <v>0.08</v>
          </cell>
          <cell r="AH1615">
            <v>0.08</v>
          </cell>
          <cell r="AI1615">
            <v>0.08</v>
          </cell>
          <cell r="AJ1615">
            <v>0.08</v>
          </cell>
          <cell r="AK1615">
            <v>0.08</v>
          </cell>
          <cell r="AL1615">
            <v>0.08</v>
          </cell>
          <cell r="AM1615">
            <v>0.08</v>
          </cell>
          <cell r="AN1615">
            <v>0.08</v>
          </cell>
          <cell r="AO1615">
            <v>0.08</v>
          </cell>
          <cell r="AP1615">
            <v>0.08</v>
          </cell>
          <cell r="AQ1615">
            <v>0.08</v>
          </cell>
          <cell r="AR1615">
            <v>0.08</v>
          </cell>
          <cell r="AS1615">
            <v>0.08</v>
          </cell>
          <cell r="AT1615">
            <v>-0.04</v>
          </cell>
          <cell r="AU1615">
            <v>0.92</v>
          </cell>
          <cell r="AV1615">
            <v>20</v>
          </cell>
          <cell r="AZ1615">
            <v>0.08</v>
          </cell>
          <cell r="BA1615">
            <v>0.08</v>
          </cell>
        </row>
        <row r="1616">
          <cell r="A1616" t="str">
            <v>MATTA INFISSI</v>
          </cell>
          <cell r="B1616" t="str">
            <v>SOLO BIGLIETTO DA VISITA</v>
          </cell>
          <cell r="D1616" t="str">
            <v>VIA CAGLIARI, 55</v>
          </cell>
          <cell r="E1616" t="str">
            <v>09028</v>
          </cell>
          <cell r="F1616" t="str">
            <v>SESTU</v>
          </cell>
          <cell r="G1616" t="str">
            <v>CA</v>
          </cell>
          <cell r="H1616" t="str">
            <v>ITALIA</v>
          </cell>
          <cell r="M1616" t="str">
            <v>UFFICIO ACQUISTI</v>
          </cell>
          <cell r="N1616" t="str">
            <v>070 260135</v>
          </cell>
          <cell r="O1616" t="str">
            <v>349 2233990 MARTINO   349 2233988 MASSIMILIANO</v>
          </cell>
          <cell r="P1616" t="str">
            <v>info@mattainfissi.it</v>
          </cell>
          <cell r="R1616" t="str">
            <v>BONIFICO BANCARIO, ALLA DATA DELLA NOSTRA CONFERMA D'ORDINE</v>
          </cell>
          <cell r="X1616">
            <v>0.25</v>
          </cell>
          <cell r="Y1616">
            <v>-0.04</v>
          </cell>
          <cell r="AB1616">
            <v>0.25</v>
          </cell>
          <cell r="AC1616">
            <v>0.25</v>
          </cell>
          <cell r="AD1616">
            <v>0.25</v>
          </cell>
          <cell r="AE1616">
            <v>0.25</v>
          </cell>
          <cell r="AF1616">
            <v>0.25</v>
          </cell>
          <cell r="AG1616">
            <v>0.25</v>
          </cell>
          <cell r="AH1616">
            <v>0.25</v>
          </cell>
          <cell r="AI1616">
            <v>0.25</v>
          </cell>
          <cell r="AJ1616">
            <v>0.25</v>
          </cell>
          <cell r="AK1616">
            <v>0.25</v>
          </cell>
          <cell r="AL1616">
            <v>0.25</v>
          </cell>
          <cell r="AM1616">
            <v>0.25</v>
          </cell>
          <cell r="AN1616">
            <v>0.25</v>
          </cell>
          <cell r="AO1616">
            <v>0.25</v>
          </cell>
          <cell r="AP1616">
            <v>0.25</v>
          </cell>
          <cell r="AQ1616">
            <v>0.25</v>
          </cell>
          <cell r="AR1616">
            <v>0.25</v>
          </cell>
          <cell r="AS1616">
            <v>0.25</v>
          </cell>
          <cell r="AT1616">
            <v>-0.04</v>
          </cell>
          <cell r="AU1616">
            <v>0.92</v>
          </cell>
          <cell r="AV1616">
            <v>20</v>
          </cell>
          <cell r="AZ1616">
            <v>0.25</v>
          </cell>
          <cell r="BA1616">
            <v>0.25</v>
          </cell>
        </row>
        <row r="1617">
          <cell r="A1617" t="str">
            <v>MATTA SERRAMENTI SRL</v>
          </cell>
          <cell r="B1617" t="str">
            <v>SOLO BIGLIETTO DA VISITA  USA TRITONE</v>
          </cell>
          <cell r="D1617" t="str">
            <v>VIA DON MILANI, 18</v>
          </cell>
          <cell r="E1617" t="str">
            <v>09028</v>
          </cell>
          <cell r="F1617" t="str">
            <v>SESTU</v>
          </cell>
          <cell r="G1617" t="str">
            <v>CA</v>
          </cell>
          <cell r="H1617" t="str">
            <v>ITALIA</v>
          </cell>
          <cell r="J1617" t="str">
            <v>03383480922</v>
          </cell>
          <cell r="M1617" t="str">
            <v>UFFICIO ACQUISTI</v>
          </cell>
          <cell r="N1617" t="str">
            <v>070 262001</v>
          </cell>
          <cell r="O1617" t="str">
            <v>348 9159791 ROBERTO   348 5837198 CINZIA</v>
          </cell>
          <cell r="P1617" t="str">
            <v>info@mattaserramenti.it</v>
          </cell>
          <cell r="R1617" t="str">
            <v>BONIFICO BANCARIO, ALLA DATA DELLA NOSTRA CONFERMA D'ORDINE</v>
          </cell>
          <cell r="X1617">
            <v>0.25</v>
          </cell>
          <cell r="Y1617">
            <v>-0.04</v>
          </cell>
          <cell r="AB1617">
            <v>0.25</v>
          </cell>
          <cell r="AC1617">
            <v>0.25</v>
          </cell>
          <cell r="AD1617">
            <v>0.25</v>
          </cell>
          <cell r="AE1617">
            <v>0.25</v>
          </cell>
          <cell r="AF1617">
            <v>0.25</v>
          </cell>
          <cell r="AG1617">
            <v>0.25</v>
          </cell>
          <cell r="AH1617">
            <v>0.25</v>
          </cell>
          <cell r="AI1617">
            <v>0.25</v>
          </cell>
          <cell r="AJ1617">
            <v>0.25</v>
          </cell>
          <cell r="AK1617">
            <v>0.25</v>
          </cell>
          <cell r="AL1617">
            <v>0.25</v>
          </cell>
          <cell r="AM1617">
            <v>0.25</v>
          </cell>
          <cell r="AN1617">
            <v>0.25</v>
          </cell>
          <cell r="AO1617">
            <v>0.25</v>
          </cell>
          <cell r="AP1617">
            <v>0.25</v>
          </cell>
          <cell r="AQ1617">
            <v>0.25</v>
          </cell>
          <cell r="AR1617">
            <v>0.25</v>
          </cell>
          <cell r="AS1617">
            <v>0.25</v>
          </cell>
          <cell r="AT1617">
            <v>-0.04</v>
          </cell>
          <cell r="AU1617">
            <v>0.92</v>
          </cell>
          <cell r="AV1617">
            <v>20</v>
          </cell>
          <cell r="AZ1617">
            <v>0.25</v>
          </cell>
          <cell r="BA1617">
            <v>0.25</v>
          </cell>
        </row>
        <row r="1618">
          <cell r="A1618" t="str">
            <v>MATTEO ALAIMO</v>
          </cell>
          <cell r="D1618" t="str">
            <v>VIA EGIDIO CHECCHI, 86</v>
          </cell>
          <cell r="E1618">
            <v>21013</v>
          </cell>
          <cell r="F1618" t="str">
            <v>GALLARATE</v>
          </cell>
          <cell r="G1618" t="str">
            <v>VA</v>
          </cell>
          <cell r="H1618" t="str">
            <v>ITALIA</v>
          </cell>
          <cell r="M1618" t="str">
            <v>UFFICIO ACQUISTI</v>
          </cell>
          <cell r="N1618" t="str">
            <v>0331 985751</v>
          </cell>
          <cell r="O1618" t="str">
            <v>335 8406712 - 344 0460459</v>
          </cell>
          <cell r="P1618" t="str">
            <v>m.alaimo@sun-system.it - info@sun-system.it</v>
          </cell>
          <cell r="R1618" t="str">
            <v>BONIFICO BANCARIO, ALLA DATA DELLA NOSTRA CONFERMA D'ORDINE</v>
          </cell>
          <cell r="X1618">
            <v>0.25</v>
          </cell>
          <cell r="Y1618">
            <v>-0.04</v>
          </cell>
          <cell r="AB1618">
            <v>0.25</v>
          </cell>
          <cell r="AC1618">
            <v>0.25</v>
          </cell>
          <cell r="AD1618">
            <v>0.25</v>
          </cell>
          <cell r="AE1618">
            <v>0.25</v>
          </cell>
          <cell r="AF1618">
            <v>0.25</v>
          </cell>
          <cell r="AG1618">
            <v>0.25</v>
          </cell>
          <cell r="AH1618">
            <v>0.25</v>
          </cell>
          <cell r="AI1618">
            <v>0.25</v>
          </cell>
          <cell r="AJ1618">
            <v>0.25</v>
          </cell>
          <cell r="AK1618">
            <v>0.25</v>
          </cell>
          <cell r="AL1618">
            <v>0.25</v>
          </cell>
          <cell r="AM1618">
            <v>0.25</v>
          </cell>
          <cell r="AN1618">
            <v>0.25</v>
          </cell>
          <cell r="AO1618">
            <v>0.25</v>
          </cell>
          <cell r="AP1618">
            <v>0.25</v>
          </cell>
          <cell r="AQ1618">
            <v>0.25</v>
          </cell>
          <cell r="AR1618">
            <v>0.25</v>
          </cell>
          <cell r="AS1618">
            <v>0.25</v>
          </cell>
          <cell r="AT1618">
            <v>-0.04</v>
          </cell>
          <cell r="AU1618">
            <v>0.92</v>
          </cell>
          <cell r="AV1618">
            <v>20</v>
          </cell>
          <cell r="AY1618" t="str">
            <v/>
          </cell>
          <cell r="AZ1618">
            <v>0.25</v>
          </cell>
          <cell r="BA1618">
            <v>0.25</v>
          </cell>
        </row>
        <row r="1619">
          <cell r="A1619" t="str">
            <v>MATURI &amp; SAMPIETRO SA METALCOSTRUZIONI</v>
          </cell>
          <cell r="D1619" t="str">
            <v>STRADA CANTONALE 21</v>
          </cell>
          <cell r="E1619" t="str">
            <v>6805</v>
          </cell>
          <cell r="F1619" t="str">
            <v>MEZZOVICO</v>
          </cell>
          <cell r="H1619" t="str">
            <v>SVIZZERA</v>
          </cell>
          <cell r="J1619" t="str">
            <v>CHE 102235164</v>
          </cell>
          <cell r="K1619" t="str">
            <v>XXXXXXX</v>
          </cell>
          <cell r="M1619" t="str">
            <v>UFFICIO ACQUISTI</v>
          </cell>
          <cell r="N1619" t="str">
            <v>+41 919463341</v>
          </cell>
          <cell r="P1619" t="str">
            <v>sampietro@maturisampietro.ch</v>
          </cell>
          <cell r="R1619" t="str">
            <v>BONIFICO BANCARIO, ALLA DATA DELLA NOSTRA CONFERMA D'ORDINE</v>
          </cell>
          <cell r="X1619">
            <v>0.2</v>
          </cell>
          <cell r="AB1619">
            <v>0.2</v>
          </cell>
          <cell r="AC1619">
            <v>0.2</v>
          </cell>
          <cell r="AD1619">
            <v>0.2</v>
          </cell>
          <cell r="AE1619">
            <v>0.2</v>
          </cell>
          <cell r="AF1619">
            <v>0.2</v>
          </cell>
          <cell r="AG1619">
            <v>0.2</v>
          </cell>
          <cell r="AH1619">
            <v>0.2</v>
          </cell>
          <cell r="AI1619">
            <v>0.2</v>
          </cell>
          <cell r="AJ1619">
            <v>0.2</v>
          </cell>
          <cell r="AK1619">
            <v>0.2</v>
          </cell>
          <cell r="AL1619">
            <v>0.2</v>
          </cell>
          <cell r="AM1619">
            <v>0.2</v>
          </cell>
          <cell r="AN1619">
            <v>0.2</v>
          </cell>
          <cell r="AO1619">
            <v>0.2</v>
          </cell>
          <cell r="AP1619">
            <v>0.2</v>
          </cell>
          <cell r="AQ1619">
            <v>0.2</v>
          </cell>
          <cell r="AR1619">
            <v>0.2</v>
          </cell>
          <cell r="AS1619">
            <v>0.2</v>
          </cell>
          <cell r="AU1619">
            <v>0.84</v>
          </cell>
          <cell r="AV1619">
            <v>20</v>
          </cell>
          <cell r="AZ1619">
            <v>0.2</v>
          </cell>
          <cell r="BA1619">
            <v>0.2</v>
          </cell>
        </row>
        <row r="1620">
          <cell r="A1620" t="str">
            <v>MAURIZIO ALBONI</v>
          </cell>
          <cell r="D1620" t="str">
            <v>VIA ZARLATI, 105</v>
          </cell>
          <cell r="E1620" t="str">
            <v>41126</v>
          </cell>
          <cell r="F1620" t="str">
            <v>MODENA</v>
          </cell>
          <cell r="G1620" t="str">
            <v>MO</v>
          </cell>
          <cell r="H1620" t="str">
            <v>ITALIA</v>
          </cell>
          <cell r="M1620" t="str">
            <v>UFFICIO ACQUISTI</v>
          </cell>
          <cell r="N1620" t="str">
            <v>059 331067</v>
          </cell>
          <cell r="P1620" t="str">
            <v>info@albonimatic.com</v>
          </cell>
          <cell r="R1620" t="str">
            <v>BONIFICO BANCARIO, ALLA DATA DELLA NOSTRA CONFERMA D'ORDINE</v>
          </cell>
          <cell r="X1620">
            <v>0</v>
          </cell>
          <cell r="Y1620">
            <v>-0.04</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cell r="AO1620">
            <v>0</v>
          </cell>
          <cell r="AP1620">
            <v>0</v>
          </cell>
          <cell r="AQ1620">
            <v>0</v>
          </cell>
          <cell r="AR1620">
            <v>0</v>
          </cell>
          <cell r="AS1620">
            <v>0</v>
          </cell>
          <cell r="AT1620">
            <v>-0.04</v>
          </cell>
          <cell r="AU1620">
            <v>0.92</v>
          </cell>
          <cell r="AV1620">
            <v>20</v>
          </cell>
          <cell r="AZ1620">
            <v>0</v>
          </cell>
          <cell r="BA1620">
            <v>0</v>
          </cell>
        </row>
        <row r="1621">
          <cell r="A1621" t="str">
            <v>MAURIZIO MIRISOLA SERRAMENTI METALLICI</v>
          </cell>
          <cell r="D1621" t="str">
            <v xml:space="preserve">VIA SALLEMI, 90 92 94 </v>
          </cell>
          <cell r="E1621">
            <v>93100</v>
          </cell>
          <cell r="F1621" t="str">
            <v>CALTANISSETTA</v>
          </cell>
          <cell r="G1621" t="str">
            <v>CL</v>
          </cell>
          <cell r="H1621" t="str">
            <v>ITALIA</v>
          </cell>
          <cell r="M1621" t="str">
            <v>UFFICIO ACQUISTI</v>
          </cell>
          <cell r="O1621" t="str">
            <v>338 3683029</v>
          </cell>
          <cell r="R1621" t="str">
            <v>BONIFICO BANCARIO, ALLA DATA DELLA NOSTRA CONFERMA D'ORDINE</v>
          </cell>
          <cell r="X1621">
            <v>0.25</v>
          </cell>
          <cell r="Y1621">
            <v>-0.04</v>
          </cell>
          <cell r="AB1621">
            <v>0.25</v>
          </cell>
          <cell r="AC1621">
            <v>0.25</v>
          </cell>
          <cell r="AD1621">
            <v>0.25</v>
          </cell>
          <cell r="AE1621">
            <v>0.25</v>
          </cell>
          <cell r="AF1621">
            <v>0.25</v>
          </cell>
          <cell r="AG1621">
            <v>0.25</v>
          </cell>
          <cell r="AH1621">
            <v>0.25</v>
          </cell>
          <cell r="AI1621">
            <v>0.25</v>
          </cell>
          <cell r="AJ1621">
            <v>0.25</v>
          </cell>
          <cell r="AK1621">
            <v>0.25</v>
          </cell>
          <cell r="AL1621">
            <v>0.25</v>
          </cell>
          <cell r="AM1621">
            <v>0.25</v>
          </cell>
          <cell r="AN1621">
            <v>0.25</v>
          </cell>
          <cell r="AO1621">
            <v>0.25</v>
          </cell>
          <cell r="AP1621">
            <v>0.25</v>
          </cell>
          <cell r="AQ1621">
            <v>0.25</v>
          </cell>
          <cell r="AR1621">
            <v>0.25</v>
          </cell>
          <cell r="AS1621">
            <v>0.25</v>
          </cell>
          <cell r="AT1621">
            <v>-0.04</v>
          </cell>
          <cell r="AU1621">
            <v>0.92</v>
          </cell>
          <cell r="AV1621">
            <v>20</v>
          </cell>
          <cell r="AY1621" t="str">
            <v/>
          </cell>
          <cell r="AZ1621">
            <v>0.25</v>
          </cell>
          <cell r="BA1621">
            <v>0.25</v>
          </cell>
        </row>
        <row r="1622">
          <cell r="A1622" t="str">
            <v>MAVA INFISSI</v>
          </cell>
          <cell r="D1622" t="str">
            <v>VIA MARTUCCI, 40</v>
          </cell>
          <cell r="E1622">
            <v>80053</v>
          </cell>
          <cell r="F1622" t="str">
            <v>CASTELL. DI STABIA</v>
          </cell>
          <cell r="G1622" t="str">
            <v>NA</v>
          </cell>
          <cell r="H1622" t="str">
            <v>ITALIA</v>
          </cell>
          <cell r="M1622" t="str">
            <v>UFFICIO ACQUISTI</v>
          </cell>
          <cell r="N1622" t="str">
            <v>081 8702514</v>
          </cell>
          <cell r="R1622" t="str">
            <v>BONIFICO BANCARIO, ALLA DATA DELLA NOSTRA CONFERMA D'ORDINE</v>
          </cell>
          <cell r="X1622">
            <v>0.25</v>
          </cell>
          <cell r="Y1622">
            <v>-0.04</v>
          </cell>
          <cell r="AB1622">
            <v>0.25</v>
          </cell>
          <cell r="AC1622">
            <v>0.25</v>
          </cell>
          <cell r="AD1622">
            <v>0.25</v>
          </cell>
          <cell r="AE1622">
            <v>0.25</v>
          </cell>
          <cell r="AF1622">
            <v>0.25</v>
          </cell>
          <cell r="AG1622">
            <v>0.25</v>
          </cell>
          <cell r="AH1622">
            <v>0.25</v>
          </cell>
          <cell r="AI1622">
            <v>0.25</v>
          </cell>
          <cell r="AJ1622">
            <v>0.25</v>
          </cell>
          <cell r="AK1622">
            <v>0.25</v>
          </cell>
          <cell r="AL1622">
            <v>0.25</v>
          </cell>
          <cell r="AM1622">
            <v>0.25</v>
          </cell>
          <cell r="AN1622">
            <v>0.25</v>
          </cell>
          <cell r="AO1622">
            <v>0.25</v>
          </cell>
          <cell r="AP1622">
            <v>0.25</v>
          </cell>
          <cell r="AQ1622">
            <v>0.25</v>
          </cell>
          <cell r="AR1622">
            <v>0.25</v>
          </cell>
          <cell r="AS1622">
            <v>0.25</v>
          </cell>
          <cell r="AT1622">
            <v>-0.04</v>
          </cell>
          <cell r="AU1622">
            <v>0.92</v>
          </cell>
          <cell r="AV1622">
            <v>20</v>
          </cell>
          <cell r="AY1622" t="str">
            <v/>
          </cell>
          <cell r="AZ1622">
            <v>0.25</v>
          </cell>
          <cell r="BA1622">
            <v>0.25</v>
          </cell>
        </row>
        <row r="1623">
          <cell r="A1623" t="str">
            <v>MAX BUSNELLI</v>
          </cell>
          <cell r="B1623" t="str">
            <v>LASCIATO DEPLIAN -MP</v>
          </cell>
          <cell r="D1623" t="str">
            <v>VIA MARCO POLO, 4</v>
          </cell>
          <cell r="E1623">
            <v>20821</v>
          </cell>
          <cell r="F1623" t="str">
            <v>MEDA</v>
          </cell>
          <cell r="G1623" t="str">
            <v>MB</v>
          </cell>
          <cell r="H1623" t="str">
            <v>ITALIA</v>
          </cell>
          <cell r="I1623" t="str">
            <v>BSNMSM75T14I625C</v>
          </cell>
          <cell r="J1623" t="str">
            <v>06933010966</v>
          </cell>
          <cell r="M1623" t="str">
            <v>UFFICIO ACQUISTI</v>
          </cell>
          <cell r="O1623" t="str">
            <v>338 7270620</v>
          </cell>
          <cell r="P1623" t="str">
            <v>info@maxbusnelli.com</v>
          </cell>
          <cell r="R1623" t="str">
            <v>BONIFICO BANCARIO, ALLA DATA DELLA NOSTRA CONFERMA D'ORDINE</v>
          </cell>
          <cell r="X1623">
            <v>0.25</v>
          </cell>
          <cell r="Y1623">
            <v>-0.04</v>
          </cell>
          <cell r="AB1623">
            <v>0.25</v>
          </cell>
          <cell r="AC1623">
            <v>0.25</v>
          </cell>
          <cell r="AD1623">
            <v>0.25</v>
          </cell>
          <cell r="AE1623">
            <v>0.25</v>
          </cell>
          <cell r="AF1623">
            <v>0.25</v>
          </cell>
          <cell r="AG1623">
            <v>0.25</v>
          </cell>
          <cell r="AH1623">
            <v>0.25</v>
          </cell>
          <cell r="AI1623">
            <v>0.25</v>
          </cell>
          <cell r="AJ1623">
            <v>0.25</v>
          </cell>
          <cell r="AK1623">
            <v>0.25</v>
          </cell>
          <cell r="AL1623">
            <v>0.25</v>
          </cell>
          <cell r="AM1623">
            <v>0.25</v>
          </cell>
          <cell r="AN1623">
            <v>0.25</v>
          </cell>
          <cell r="AO1623">
            <v>0.25</v>
          </cell>
          <cell r="AP1623">
            <v>0.25</v>
          </cell>
          <cell r="AQ1623">
            <v>0.25</v>
          </cell>
          <cell r="AR1623">
            <v>0.25</v>
          </cell>
          <cell r="AS1623">
            <v>0.25</v>
          </cell>
          <cell r="AT1623">
            <v>-0.04</v>
          </cell>
          <cell r="AU1623">
            <v>0.92</v>
          </cell>
          <cell r="AV1623">
            <v>20</v>
          </cell>
          <cell r="AY1623" t="str">
            <v/>
          </cell>
          <cell r="AZ1623">
            <v>0.25</v>
          </cell>
          <cell r="BA1623">
            <v>0.25</v>
          </cell>
        </row>
        <row r="1624">
          <cell r="A1624" t="str">
            <v>MAX COSTRUZIONI S.A.S. DI ROBERTO GARDINA E C.</v>
          </cell>
          <cell r="D1624" t="str">
            <v>VIA VERDI, 27</v>
          </cell>
          <cell r="E1624" t="str">
            <v>45100</v>
          </cell>
          <cell r="F1624" t="str">
            <v>ROVIGO</v>
          </cell>
          <cell r="G1624" t="str">
            <v>RO</v>
          </cell>
          <cell r="H1624" t="str">
            <v>ITALIA</v>
          </cell>
          <cell r="J1624" t="str">
            <v>01217230299</v>
          </cell>
          <cell r="M1624" t="str">
            <v>UFFICIO ACQUISTI</v>
          </cell>
          <cell r="N1624" t="str">
            <v>0425 410922</v>
          </cell>
          <cell r="P1624" t="str">
            <v>roberto.spada@maxcostruzionisrl.it</v>
          </cell>
          <cell r="R1624" t="str">
            <v>BONIFICO BANCARIO, ALLA DATA DELLA NOSTRA CONFERMA D'ORDINE</v>
          </cell>
          <cell r="AU1624">
            <v>0.92</v>
          </cell>
          <cell r="AV1624">
            <v>20</v>
          </cell>
          <cell r="AZ1624">
            <v>0</v>
          </cell>
          <cell r="BA1624">
            <v>0</v>
          </cell>
        </row>
        <row r="1625">
          <cell r="A1625" t="str">
            <v>MAZZALAI SERRAMENTI</v>
          </cell>
          <cell r="D1625" t="str">
            <v>VIA DELLA COOPERAZIONE, 159</v>
          </cell>
          <cell r="E1625">
            <v>38123</v>
          </cell>
          <cell r="F1625" t="str">
            <v>TRENTO</v>
          </cell>
          <cell r="G1625" t="str">
            <v>TN</v>
          </cell>
          <cell r="H1625" t="str">
            <v>ITALIA</v>
          </cell>
          <cell r="I1625" t="str">
            <v>00127800225</v>
          </cell>
          <cell r="J1625" t="str">
            <v>00127800225</v>
          </cell>
          <cell r="M1625" t="str">
            <v>UFFICIO ACQUISTI</v>
          </cell>
          <cell r="N1625" t="str">
            <v>0461 910033</v>
          </cell>
          <cell r="P1625" t="str">
            <v>info@mazzalaiserramenti.it</v>
          </cell>
          <cell r="R1625" t="str">
            <v>BONIFICO BANCARIO, ALLA DATA DELLA NOSTRA CONFERMA D'ORDINE</v>
          </cell>
          <cell r="X1625">
            <v>0.25</v>
          </cell>
          <cell r="Y1625">
            <v>-0.04</v>
          </cell>
          <cell r="AB1625">
            <v>0.25</v>
          </cell>
          <cell r="AC1625">
            <v>0.25</v>
          </cell>
          <cell r="AD1625">
            <v>0.25</v>
          </cell>
          <cell r="AE1625">
            <v>0.25</v>
          </cell>
          <cell r="AF1625">
            <v>0.25</v>
          </cell>
          <cell r="AG1625">
            <v>0.25</v>
          </cell>
          <cell r="AH1625">
            <v>0.25</v>
          </cell>
          <cell r="AI1625">
            <v>0.25</v>
          </cell>
          <cell r="AJ1625">
            <v>0.25</v>
          </cell>
          <cell r="AK1625">
            <v>0.25</v>
          </cell>
          <cell r="AL1625">
            <v>0.25</v>
          </cell>
          <cell r="AM1625">
            <v>0.25</v>
          </cell>
          <cell r="AN1625">
            <v>0.25</v>
          </cell>
          <cell r="AO1625">
            <v>0.25</v>
          </cell>
          <cell r="AP1625">
            <v>0.25</v>
          </cell>
          <cell r="AQ1625">
            <v>0.25</v>
          </cell>
          <cell r="AR1625">
            <v>0.25</v>
          </cell>
          <cell r="AS1625">
            <v>0.25</v>
          </cell>
          <cell r="AT1625">
            <v>-0.04</v>
          </cell>
          <cell r="AU1625">
            <v>0.92</v>
          </cell>
          <cell r="AV1625">
            <v>20</v>
          </cell>
          <cell r="AY1625" t="str">
            <v/>
          </cell>
          <cell r="AZ1625">
            <v>0.25</v>
          </cell>
          <cell r="BA1625">
            <v>0.25</v>
          </cell>
        </row>
        <row r="1626">
          <cell r="A1626" t="str">
            <v>MAZZUCCO Serramenti e tetti</v>
          </cell>
          <cell r="B1626" t="str">
            <v>E' UN SERRAMENTISTA IMPORTANTE NELLA SUA ZONA  (OKNOPLAST)</v>
          </cell>
          <cell r="D1626" t="str">
            <v>VIA ARGINE DESTRO, 27</v>
          </cell>
          <cell r="E1626">
            <v>18013</v>
          </cell>
          <cell r="F1626" t="str">
            <v>IMPERIA</v>
          </cell>
          <cell r="G1626" t="str">
            <v>IM</v>
          </cell>
          <cell r="H1626" t="str">
            <v>ITALIA</v>
          </cell>
          <cell r="I1626" t="str">
            <v>01378060089</v>
          </cell>
          <cell r="J1626" t="str">
            <v>01378060089</v>
          </cell>
          <cell r="M1626" t="str">
            <v>UFFICIO ACQUISTI</v>
          </cell>
          <cell r="N1626" t="str">
            <v>0183 498168</v>
          </cell>
          <cell r="P1626" t="str">
            <v>info@mazzuccosrl.it</v>
          </cell>
          <cell r="R1626" t="str">
            <v>BONIFICO BANCARIO, ALLA DATA DELLA NOSTRA CONFERMA D'ORDINE</v>
          </cell>
          <cell r="X1626">
            <v>0.25</v>
          </cell>
          <cell r="Y1626">
            <v>-0.04</v>
          </cell>
          <cell r="AB1626">
            <v>0.25</v>
          </cell>
          <cell r="AC1626">
            <v>0.25</v>
          </cell>
          <cell r="AD1626">
            <v>0.25</v>
          </cell>
          <cell r="AE1626">
            <v>0.25</v>
          </cell>
          <cell r="AF1626">
            <v>0.25</v>
          </cell>
          <cell r="AG1626">
            <v>0.25</v>
          </cell>
          <cell r="AH1626">
            <v>0.25</v>
          </cell>
          <cell r="AI1626">
            <v>0.25</v>
          </cell>
          <cell r="AJ1626">
            <v>0.25</v>
          </cell>
          <cell r="AK1626">
            <v>0.25</v>
          </cell>
          <cell r="AL1626">
            <v>0.25</v>
          </cell>
          <cell r="AM1626">
            <v>0.25</v>
          </cell>
          <cell r="AN1626">
            <v>0.25</v>
          </cell>
          <cell r="AO1626">
            <v>0.25</v>
          </cell>
          <cell r="AP1626">
            <v>0.25</v>
          </cell>
          <cell r="AQ1626">
            <v>0.25</v>
          </cell>
          <cell r="AR1626">
            <v>0.25</v>
          </cell>
          <cell r="AS1626">
            <v>0.25</v>
          </cell>
          <cell r="AT1626">
            <v>-0.04</v>
          </cell>
          <cell r="AU1626">
            <v>0.92</v>
          </cell>
          <cell r="AV1626">
            <v>20</v>
          </cell>
          <cell r="AY1626" t="str">
            <v/>
          </cell>
          <cell r="AZ1626">
            <v>0.25</v>
          </cell>
          <cell r="BA1626">
            <v>0.25</v>
          </cell>
        </row>
        <row r="1627">
          <cell r="A1627" t="str">
            <v>MB FABBROTECNICA DI BERNO MAURO &amp; C. SNC</v>
          </cell>
          <cell r="D1627" t="str">
            <v>VIA LEVRINI, 13</v>
          </cell>
          <cell r="E1627">
            <v>25080</v>
          </cell>
          <cell r="F1627" t="str">
            <v>SOIANO DEL LAGO</v>
          </cell>
          <cell r="G1627" t="str">
            <v>BS</v>
          </cell>
          <cell r="H1627" t="str">
            <v>ITALIA</v>
          </cell>
          <cell r="J1627" t="str">
            <v>01580460986</v>
          </cell>
          <cell r="K1627" t="str">
            <v>M5UXCR1</v>
          </cell>
          <cell r="M1627" t="str">
            <v>UFFICIO ACQUISTI</v>
          </cell>
          <cell r="N1627" t="str">
            <v>0365 502606</v>
          </cell>
          <cell r="P1627" t="str">
            <v>mbfabbrotecnica@gmail.com</v>
          </cell>
          <cell r="R1627" t="str">
            <v>BONIFICO BANCARIO, ALLA DATA DELLA NOSTRA CONFERMA D'ORDINE</v>
          </cell>
          <cell r="X1627">
            <v>0.25</v>
          </cell>
          <cell r="Y1627">
            <v>-0.04</v>
          </cell>
          <cell r="AB1627">
            <v>0.25</v>
          </cell>
          <cell r="AC1627">
            <v>0.25</v>
          </cell>
          <cell r="AD1627">
            <v>0.25</v>
          </cell>
          <cell r="AE1627">
            <v>0.25</v>
          </cell>
          <cell r="AF1627">
            <v>0.25</v>
          </cell>
          <cell r="AG1627">
            <v>0.25</v>
          </cell>
          <cell r="AH1627">
            <v>0.25</v>
          </cell>
          <cell r="AI1627">
            <v>0.25</v>
          </cell>
          <cell r="AJ1627">
            <v>0.25</v>
          </cell>
          <cell r="AK1627">
            <v>0.25</v>
          </cell>
          <cell r="AL1627">
            <v>0.25</v>
          </cell>
          <cell r="AM1627">
            <v>0.25</v>
          </cell>
          <cell r="AN1627">
            <v>0.25</v>
          </cell>
          <cell r="AO1627">
            <v>0.25</v>
          </cell>
          <cell r="AP1627">
            <v>0.25</v>
          </cell>
          <cell r="AQ1627">
            <v>0.25</v>
          </cell>
          <cell r="AR1627">
            <v>0.25</v>
          </cell>
          <cell r="AS1627">
            <v>0.25</v>
          </cell>
          <cell r="AT1627">
            <v>-0.04</v>
          </cell>
          <cell r="AU1627">
            <v>0.92</v>
          </cell>
          <cell r="AV1627">
            <v>20</v>
          </cell>
          <cell r="AY1627" t="str">
            <v/>
          </cell>
          <cell r="AZ1627">
            <v>0.25</v>
          </cell>
          <cell r="BA1627">
            <v>0.25</v>
          </cell>
          <cell r="BF1627" t="str">
            <v>CLICK RAPID con carpenteria 24/09/2020</v>
          </cell>
        </row>
        <row r="1628">
          <cell r="A1628" t="str">
            <v>MB INFISSI DI MORMINO GIUSEPPE</v>
          </cell>
          <cell r="B1628" t="str">
            <v>CAMPIONE SCONTO 30%   VOLANTINI + VETROFANIE</v>
          </cell>
          <cell r="D1628" t="str">
            <v>VIA ABEGG, 72</v>
          </cell>
          <cell r="E1628" t="str">
            <v>10050</v>
          </cell>
          <cell r="F1628" t="str">
            <v>BORGONE SUSA</v>
          </cell>
          <cell r="G1628" t="str">
            <v>TO</v>
          </cell>
          <cell r="H1628" t="str">
            <v>ITALIA</v>
          </cell>
          <cell r="I1628" t="str">
            <v>MRMGPP80E09G273V</v>
          </cell>
          <cell r="J1628" t="str">
            <v>11357310017</v>
          </cell>
          <cell r="K1628" t="str">
            <v>BAGET11</v>
          </cell>
          <cell r="M1628" t="str">
            <v>UFFICIO ACQUISTI</v>
          </cell>
          <cell r="N1628" t="str">
            <v>011 9646207</v>
          </cell>
          <cell r="O1628" t="str">
            <v>347 3011236</v>
          </cell>
          <cell r="P1628" t="str">
            <v>giuseppe.mormino@alice.it</v>
          </cell>
          <cell r="R1628" t="str">
            <v>BONIFICO BANCARIO, ALLA DATA DELLA NOSTRA CONFERMA D'ORDINE</v>
          </cell>
          <cell r="X1628">
            <v>0.25</v>
          </cell>
          <cell r="Y1628">
            <v>-0.04</v>
          </cell>
          <cell r="AB1628">
            <v>0.25</v>
          </cell>
          <cell r="AC1628">
            <v>0.25</v>
          </cell>
          <cell r="AD1628">
            <v>0.25</v>
          </cell>
          <cell r="AE1628">
            <v>0.25</v>
          </cell>
          <cell r="AF1628">
            <v>0.25</v>
          </cell>
          <cell r="AG1628">
            <v>0.25</v>
          </cell>
          <cell r="AH1628">
            <v>0.25</v>
          </cell>
          <cell r="AI1628">
            <v>0.25</v>
          </cell>
          <cell r="AJ1628">
            <v>0.25</v>
          </cell>
          <cell r="AK1628">
            <v>0.25</v>
          </cell>
          <cell r="AL1628">
            <v>0.25</v>
          </cell>
          <cell r="AM1628">
            <v>0.25</v>
          </cell>
          <cell r="AN1628">
            <v>0.25</v>
          </cell>
          <cell r="AO1628">
            <v>0.25</v>
          </cell>
          <cell r="AP1628">
            <v>0.25</v>
          </cell>
          <cell r="AQ1628">
            <v>0.25</v>
          </cell>
          <cell r="AR1628">
            <v>0.25</v>
          </cell>
          <cell r="AS1628">
            <v>0.25</v>
          </cell>
          <cell r="AT1628">
            <v>-0.04</v>
          </cell>
          <cell r="AU1628">
            <v>0.92</v>
          </cell>
          <cell r="AV1628">
            <v>20</v>
          </cell>
          <cell r="AZ1628">
            <v>0.25</v>
          </cell>
          <cell r="BA1628">
            <v>0.25</v>
          </cell>
        </row>
        <row r="1629">
          <cell r="A1629" t="str">
            <v>MB MARINAI INFISSI DI BARBARA MARINAI</v>
          </cell>
          <cell r="D1629" t="str">
            <v>VIA GIOVAN BATTISTA VICO, 23</v>
          </cell>
          <cell r="E1629">
            <v>57128</v>
          </cell>
          <cell r="F1629" t="str">
            <v>LIVORNO</v>
          </cell>
          <cell r="G1629" t="str">
            <v>LI</v>
          </cell>
          <cell r="H1629" t="str">
            <v>ITALIA</v>
          </cell>
          <cell r="M1629" t="str">
            <v>UFFICIO ACQUISTI</v>
          </cell>
          <cell r="O1629" t="str">
            <v>339 7204950</v>
          </cell>
          <cell r="P1629" t="str">
            <v>marinarinfissi@gmail.com</v>
          </cell>
          <cell r="R1629" t="str">
            <v>BONIFICO BANCARIO, ALLA DATA DELLA NOSTRA CONFERMA D'ORDINE</v>
          </cell>
          <cell r="X1629">
            <v>0.25</v>
          </cell>
          <cell r="Y1629">
            <v>-0.04</v>
          </cell>
          <cell r="AB1629">
            <v>0.25</v>
          </cell>
          <cell r="AC1629">
            <v>0.25</v>
          </cell>
          <cell r="AD1629">
            <v>0.25</v>
          </cell>
          <cell r="AE1629">
            <v>0.25</v>
          </cell>
          <cell r="AF1629">
            <v>0.25</v>
          </cell>
          <cell r="AG1629">
            <v>0.25</v>
          </cell>
          <cell r="AH1629">
            <v>0.25</v>
          </cell>
          <cell r="AI1629">
            <v>0.25</v>
          </cell>
          <cell r="AJ1629">
            <v>0.25</v>
          </cell>
          <cell r="AK1629">
            <v>0.25</v>
          </cell>
          <cell r="AL1629">
            <v>0.25</v>
          </cell>
          <cell r="AM1629">
            <v>0.25</v>
          </cell>
          <cell r="AN1629">
            <v>0.25</v>
          </cell>
          <cell r="AO1629">
            <v>0.25</v>
          </cell>
          <cell r="AP1629">
            <v>0.25</v>
          </cell>
          <cell r="AQ1629">
            <v>0.25</v>
          </cell>
          <cell r="AR1629">
            <v>0.25</v>
          </cell>
          <cell r="AS1629">
            <v>0.25</v>
          </cell>
          <cell r="AT1629">
            <v>-0.04</v>
          </cell>
          <cell r="AU1629">
            <v>0.92</v>
          </cell>
          <cell r="AV1629">
            <v>20</v>
          </cell>
          <cell r="AY1629" t="str">
            <v/>
          </cell>
          <cell r="AZ1629">
            <v>0.25</v>
          </cell>
          <cell r="BA1629">
            <v>0.25</v>
          </cell>
        </row>
        <row r="1630">
          <cell r="A1630" t="str">
            <v>MC EDILIZIA SRLS</v>
          </cell>
          <cell r="D1630" t="str">
            <v>VIA MONTIGLIETTO 1</v>
          </cell>
          <cell r="E1630" t="str">
            <v xml:space="preserve">14010 </v>
          </cell>
          <cell r="F1630" t="str">
            <v>ASTI</v>
          </cell>
          <cell r="G1630" t="str">
            <v>AT</v>
          </cell>
          <cell r="H1630" t="str">
            <v>ITALIA</v>
          </cell>
          <cell r="J1630" t="str">
            <v>01649800057</v>
          </cell>
          <cell r="M1630" t="str">
            <v>UFFICIO ACQUISTI</v>
          </cell>
          <cell r="O1630" t="str">
            <v>388 3719274 MICHELANGELO</v>
          </cell>
          <cell r="R1630" t="str">
            <v>BONIFICO BANCARIO, ALLA DATA DELLA NOSTRA CONFERMA D'ORDINE</v>
          </cell>
          <cell r="X1630">
            <v>0.25</v>
          </cell>
          <cell r="Y1630">
            <v>-0.04</v>
          </cell>
          <cell r="AB1630">
            <v>0.25</v>
          </cell>
          <cell r="AC1630">
            <v>0.25</v>
          </cell>
          <cell r="AD1630">
            <v>0.25</v>
          </cell>
          <cell r="AE1630">
            <v>0.25</v>
          </cell>
          <cell r="AF1630">
            <v>0.25</v>
          </cell>
          <cell r="AG1630">
            <v>0.25</v>
          </cell>
          <cell r="AH1630">
            <v>0.25</v>
          </cell>
          <cell r="AI1630">
            <v>0.25</v>
          </cell>
          <cell r="AJ1630">
            <v>0.25</v>
          </cell>
          <cell r="AK1630">
            <v>0.25</v>
          </cell>
          <cell r="AL1630">
            <v>0.25</v>
          </cell>
          <cell r="AM1630">
            <v>0.25</v>
          </cell>
          <cell r="AN1630">
            <v>0.25</v>
          </cell>
          <cell r="AO1630">
            <v>0.25</v>
          </cell>
          <cell r="AP1630">
            <v>0.25</v>
          </cell>
          <cell r="AQ1630">
            <v>0.25</v>
          </cell>
          <cell r="AR1630">
            <v>0.25</v>
          </cell>
          <cell r="AS1630">
            <v>0.25</v>
          </cell>
          <cell r="AT1630">
            <v>-0.04</v>
          </cell>
          <cell r="AU1630">
            <v>0.92</v>
          </cell>
          <cell r="AV1630">
            <v>20</v>
          </cell>
          <cell r="AY1630" t="str">
            <v/>
          </cell>
          <cell r="AZ1630">
            <v>0.25</v>
          </cell>
          <cell r="BA1630">
            <v>0.25</v>
          </cell>
        </row>
        <row r="1631">
          <cell r="A1631" t="str">
            <v>MC VETROINFISSI SNC DI CESARETTI E MAGRINI</v>
          </cell>
          <cell r="D1631" t="str">
            <v>VIA DEI CARROZZIERI, 21 - SAN CHIODO</v>
          </cell>
          <cell r="F1631" t="str">
            <v>SPOLETO</v>
          </cell>
          <cell r="G1631" t="str">
            <v>PG</v>
          </cell>
          <cell r="H1631" t="str">
            <v>ITALIA</v>
          </cell>
          <cell r="M1631" t="str">
            <v>UFFICIO ACQUISTI</v>
          </cell>
          <cell r="N1631" t="str">
            <v>0743 840706</v>
          </cell>
          <cell r="O1631" t="str">
            <v>366 4137690 MAGRINI - 349 5453436 CESARETTI</v>
          </cell>
          <cell r="R1631" t="str">
            <v>BONIFICO BANCARIO, ALLA DATA DELLA NOSTRA CONFERMA D'ORDINE</v>
          </cell>
          <cell r="Y1631">
            <v>-0.04</v>
          </cell>
          <cell r="AT1631">
            <v>-0.04</v>
          </cell>
          <cell r="AV1631">
            <v>20</v>
          </cell>
          <cell r="AZ1631">
            <v>0</v>
          </cell>
          <cell r="BA1631">
            <v>0</v>
          </cell>
        </row>
        <row r="1632">
          <cell r="A1632" t="str">
            <v>MCM SERRAMENTI SNC</v>
          </cell>
          <cell r="B1632" t="str">
            <v>SE LE FANNO LORO PARLARE CON CAPO</v>
          </cell>
          <cell r="D1632" t="str">
            <v>VIA CANOVINE, 44</v>
          </cell>
          <cell r="E1632" t="str">
            <v>24126</v>
          </cell>
          <cell r="F1632" t="str">
            <v>BERGAMO</v>
          </cell>
          <cell r="G1632" t="str">
            <v>BG</v>
          </cell>
          <cell r="H1632" t="str">
            <v>ITALIA</v>
          </cell>
          <cell r="M1632" t="str">
            <v>UFFICIO ACQUISTI</v>
          </cell>
          <cell r="N1632" t="str">
            <v>035 4243434</v>
          </cell>
          <cell r="O1632" t="str">
            <v>346 2174632</v>
          </cell>
          <cell r="P1632" t="str">
            <v>info@mcm-serramenti-bergamo.it</v>
          </cell>
          <cell r="R1632" t="str">
            <v>BONIFICO BANCARIO, ALLA DATA DELLA NOSTRA CONFERMA D'ORDINE</v>
          </cell>
          <cell r="X1632">
            <v>0.2</v>
          </cell>
          <cell r="Y1632">
            <v>-0.04</v>
          </cell>
          <cell r="AB1632">
            <v>0.2</v>
          </cell>
          <cell r="AC1632">
            <v>0.2</v>
          </cell>
          <cell r="AD1632">
            <v>0.2</v>
          </cell>
          <cell r="AE1632">
            <v>0.2</v>
          </cell>
          <cell r="AF1632">
            <v>0.2</v>
          </cell>
          <cell r="AG1632">
            <v>0.2</v>
          </cell>
          <cell r="AH1632">
            <v>0.2</v>
          </cell>
          <cell r="AI1632">
            <v>0.2</v>
          </cell>
          <cell r="AJ1632">
            <v>0.2</v>
          </cell>
          <cell r="AK1632">
            <v>0.2</v>
          </cell>
          <cell r="AL1632">
            <v>0.2</v>
          </cell>
          <cell r="AM1632">
            <v>0.2</v>
          </cell>
          <cell r="AN1632">
            <v>0.2</v>
          </cell>
          <cell r="AO1632">
            <v>0.2</v>
          </cell>
          <cell r="AP1632">
            <v>0.2</v>
          </cell>
          <cell r="AQ1632">
            <v>0.2</v>
          </cell>
          <cell r="AR1632">
            <v>0.2</v>
          </cell>
          <cell r="AS1632">
            <v>0.2</v>
          </cell>
          <cell r="AT1632">
            <v>-0.04</v>
          </cell>
          <cell r="AU1632">
            <v>0.92</v>
          </cell>
          <cell r="AV1632">
            <v>20</v>
          </cell>
          <cell r="AZ1632">
            <v>0.2</v>
          </cell>
          <cell r="BA1632">
            <v>0.2</v>
          </cell>
        </row>
        <row r="1633">
          <cell r="A1633" t="str">
            <v>MDL PARRUCCHIERI</v>
          </cell>
          <cell r="D1633" t="str">
            <v>VIA DEL PINO, 72</v>
          </cell>
          <cell r="E1633">
            <v>48124</v>
          </cell>
          <cell r="F1633" t="str">
            <v>RAVENNA</v>
          </cell>
          <cell r="G1633" t="str">
            <v>RA</v>
          </cell>
          <cell r="H1633" t="str">
            <v>ITALIA</v>
          </cell>
          <cell r="M1633" t="str">
            <v>UFFICIO ACQUISTI</v>
          </cell>
          <cell r="N1633" t="str">
            <v>0544 471356</v>
          </cell>
          <cell r="P1633" t="str">
            <v>mdlparrucchieri@libero.it</v>
          </cell>
          <cell r="R1633" t="str">
            <v>BONIFICO BANCARIO, ALLA DATA DELLA NOSTRA CONFERMA D'ORDINE</v>
          </cell>
          <cell r="X1633">
            <v>0.25</v>
          </cell>
          <cell r="Y1633">
            <v>-0.04</v>
          </cell>
          <cell r="AB1633">
            <v>0.25</v>
          </cell>
          <cell r="AC1633">
            <v>0.25</v>
          </cell>
          <cell r="AD1633">
            <v>0.25</v>
          </cell>
          <cell r="AE1633">
            <v>0.25</v>
          </cell>
          <cell r="AF1633">
            <v>0.25</v>
          </cell>
          <cell r="AG1633">
            <v>0.25</v>
          </cell>
          <cell r="AH1633">
            <v>0.25</v>
          </cell>
          <cell r="AI1633">
            <v>0.25</v>
          </cell>
          <cell r="AJ1633">
            <v>0.25</v>
          </cell>
          <cell r="AK1633">
            <v>0.25</v>
          </cell>
          <cell r="AL1633">
            <v>0.25</v>
          </cell>
          <cell r="AM1633">
            <v>0.25</v>
          </cell>
          <cell r="AN1633">
            <v>0.25</v>
          </cell>
          <cell r="AO1633">
            <v>0.25</v>
          </cell>
          <cell r="AP1633">
            <v>0.25</v>
          </cell>
          <cell r="AQ1633">
            <v>0.25</v>
          </cell>
          <cell r="AR1633">
            <v>0.25</v>
          </cell>
          <cell r="AS1633">
            <v>0.25</v>
          </cell>
          <cell r="AT1633">
            <v>-0.04</v>
          </cell>
          <cell r="AU1633">
            <v>0.92</v>
          </cell>
          <cell r="AV1633">
            <v>20</v>
          </cell>
          <cell r="AZ1633">
            <v>0.25</v>
          </cell>
          <cell r="BA1633">
            <v>0.25</v>
          </cell>
        </row>
        <row r="1634">
          <cell r="A1634" t="str">
            <v>ME HOCHWASSERSCHUTZ HANDELSGES.M.B.H.</v>
          </cell>
          <cell r="B1634" t="str">
            <v>RIVENDITORE AMARI, WHS, REITTHALER</v>
          </cell>
          <cell r="D1634" t="str">
            <v>GREIFENSTEINSTR.130/7</v>
          </cell>
          <cell r="E1634" t="str">
            <v>3423</v>
          </cell>
          <cell r="F1634" t="str">
            <v>ST.ANDRÄ WÖRDERN</v>
          </cell>
          <cell r="H1634" t="str">
            <v>AUSTRIA</v>
          </cell>
          <cell r="J1634" t="str">
            <v>ATU69806524</v>
          </cell>
          <cell r="K1634" t="str">
            <v>XXXXXXX</v>
          </cell>
          <cell r="M1634" t="str">
            <v>MICHAEL EDINGER</v>
          </cell>
          <cell r="N1634" t="str">
            <v>+43 224232070</v>
          </cell>
          <cell r="P1634" t="str">
            <v>office@me-hochwasserschutz.at</v>
          </cell>
          <cell r="R1634" t="str">
            <v>BANKÜBERWEISUNG, AM DATUM UNSERER AUFTRAGSBESTÄTIGUNG</v>
          </cell>
          <cell r="X1634">
            <v>0</v>
          </cell>
          <cell r="AB1634">
            <v>0</v>
          </cell>
          <cell r="AC1634">
            <v>0</v>
          </cell>
          <cell r="AD1634">
            <v>0</v>
          </cell>
          <cell r="AE1634">
            <v>0</v>
          </cell>
          <cell r="AF1634">
            <v>0</v>
          </cell>
          <cell r="AG1634">
            <v>0</v>
          </cell>
          <cell r="AH1634">
            <v>0</v>
          </cell>
          <cell r="AI1634">
            <v>0</v>
          </cell>
          <cell r="AJ1634">
            <v>0</v>
          </cell>
          <cell r="AK1634">
            <v>0</v>
          </cell>
          <cell r="AL1634">
            <v>0</v>
          </cell>
          <cell r="AM1634">
            <v>0.35</v>
          </cell>
          <cell r="AN1634">
            <v>0.4</v>
          </cell>
          <cell r="AO1634">
            <v>0.35</v>
          </cell>
          <cell r="AP1634">
            <v>0.4</v>
          </cell>
          <cell r="AU1634">
            <v>0.84</v>
          </cell>
          <cell r="AV1634">
            <v>20</v>
          </cell>
          <cell r="AZ1634">
            <v>0</v>
          </cell>
          <cell r="BA1634">
            <v>0</v>
          </cell>
          <cell r="BF1634" t="str">
            <v>MODERNA con espositore 27/04/2023</v>
          </cell>
        </row>
        <row r="1635">
          <cell r="A1635" t="str">
            <v>ME TA DI TATTI TONIO</v>
          </cell>
          <cell r="D1635" t="str">
            <v>CORSO EUROPA, 24</v>
          </cell>
          <cell r="E1635" t="str">
            <v>09032</v>
          </cell>
          <cell r="F1635" t="str">
            <v>ASSEMINI</v>
          </cell>
          <cell r="G1635" t="str">
            <v>CA</v>
          </cell>
          <cell r="H1635" t="str">
            <v>ITALIA</v>
          </cell>
          <cell r="M1635" t="str">
            <v>UFFICIO ACQUISTI</v>
          </cell>
          <cell r="N1635" t="str">
            <v>070 942466</v>
          </cell>
          <cell r="O1635" t="str">
            <v>348 8912681</v>
          </cell>
          <cell r="P1635" t="str">
            <v>me.ta-snc@tiscali.it</v>
          </cell>
          <cell r="R1635" t="str">
            <v>BONIFICO BANCARIO, ALLA DATA DELLA NOSTRA CONFERMA D'ORDINE</v>
          </cell>
          <cell r="X1635">
            <v>0.15</v>
          </cell>
          <cell r="Y1635">
            <v>-0.04</v>
          </cell>
          <cell r="AB1635">
            <v>0.15</v>
          </cell>
          <cell r="AC1635">
            <v>0.15</v>
          </cell>
          <cell r="AD1635">
            <v>0.15</v>
          </cell>
          <cell r="AE1635">
            <v>0.15</v>
          </cell>
          <cell r="AF1635">
            <v>0.15</v>
          </cell>
          <cell r="AG1635">
            <v>0.15</v>
          </cell>
          <cell r="AH1635">
            <v>0.15</v>
          </cell>
          <cell r="AI1635">
            <v>0.15</v>
          </cell>
          <cell r="AJ1635">
            <v>0.15</v>
          </cell>
          <cell r="AK1635">
            <v>0.15</v>
          </cell>
          <cell r="AL1635">
            <v>0.15</v>
          </cell>
          <cell r="AM1635">
            <v>0.15</v>
          </cell>
          <cell r="AN1635">
            <v>0.15</v>
          </cell>
          <cell r="AO1635">
            <v>0.15</v>
          </cell>
          <cell r="AP1635">
            <v>0.15</v>
          </cell>
          <cell r="AQ1635">
            <v>0.15</v>
          </cell>
          <cell r="AR1635">
            <v>0.15</v>
          </cell>
          <cell r="AS1635">
            <v>0.15</v>
          </cell>
          <cell r="AT1635">
            <v>-0.04</v>
          </cell>
          <cell r="AU1635">
            <v>0.92</v>
          </cell>
          <cell r="AV1635">
            <v>20</v>
          </cell>
          <cell r="AZ1635">
            <v>0.15</v>
          </cell>
          <cell r="BA1635">
            <v>0.15</v>
          </cell>
        </row>
        <row r="1636">
          <cell r="A1636" t="str">
            <v>MEDIANA PORTE DI EMANUELE POSSAMAI</v>
          </cell>
          <cell r="D1636" t="str">
            <v>VIA PONTINA KM 76,500</v>
          </cell>
          <cell r="F1636" t="str">
            <v>LATINA</v>
          </cell>
          <cell r="G1636" t="str">
            <v>LT</v>
          </cell>
          <cell r="H1636" t="str">
            <v>ITALIA</v>
          </cell>
          <cell r="M1636" t="str">
            <v>UFFICIO ACQUISTI</v>
          </cell>
          <cell r="N1636" t="str">
            <v>0773 250645</v>
          </cell>
          <cell r="P1636" t="str">
            <v>medianaporte@gmail.com</v>
          </cell>
          <cell r="R1636" t="str">
            <v>BONIFICO BANCARIO, ALLA DATA DELLA NOSTRA CONFERMA D'ORDINE</v>
          </cell>
          <cell r="X1636">
            <v>0.25</v>
          </cell>
          <cell r="Y1636">
            <v>-0.04</v>
          </cell>
          <cell r="AB1636">
            <v>0.25</v>
          </cell>
          <cell r="AC1636">
            <v>0.25</v>
          </cell>
          <cell r="AD1636">
            <v>0.25</v>
          </cell>
          <cell r="AE1636">
            <v>0.25</v>
          </cell>
          <cell r="AF1636">
            <v>0.25</v>
          </cell>
          <cell r="AG1636">
            <v>0.25</v>
          </cell>
          <cell r="AH1636">
            <v>0.25</v>
          </cell>
          <cell r="AI1636">
            <v>0.25</v>
          </cell>
          <cell r="AJ1636">
            <v>0.25</v>
          </cell>
          <cell r="AK1636">
            <v>0.25</v>
          </cell>
          <cell r="AL1636">
            <v>0.25</v>
          </cell>
          <cell r="AM1636">
            <v>0.25</v>
          </cell>
          <cell r="AN1636">
            <v>0.25</v>
          </cell>
          <cell r="AO1636">
            <v>0.25</v>
          </cell>
          <cell r="AP1636">
            <v>0.25</v>
          </cell>
          <cell r="AQ1636">
            <v>0.25</v>
          </cell>
          <cell r="AR1636">
            <v>0.25</v>
          </cell>
          <cell r="AS1636">
            <v>0.25</v>
          </cell>
          <cell r="AT1636">
            <v>-0.04</v>
          </cell>
          <cell r="AU1636">
            <v>0.92</v>
          </cell>
          <cell r="AV1636">
            <v>20</v>
          </cell>
          <cell r="AY1636" t="str">
            <v/>
          </cell>
          <cell r="AZ1636">
            <v>0.25</v>
          </cell>
          <cell r="BA1636">
            <v>0.25</v>
          </cell>
        </row>
        <row r="1637">
          <cell r="A1637" t="str">
            <v>MEGAEDILE SRL</v>
          </cell>
          <cell r="D1637" t="str">
            <v>VIA G. DI VITTORIO 247</v>
          </cell>
          <cell r="E1637" t="str">
            <v>20099</v>
          </cell>
          <cell r="F1637" t="str">
            <v>SESTO SAN GIOVANNI</v>
          </cell>
          <cell r="G1637" t="str">
            <v>MI</v>
          </cell>
          <cell r="H1637" t="str">
            <v>ITALIA</v>
          </cell>
          <cell r="J1637" t="str">
            <v>05359540969</v>
          </cell>
          <cell r="M1637" t="str">
            <v>UFFICIO ACQUISTI</v>
          </cell>
          <cell r="N1637" t="str">
            <v>02 66011495 MARIO</v>
          </cell>
          <cell r="R1637" t="str">
            <v>BONIFICO BANCARIO, ALLA DATA DELLA NOSTRA CONFERMA D'ORDINE</v>
          </cell>
          <cell r="X1637">
            <v>0.25</v>
          </cell>
          <cell r="Y1637">
            <v>-0.04</v>
          </cell>
          <cell r="AB1637">
            <v>0.25</v>
          </cell>
          <cell r="AC1637">
            <v>0.25</v>
          </cell>
          <cell r="AD1637">
            <v>0.25</v>
          </cell>
          <cell r="AE1637">
            <v>0.25</v>
          </cell>
          <cell r="AF1637">
            <v>0.25</v>
          </cell>
          <cell r="AG1637">
            <v>0.25</v>
          </cell>
          <cell r="AH1637">
            <v>0.25</v>
          </cell>
          <cell r="AI1637">
            <v>0.25</v>
          </cell>
          <cell r="AJ1637">
            <v>0.25</v>
          </cell>
          <cell r="AK1637">
            <v>0.25</v>
          </cell>
          <cell r="AL1637">
            <v>0.25</v>
          </cell>
          <cell r="AM1637">
            <v>0.25</v>
          </cell>
          <cell r="AN1637">
            <v>0.25</v>
          </cell>
          <cell r="AO1637">
            <v>0.25</v>
          </cell>
          <cell r="AP1637">
            <v>0.25</v>
          </cell>
          <cell r="AQ1637">
            <v>0.25</v>
          </cell>
          <cell r="AR1637">
            <v>0.25</v>
          </cell>
          <cell r="AS1637">
            <v>0.25</v>
          </cell>
          <cell r="AT1637">
            <v>-0.04</v>
          </cell>
          <cell r="AU1637">
            <v>0.92</v>
          </cell>
          <cell r="AV1637">
            <v>20</v>
          </cell>
          <cell r="AY1637" t="str">
            <v/>
          </cell>
          <cell r="AZ1637">
            <v>0.25</v>
          </cell>
          <cell r="BA1637">
            <v>0.25</v>
          </cell>
        </row>
        <row r="1638">
          <cell r="A1638" t="str">
            <v>MELISSA SERRAMENTI SRL</v>
          </cell>
          <cell r="B1638" t="str">
            <v>NORD SARDEGNA</v>
          </cell>
          <cell r="D1638" t="str">
            <v>VIA LEONCAVALLO, 41</v>
          </cell>
          <cell r="E1638" t="str">
            <v>07026</v>
          </cell>
          <cell r="F1638" t="str">
            <v>OLBIA</v>
          </cell>
          <cell r="G1638" t="str">
            <v>SS</v>
          </cell>
          <cell r="H1638" t="str">
            <v>ITALIA</v>
          </cell>
          <cell r="J1638" t="str">
            <v>02270820901</v>
          </cell>
          <cell r="M1638" t="str">
            <v>UFFICIO ACQUISTI</v>
          </cell>
          <cell r="O1638" t="str">
            <v>347 5330038  GIAMMARIO</v>
          </cell>
          <cell r="P1638" t="str">
            <v>melissaserramenti@gmail.com</v>
          </cell>
          <cell r="R1638" t="str">
            <v>BONIFICO BANCARIO, ALLA DATA DELLA NOSTRA CONFERMA D'ORDINE</v>
          </cell>
          <cell r="X1638">
            <v>0.2</v>
          </cell>
          <cell r="Y1638">
            <v>-0.04</v>
          </cell>
          <cell r="AB1638">
            <v>0.2</v>
          </cell>
          <cell r="AC1638">
            <v>0.2</v>
          </cell>
          <cell r="AD1638">
            <v>0.2</v>
          </cell>
          <cell r="AE1638">
            <v>0.2</v>
          </cell>
          <cell r="AF1638">
            <v>0.2</v>
          </cell>
          <cell r="AG1638">
            <v>0.2</v>
          </cell>
          <cell r="AH1638">
            <v>0.2</v>
          </cell>
          <cell r="AI1638">
            <v>0.2</v>
          </cell>
          <cell r="AJ1638">
            <v>0.2</v>
          </cell>
          <cell r="AK1638">
            <v>0.2</v>
          </cell>
          <cell r="AL1638">
            <v>0.2</v>
          </cell>
          <cell r="AM1638">
            <v>0.2</v>
          </cell>
          <cell r="AN1638">
            <v>0.2</v>
          </cell>
          <cell r="AO1638">
            <v>0.2</v>
          </cell>
          <cell r="AP1638">
            <v>0.2</v>
          </cell>
          <cell r="AQ1638">
            <v>0.2</v>
          </cell>
          <cell r="AR1638">
            <v>0.2</v>
          </cell>
          <cell r="AS1638">
            <v>0.2</v>
          </cell>
          <cell r="AT1638">
            <v>-0.04</v>
          </cell>
          <cell r="AU1638">
            <v>0.92</v>
          </cell>
          <cell r="AV1638">
            <v>20</v>
          </cell>
          <cell r="AZ1638">
            <v>0.2</v>
          </cell>
          <cell r="BA1638">
            <v>0.2</v>
          </cell>
        </row>
        <row r="1639">
          <cell r="A1639" t="str">
            <v>MELISSA SERRAMENTI SRL</v>
          </cell>
          <cell r="B1639" t="str">
            <v>CENTRO SARDEGNA</v>
          </cell>
          <cell r="D1639" t="str">
            <v>CORSO UMBERTO I, 248</v>
          </cell>
          <cell r="E1639" t="str">
            <v>08015</v>
          </cell>
          <cell r="F1639" t="str">
            <v>MACOMER</v>
          </cell>
          <cell r="G1639" t="str">
            <v>NU</v>
          </cell>
          <cell r="H1639" t="str">
            <v>ITALIA</v>
          </cell>
          <cell r="J1639" t="str">
            <v>02270820901</v>
          </cell>
          <cell r="M1639" t="str">
            <v>UFFICIO ACQUISTI</v>
          </cell>
          <cell r="O1639" t="str">
            <v>347 1445524  OMAR</v>
          </cell>
          <cell r="P1639" t="str">
            <v>melissaserramenti@gmail.com</v>
          </cell>
          <cell r="R1639" t="str">
            <v>BONIFICO BANCARIO, ALLA DATA DELLA NOSTRA CONFERMA D'ORDINE</v>
          </cell>
          <cell r="X1639">
            <v>0.2</v>
          </cell>
          <cell r="Y1639">
            <v>-0.04</v>
          </cell>
          <cell r="AB1639">
            <v>0.2</v>
          </cell>
          <cell r="AC1639">
            <v>0.2</v>
          </cell>
          <cell r="AD1639">
            <v>0.2</v>
          </cell>
          <cell r="AE1639">
            <v>0.2</v>
          </cell>
          <cell r="AF1639">
            <v>0.2</v>
          </cell>
          <cell r="AG1639">
            <v>0.2</v>
          </cell>
          <cell r="AH1639">
            <v>0.2</v>
          </cell>
          <cell r="AI1639">
            <v>0.2</v>
          </cell>
          <cell r="AJ1639">
            <v>0.2</v>
          </cell>
          <cell r="AK1639">
            <v>0.2</v>
          </cell>
          <cell r="AL1639">
            <v>0.2</v>
          </cell>
          <cell r="AM1639">
            <v>0.2</v>
          </cell>
          <cell r="AN1639">
            <v>0.2</v>
          </cell>
          <cell r="AO1639">
            <v>0.2</v>
          </cell>
          <cell r="AP1639">
            <v>0.2</v>
          </cell>
          <cell r="AQ1639">
            <v>0.2</v>
          </cell>
          <cell r="AR1639">
            <v>0.2</v>
          </cell>
          <cell r="AS1639">
            <v>0.2</v>
          </cell>
          <cell r="AT1639">
            <v>-0.04</v>
          </cell>
          <cell r="AU1639">
            <v>0.92</v>
          </cell>
          <cell r="AV1639">
            <v>20</v>
          </cell>
          <cell r="AZ1639">
            <v>0.2</v>
          </cell>
          <cell r="BA1639">
            <v>0.2</v>
          </cell>
        </row>
        <row r="1640">
          <cell r="A1640" t="str">
            <v>MELLINI GIUSEPPE DO MELLINI ANTONIO, BATTISTA E C SAS</v>
          </cell>
          <cell r="D1640" t="str">
            <v>VIA DELL'ARTIGIANATO 56</v>
          </cell>
          <cell r="E1640" t="str">
            <v>58022</v>
          </cell>
          <cell r="F1640" t="str">
            <v>FOLLONICA</v>
          </cell>
          <cell r="G1640" t="str">
            <v>GR</v>
          </cell>
          <cell r="H1640" t="str">
            <v>ITALIA</v>
          </cell>
          <cell r="J1640" t="str">
            <v>01307720530</v>
          </cell>
          <cell r="M1640" t="str">
            <v>UFFICIO ACQUISTI</v>
          </cell>
          <cell r="N1640" t="str">
            <v>0566 53642</v>
          </cell>
          <cell r="P1640" t="str">
            <v>mellinig@libero.it</v>
          </cell>
          <cell r="R1640" t="str">
            <v>BONIFICO BANCARIO, ALLA DATA DELLA NOSTRA CONFERMA D'ORDINE</v>
          </cell>
          <cell r="X1640">
            <v>0.25</v>
          </cell>
          <cell r="Y1640">
            <v>-0.04</v>
          </cell>
          <cell r="AB1640">
            <v>0.25</v>
          </cell>
          <cell r="AC1640">
            <v>0.25</v>
          </cell>
          <cell r="AD1640">
            <v>0.25</v>
          </cell>
          <cell r="AE1640">
            <v>0.25</v>
          </cell>
          <cell r="AF1640">
            <v>0.25</v>
          </cell>
          <cell r="AG1640">
            <v>0.25</v>
          </cell>
          <cell r="AH1640">
            <v>0.25</v>
          </cell>
          <cell r="AI1640">
            <v>0.25</v>
          </cell>
          <cell r="AJ1640">
            <v>0.25</v>
          </cell>
          <cell r="AK1640">
            <v>0.25</v>
          </cell>
          <cell r="AL1640">
            <v>0.25</v>
          </cell>
          <cell r="AM1640">
            <v>0.25</v>
          </cell>
          <cell r="AN1640">
            <v>0.25</v>
          </cell>
          <cell r="AO1640">
            <v>0.25</v>
          </cell>
          <cell r="AP1640">
            <v>0.25</v>
          </cell>
          <cell r="AQ1640">
            <v>0.25</v>
          </cell>
          <cell r="AR1640">
            <v>0.25</v>
          </cell>
          <cell r="AS1640">
            <v>0.25</v>
          </cell>
          <cell r="AT1640">
            <v>-0.04</v>
          </cell>
          <cell r="AU1640">
            <v>0.92</v>
          </cell>
          <cell r="AV1640">
            <v>20</v>
          </cell>
          <cell r="AY1640" t="str">
            <v/>
          </cell>
          <cell r="AZ1640">
            <v>0.25</v>
          </cell>
          <cell r="BA1640">
            <v>0.25</v>
          </cell>
        </row>
        <row r="1641">
          <cell r="A1641" t="str">
            <v>MELONI MARIO E GIANNI DI ETZI LUCIA</v>
          </cell>
          <cell r="B1641" t="str">
            <v>ALESSANDRO</v>
          </cell>
          <cell r="D1641" t="str">
            <v>VIA KENNEDY, 149</v>
          </cell>
          <cell r="E1641" t="str">
            <v>07041</v>
          </cell>
          <cell r="F1641" t="str">
            <v>ALGHERO</v>
          </cell>
          <cell r="G1641" t="str">
            <v>SS</v>
          </cell>
          <cell r="H1641" t="str">
            <v>ITALIA</v>
          </cell>
          <cell r="M1641" t="str">
            <v>UFFICIO ACQUISTI</v>
          </cell>
          <cell r="N1641" t="str">
            <v>079 978752</v>
          </cell>
          <cell r="O1641" t="str">
            <v>339 1466868</v>
          </cell>
          <cell r="P1641" t="str">
            <v>meloniinfissi@gmail.com</v>
          </cell>
          <cell r="R1641" t="str">
            <v>BONIFICO BANCARIO, ALLA DATA DELLA NOSTRA CONFERMA D'ORDINE</v>
          </cell>
          <cell r="X1641">
            <v>0.2</v>
          </cell>
          <cell r="Y1641">
            <v>-0.04</v>
          </cell>
          <cell r="AB1641">
            <v>0.2</v>
          </cell>
          <cell r="AC1641">
            <v>0.2</v>
          </cell>
          <cell r="AD1641">
            <v>0.2</v>
          </cell>
          <cell r="AE1641">
            <v>0.2</v>
          </cell>
          <cell r="AF1641">
            <v>0.2</v>
          </cell>
          <cell r="AG1641">
            <v>0.2</v>
          </cell>
          <cell r="AH1641">
            <v>0.2</v>
          </cell>
          <cell r="AI1641">
            <v>0.2</v>
          </cell>
          <cell r="AJ1641">
            <v>0.2</v>
          </cell>
          <cell r="AK1641">
            <v>0.2</v>
          </cell>
          <cell r="AL1641">
            <v>0.2</v>
          </cell>
          <cell r="AM1641">
            <v>0.2</v>
          </cell>
          <cell r="AN1641">
            <v>0.2</v>
          </cell>
          <cell r="AO1641">
            <v>0.2</v>
          </cell>
          <cell r="AP1641">
            <v>0.2</v>
          </cell>
          <cell r="AQ1641">
            <v>0.2</v>
          </cell>
          <cell r="AR1641">
            <v>0.2</v>
          </cell>
          <cell r="AS1641">
            <v>0.2</v>
          </cell>
          <cell r="AT1641">
            <v>-0.04</v>
          </cell>
          <cell r="AU1641">
            <v>0.92</v>
          </cell>
          <cell r="AV1641">
            <v>20</v>
          </cell>
          <cell r="AZ1641">
            <v>0.2</v>
          </cell>
          <cell r="BA1641">
            <v>0.2</v>
          </cell>
        </row>
        <row r="1642">
          <cell r="A1642" t="str">
            <v>MELUZZI INFISSI</v>
          </cell>
          <cell r="D1642" t="str">
            <v>VIA RAVENNA, 47</v>
          </cell>
          <cell r="E1642" t="str">
            <v>47814</v>
          </cell>
          <cell r="F1642" t="str">
            <v>BELLARIA IGEA MARINA</v>
          </cell>
          <cell r="G1642" t="str">
            <v>RN</v>
          </cell>
          <cell r="H1642" t="str">
            <v>ITALIA</v>
          </cell>
          <cell r="M1642" t="str">
            <v>UFFICIO ACQUISTI</v>
          </cell>
          <cell r="N1642" t="str">
            <v>0541 330136</v>
          </cell>
          <cell r="O1642" t="str">
            <v>380 4679093</v>
          </cell>
          <cell r="P1642" t="str">
            <v>info@meluzzi.it</v>
          </cell>
          <cell r="R1642" t="str">
            <v>BONIFICO BANCARIO, ALLA DATA DELLA NOSTRA CONFERMA D'ORDINE</v>
          </cell>
          <cell r="X1642">
            <v>0</v>
          </cell>
          <cell r="Y1642">
            <v>-0.04</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cell r="AO1642">
            <v>0</v>
          </cell>
          <cell r="AP1642">
            <v>0</v>
          </cell>
          <cell r="AQ1642">
            <v>0</v>
          </cell>
          <cell r="AR1642">
            <v>0</v>
          </cell>
          <cell r="AS1642">
            <v>0</v>
          </cell>
          <cell r="AT1642">
            <v>-0.04</v>
          </cell>
          <cell r="AU1642">
            <v>0.92</v>
          </cell>
          <cell r="AV1642">
            <v>20</v>
          </cell>
          <cell r="AZ1642">
            <v>0</v>
          </cell>
          <cell r="BA1642">
            <v>0</v>
          </cell>
        </row>
        <row r="1643">
          <cell r="A1643" t="str">
            <v>MENABUE FERRO FORGIATO</v>
          </cell>
          <cell r="D1643" t="str">
            <v>VIA DELLA TECNICA, 472</v>
          </cell>
          <cell r="E1643">
            <v>41058</v>
          </cell>
          <cell r="F1643" t="str">
            <v>VIGNOLA</v>
          </cell>
          <cell r="G1643" t="str">
            <v>MO</v>
          </cell>
          <cell r="H1643" t="str">
            <v>ITALIA</v>
          </cell>
          <cell r="I1643" t="str">
            <v>00213980360</v>
          </cell>
          <cell r="J1643" t="str">
            <v>00213980360</v>
          </cell>
          <cell r="M1643" t="str">
            <v>UFFICIO ACQUISTI</v>
          </cell>
          <cell r="N1643" t="str">
            <v>059 772890</v>
          </cell>
          <cell r="P1643" t="str">
            <v>menabuegianluca@interfree.it  - menabueferroforgiato@tiscali.it</v>
          </cell>
          <cell r="R1643" t="str">
            <v>BONIFICO BANCARIO, ALLA DATA DELLA NOSTRA CONFERMA D'ORDINE</v>
          </cell>
          <cell r="X1643">
            <v>0.25</v>
          </cell>
          <cell r="Y1643">
            <v>-0.04</v>
          </cell>
          <cell r="AB1643">
            <v>0.25</v>
          </cell>
          <cell r="AC1643">
            <v>0.25</v>
          </cell>
          <cell r="AD1643">
            <v>0.25</v>
          </cell>
          <cell r="AE1643">
            <v>0.25</v>
          </cell>
          <cell r="AF1643">
            <v>0.25</v>
          </cell>
          <cell r="AG1643">
            <v>0.25</v>
          </cell>
          <cell r="AH1643">
            <v>0.25</v>
          </cell>
          <cell r="AI1643">
            <v>0.25</v>
          </cell>
          <cell r="AJ1643">
            <v>0.25</v>
          </cell>
          <cell r="AK1643">
            <v>0.25</v>
          </cell>
          <cell r="AL1643">
            <v>0.25</v>
          </cell>
          <cell r="AM1643">
            <v>0.25</v>
          </cell>
          <cell r="AN1643">
            <v>0.25</v>
          </cell>
          <cell r="AO1643">
            <v>0.25</v>
          </cell>
          <cell r="AP1643">
            <v>0.25</v>
          </cell>
          <cell r="AQ1643">
            <v>0.25</v>
          </cell>
          <cell r="AR1643">
            <v>0.25</v>
          </cell>
          <cell r="AS1643">
            <v>0.25</v>
          </cell>
          <cell r="AT1643">
            <v>-0.04</v>
          </cell>
          <cell r="AU1643">
            <v>0.92</v>
          </cell>
          <cell r="AV1643">
            <v>20</v>
          </cell>
          <cell r="AZ1643">
            <v>0.25</v>
          </cell>
          <cell r="BA1643">
            <v>0.25</v>
          </cell>
        </row>
        <row r="1644">
          <cell r="A1644" t="str">
            <v>MENONI SRL</v>
          </cell>
          <cell r="D1644" t="str">
            <v>VIA ALDO MORO 24</v>
          </cell>
          <cell r="E1644" t="str">
            <v>00055</v>
          </cell>
          <cell r="F1644" t="str">
            <v>LADISPOLI</v>
          </cell>
          <cell r="G1644" t="str">
            <v>RM</v>
          </cell>
          <cell r="H1644" t="str">
            <v>ITALIA</v>
          </cell>
          <cell r="M1644" t="str">
            <v>UFFICIO ACQUISTI</v>
          </cell>
          <cell r="N1644" t="str">
            <v>06 4872657</v>
          </cell>
          <cell r="O1644" t="str">
            <v>339 2457325</v>
          </cell>
          <cell r="P1644" t="str">
            <v>info@menonisrl.com</v>
          </cell>
          <cell r="R1644" t="str">
            <v>BONIFICO BANCARIO, ALLA DATA DELLA NOSTRA CONFERMA D'ORDINE</v>
          </cell>
          <cell r="X1644">
            <v>0.25</v>
          </cell>
          <cell r="Y1644">
            <v>-0.04</v>
          </cell>
          <cell r="AB1644">
            <v>0.25</v>
          </cell>
          <cell r="AC1644">
            <v>0.25</v>
          </cell>
          <cell r="AD1644">
            <v>0.25</v>
          </cell>
          <cell r="AE1644">
            <v>0.25</v>
          </cell>
          <cell r="AF1644">
            <v>0.25</v>
          </cell>
          <cell r="AG1644">
            <v>0.25</v>
          </cell>
          <cell r="AH1644">
            <v>0.25</v>
          </cell>
          <cell r="AI1644">
            <v>0.25</v>
          </cell>
          <cell r="AJ1644">
            <v>0.25</v>
          </cell>
          <cell r="AK1644">
            <v>0.25</v>
          </cell>
          <cell r="AL1644">
            <v>0.25</v>
          </cell>
          <cell r="AM1644">
            <v>0.25</v>
          </cell>
          <cell r="AN1644">
            <v>0.25</v>
          </cell>
          <cell r="AO1644">
            <v>0.25</v>
          </cell>
          <cell r="AP1644">
            <v>0.25</v>
          </cell>
          <cell r="AQ1644">
            <v>0.25</v>
          </cell>
          <cell r="AR1644">
            <v>0.25</v>
          </cell>
          <cell r="AS1644">
            <v>0.25</v>
          </cell>
          <cell r="AT1644">
            <v>-0.04</v>
          </cell>
          <cell r="AU1644">
            <v>0.92</v>
          </cell>
          <cell r="AV1644">
            <v>20</v>
          </cell>
          <cell r="AY1644" t="str">
            <v/>
          </cell>
          <cell r="AZ1644">
            <v>0.25</v>
          </cell>
          <cell r="BA1644">
            <v>0.25</v>
          </cell>
        </row>
        <row r="1645">
          <cell r="A1645" t="str">
            <v>MERLO PAOLO E MARIO DI MERLO PIETRO E C. SNC</v>
          </cell>
          <cell r="D1645" t="str">
            <v>VIA DEL PEROLO, 12   14</v>
          </cell>
          <cell r="E1645">
            <v>26029</v>
          </cell>
          <cell r="F1645" t="str">
            <v>SONCINO</v>
          </cell>
          <cell r="G1645" t="str">
            <v>CR</v>
          </cell>
          <cell r="H1645" t="str">
            <v>ITALIA</v>
          </cell>
          <cell r="I1645" t="str">
            <v>00291030195</v>
          </cell>
          <cell r="J1645" t="str">
            <v>00291030195</v>
          </cell>
          <cell r="M1645" t="str">
            <v>UFFICIO ACQUISTI</v>
          </cell>
          <cell r="N1645" t="str">
            <v>0374 85714</v>
          </cell>
          <cell r="R1645" t="str">
            <v>BONIFICO BANCARIO, ALLA DATA DELLA NOSTRA CONFERMA D'ORDINE</v>
          </cell>
          <cell r="X1645">
            <v>0.25</v>
          </cell>
          <cell r="Y1645">
            <v>-0.04</v>
          </cell>
          <cell r="AB1645">
            <v>0.25</v>
          </cell>
          <cell r="AC1645">
            <v>0.25</v>
          </cell>
          <cell r="AD1645">
            <v>0.25</v>
          </cell>
          <cell r="AE1645">
            <v>0.25</v>
          </cell>
          <cell r="AF1645">
            <v>0.25</v>
          </cell>
          <cell r="AG1645">
            <v>0.25</v>
          </cell>
          <cell r="AH1645">
            <v>0.25</v>
          </cell>
          <cell r="AI1645">
            <v>0.25</v>
          </cell>
          <cell r="AJ1645">
            <v>0.25</v>
          </cell>
          <cell r="AK1645">
            <v>0.25</v>
          </cell>
          <cell r="AL1645">
            <v>0.25</v>
          </cell>
          <cell r="AM1645">
            <v>0.25</v>
          </cell>
          <cell r="AN1645">
            <v>0.25</v>
          </cell>
          <cell r="AO1645">
            <v>0.25</v>
          </cell>
          <cell r="AP1645">
            <v>0.25</v>
          </cell>
          <cell r="AQ1645">
            <v>0.25</v>
          </cell>
          <cell r="AR1645">
            <v>0.25</v>
          </cell>
          <cell r="AS1645">
            <v>0.25</v>
          </cell>
          <cell r="AT1645">
            <v>-0.04</v>
          </cell>
          <cell r="AU1645">
            <v>0.92</v>
          </cell>
          <cell r="AV1645">
            <v>20</v>
          </cell>
          <cell r="AY1645" t="str">
            <v/>
          </cell>
          <cell r="AZ1645">
            <v>0.25</v>
          </cell>
          <cell r="BA1645">
            <v>0.25</v>
          </cell>
        </row>
        <row r="1646">
          <cell r="A1646" t="str">
            <v>MESSINA AGOSTINO</v>
          </cell>
          <cell r="D1646" t="str">
            <v>VIA VENERE, 49 51</v>
          </cell>
          <cell r="E1646" t="str">
            <v>91100</v>
          </cell>
          <cell r="F1646" t="str">
            <v>TRAPANI</v>
          </cell>
          <cell r="G1646" t="str">
            <v>TP</v>
          </cell>
          <cell r="H1646" t="str">
            <v>ITALIA</v>
          </cell>
          <cell r="J1646" t="str">
            <v>01841160813</v>
          </cell>
          <cell r="M1646" t="str">
            <v>UFFICIO ACQUISTI</v>
          </cell>
          <cell r="N1646" t="str">
            <v>0923 27432</v>
          </cell>
          <cell r="P1646" t="str">
            <v>messinaagostino@tiscali.it</v>
          </cell>
          <cell r="R1646" t="str">
            <v>BONIFICO BANCARIO, ALLA DATA DELLA NOSTRA CONFERMA D'ORDINE</v>
          </cell>
          <cell r="X1646">
            <v>0.25</v>
          </cell>
          <cell r="Y1646">
            <v>-0.04</v>
          </cell>
          <cell r="AB1646">
            <v>0.25</v>
          </cell>
          <cell r="AC1646">
            <v>0.25</v>
          </cell>
          <cell r="AD1646">
            <v>0.25</v>
          </cell>
          <cell r="AE1646">
            <v>0.25</v>
          </cell>
          <cell r="AF1646">
            <v>0.25</v>
          </cell>
          <cell r="AG1646">
            <v>0.25</v>
          </cell>
          <cell r="AH1646">
            <v>0.25</v>
          </cell>
          <cell r="AI1646">
            <v>0.25</v>
          </cell>
          <cell r="AJ1646">
            <v>0.25</v>
          </cell>
          <cell r="AK1646">
            <v>0.25</v>
          </cell>
          <cell r="AL1646">
            <v>0.25</v>
          </cell>
          <cell r="AM1646">
            <v>0.25</v>
          </cell>
          <cell r="AN1646">
            <v>0.25</v>
          </cell>
          <cell r="AO1646">
            <v>0.25</v>
          </cell>
          <cell r="AP1646">
            <v>0.25</v>
          </cell>
          <cell r="AQ1646">
            <v>0.25</v>
          </cell>
          <cell r="AR1646">
            <v>0.25</v>
          </cell>
          <cell r="AS1646">
            <v>0.25</v>
          </cell>
          <cell r="AT1646">
            <v>-0.04</v>
          </cell>
          <cell r="AU1646">
            <v>0.92</v>
          </cell>
          <cell r="AV1646">
            <v>20</v>
          </cell>
          <cell r="AY1646" t="str">
            <v/>
          </cell>
          <cell r="AZ1646">
            <v>0.25</v>
          </cell>
          <cell r="BA1646">
            <v>0.25</v>
          </cell>
        </row>
        <row r="1647">
          <cell r="A1647" t="str">
            <v>MET SERVICE MANUTENZIONI PRIVATE E CONDOMINIALI</v>
          </cell>
          <cell r="D1647" t="str">
            <v>VIA CESARE BATTISTI 8</v>
          </cell>
          <cell r="E1647">
            <v>35010</v>
          </cell>
          <cell r="F1647" t="str">
            <v xml:space="preserve">VIGODARZERE </v>
          </cell>
          <cell r="G1647" t="str">
            <v>PD</v>
          </cell>
          <cell r="H1647" t="str">
            <v>ITALIA</v>
          </cell>
          <cell r="J1647" t="str">
            <v>04908250287</v>
          </cell>
          <cell r="M1647" t="str">
            <v>UFFICIO ACQUISTI</v>
          </cell>
          <cell r="O1647" t="str">
            <v>3282478522</v>
          </cell>
          <cell r="P1647" t="str">
            <v>simonmike84@gmail.com</v>
          </cell>
          <cell r="R1647" t="str">
            <v>BONIFICO BANCARIO, ALLA DATA DELLA NOSTRA CONFERMA D'ORDINE</v>
          </cell>
          <cell r="X1647">
            <v>0.25</v>
          </cell>
          <cell r="Y1647">
            <v>-0.04</v>
          </cell>
          <cell r="AB1647">
            <v>0.25</v>
          </cell>
          <cell r="AC1647">
            <v>0.25</v>
          </cell>
          <cell r="AD1647">
            <v>0.25</v>
          </cell>
          <cell r="AE1647">
            <v>0.25</v>
          </cell>
          <cell r="AF1647">
            <v>0.25</v>
          </cell>
          <cell r="AG1647">
            <v>0.25</v>
          </cell>
          <cell r="AH1647">
            <v>0.25</v>
          </cell>
          <cell r="AI1647">
            <v>0.25</v>
          </cell>
          <cell r="AJ1647">
            <v>0.25</v>
          </cell>
          <cell r="AK1647">
            <v>0.25</v>
          </cell>
          <cell r="AL1647">
            <v>0.25</v>
          </cell>
          <cell r="AM1647">
            <v>0.25</v>
          </cell>
          <cell r="AN1647">
            <v>0.25</v>
          </cell>
          <cell r="AO1647">
            <v>0.25</v>
          </cell>
          <cell r="AP1647">
            <v>0.25</v>
          </cell>
          <cell r="AQ1647">
            <v>0.25</v>
          </cell>
          <cell r="AR1647">
            <v>0.25</v>
          </cell>
          <cell r="AS1647">
            <v>0.25</v>
          </cell>
          <cell r="AT1647">
            <v>-0.04</v>
          </cell>
          <cell r="AU1647">
            <v>0.92</v>
          </cell>
          <cell r="AV1647">
            <v>20</v>
          </cell>
          <cell r="AY1647" t="str">
            <v/>
          </cell>
          <cell r="AZ1647">
            <v>0.25</v>
          </cell>
          <cell r="BA1647">
            <v>0.25</v>
          </cell>
        </row>
        <row r="1648">
          <cell r="A1648" t="str">
            <v>METAL 2000 S.A.S.</v>
          </cell>
          <cell r="D1648" t="str">
            <v>VIA G.CHIABRERA, 32</v>
          </cell>
          <cell r="E1648">
            <v>57121</v>
          </cell>
          <cell r="F1648" t="str">
            <v>LIVORNO</v>
          </cell>
          <cell r="G1648" t="str">
            <v>LI</v>
          </cell>
          <cell r="H1648" t="str">
            <v>ITALIA</v>
          </cell>
          <cell r="J1648" t="str">
            <v>00395980493</v>
          </cell>
          <cell r="M1648" t="str">
            <v>UFFICIO ACQUISTI</v>
          </cell>
          <cell r="N1648" t="str">
            <v>0586 429451</v>
          </cell>
          <cell r="O1648" t="str">
            <v>335 7698290</v>
          </cell>
          <cell r="R1648" t="str">
            <v>BONIFICO BANCARIO, ALLA DATA DELLA NOSTRA CONFERMA D'ORDINE</v>
          </cell>
          <cell r="X1648">
            <v>0.25</v>
          </cell>
          <cell r="Y1648">
            <v>-0.04</v>
          </cell>
          <cell r="AB1648">
            <v>0.25</v>
          </cell>
          <cell r="AC1648">
            <v>0.25</v>
          </cell>
          <cell r="AD1648">
            <v>0.25</v>
          </cell>
          <cell r="AE1648">
            <v>0.25</v>
          </cell>
          <cell r="AF1648">
            <v>0.25</v>
          </cell>
          <cell r="AG1648">
            <v>0.25</v>
          </cell>
          <cell r="AH1648">
            <v>0.25</v>
          </cell>
          <cell r="AI1648">
            <v>0.25</v>
          </cell>
          <cell r="AJ1648">
            <v>0.25</v>
          </cell>
          <cell r="AK1648">
            <v>0.25</v>
          </cell>
          <cell r="AL1648">
            <v>0.25</v>
          </cell>
          <cell r="AM1648">
            <v>0.25</v>
          </cell>
          <cell r="AN1648">
            <v>0.25</v>
          </cell>
          <cell r="AO1648">
            <v>0.25</v>
          </cell>
          <cell r="AP1648">
            <v>0.25</v>
          </cell>
          <cell r="AQ1648">
            <v>0.25</v>
          </cell>
          <cell r="AR1648">
            <v>0.25</v>
          </cell>
          <cell r="AS1648">
            <v>0.25</v>
          </cell>
          <cell r="AT1648">
            <v>-0.04</v>
          </cell>
          <cell r="AU1648">
            <v>0.92</v>
          </cell>
          <cell r="AV1648">
            <v>20</v>
          </cell>
          <cell r="AY1648" t="str">
            <v/>
          </cell>
          <cell r="AZ1648">
            <v>0.25</v>
          </cell>
          <cell r="BA1648">
            <v>0.25</v>
          </cell>
        </row>
        <row r="1649">
          <cell r="A1649" t="str">
            <v>METAL ALLUMINIO DI PROCOPIO LEONARDO</v>
          </cell>
          <cell r="D1649" t="str">
            <v>LOC. BOTRO-PIP</v>
          </cell>
          <cell r="E1649" t="str">
            <v>88070</v>
          </cell>
          <cell r="F1649" t="str">
            <v>BOTRICELLO</v>
          </cell>
          <cell r="G1649" t="str">
            <v>CZ</v>
          </cell>
          <cell r="H1649" t="str">
            <v>ITALIA</v>
          </cell>
          <cell r="I1649" t="str">
            <v>PRCLRD80P18B085I</v>
          </cell>
          <cell r="J1649" t="str">
            <v>03659090793</v>
          </cell>
          <cell r="K1649" t="str">
            <v>TA0WO45</v>
          </cell>
          <cell r="M1649" t="str">
            <v>UFFICIO ACQUISTI</v>
          </cell>
          <cell r="N1649" t="str">
            <v>0961 963483</v>
          </cell>
          <cell r="O1649" t="str">
            <v>349 8732435 LEONARDO PROCOPIO</v>
          </cell>
          <cell r="P1649" t="str">
            <v>metalalluminio.r@libero.it</v>
          </cell>
          <cell r="R1649" t="str">
            <v>BONIFICO BANCARIO, ALLA DATA DELLA NOSTRA CONFERMA D'ORDINE</v>
          </cell>
          <cell r="X1649">
            <v>0.25</v>
          </cell>
          <cell r="Y1649">
            <v>-0.04</v>
          </cell>
          <cell r="AB1649">
            <v>0.25</v>
          </cell>
          <cell r="AC1649">
            <v>0.25</v>
          </cell>
          <cell r="AD1649">
            <v>0.25</v>
          </cell>
          <cell r="AE1649">
            <v>0.25</v>
          </cell>
          <cell r="AF1649">
            <v>0.25</v>
          </cell>
          <cell r="AG1649">
            <v>0.25</v>
          </cell>
          <cell r="AH1649">
            <v>0.25</v>
          </cell>
          <cell r="AI1649">
            <v>0.25</v>
          </cell>
          <cell r="AJ1649">
            <v>0.25</v>
          </cell>
          <cell r="AK1649">
            <v>0.25</v>
          </cell>
          <cell r="AL1649">
            <v>0.25</v>
          </cell>
          <cell r="AM1649">
            <v>0.25</v>
          </cell>
          <cell r="AN1649">
            <v>0.25</v>
          </cell>
          <cell r="AO1649">
            <v>0.25</v>
          </cell>
          <cell r="AP1649">
            <v>0.25</v>
          </cell>
          <cell r="AQ1649">
            <v>0.25</v>
          </cell>
          <cell r="AR1649">
            <v>0.25</v>
          </cell>
          <cell r="AS1649">
            <v>0.25</v>
          </cell>
          <cell r="AT1649">
            <v>-0.04</v>
          </cell>
          <cell r="AU1649">
            <v>0.92</v>
          </cell>
          <cell r="AV1649">
            <v>20</v>
          </cell>
          <cell r="AW1649" t="str">
            <v>PIETRO OLIVADOTI</v>
          </cell>
          <cell r="AX1649">
            <v>0.95</v>
          </cell>
          <cell r="AZ1649">
            <v>0.25</v>
          </cell>
          <cell r="BA1649">
            <v>0.25</v>
          </cell>
        </row>
        <row r="1650">
          <cell r="A1650" t="str">
            <v>METAL ALLUMINIO s.n.c. DIMAURO &amp; LA ROSA</v>
          </cell>
          <cell r="D1650" t="str">
            <v>S.S. 115 COMISO-VITTORIA KM.2</v>
          </cell>
          <cell r="E1650">
            <v>97013</v>
          </cell>
          <cell r="F1650" t="str">
            <v>COMISO</v>
          </cell>
          <cell r="G1650" t="str">
            <v>RG</v>
          </cell>
          <cell r="H1650" t="str">
            <v>ITALIA</v>
          </cell>
          <cell r="J1650" t="str">
            <v>00649880887</v>
          </cell>
          <cell r="M1650" t="str">
            <v>UFFICIO ACQUISTI</v>
          </cell>
          <cell r="O1650" t="str">
            <v>Mauro3249889864  - Rosa3396337327</v>
          </cell>
          <cell r="R1650" t="str">
            <v>BONIFICO BANCARIO, ALLA DATA DELLA NOSTRA CONFERMA D'ORDINE</v>
          </cell>
          <cell r="X1650">
            <v>0.25</v>
          </cell>
          <cell r="Y1650">
            <v>-0.04</v>
          </cell>
          <cell r="AB1650">
            <v>0.25</v>
          </cell>
          <cell r="AC1650">
            <v>0.25</v>
          </cell>
          <cell r="AD1650">
            <v>0.25</v>
          </cell>
          <cell r="AE1650">
            <v>0.25</v>
          </cell>
          <cell r="AF1650">
            <v>0.25</v>
          </cell>
          <cell r="AG1650">
            <v>0.25</v>
          </cell>
          <cell r="AH1650">
            <v>0.25</v>
          </cell>
          <cell r="AI1650">
            <v>0.25</v>
          </cell>
          <cell r="AJ1650">
            <v>0.25</v>
          </cell>
          <cell r="AK1650">
            <v>0.25</v>
          </cell>
          <cell r="AL1650">
            <v>0.25</v>
          </cell>
          <cell r="AM1650">
            <v>0.25</v>
          </cell>
          <cell r="AN1650">
            <v>0.25</v>
          </cell>
          <cell r="AO1650">
            <v>0.25</v>
          </cell>
          <cell r="AP1650">
            <v>0.25</v>
          </cell>
          <cell r="AQ1650">
            <v>0.25</v>
          </cell>
          <cell r="AR1650">
            <v>0.25</v>
          </cell>
          <cell r="AS1650">
            <v>0.25</v>
          </cell>
          <cell r="AT1650">
            <v>-0.04</v>
          </cell>
          <cell r="AU1650">
            <v>0.92</v>
          </cell>
          <cell r="AV1650">
            <v>20</v>
          </cell>
          <cell r="AY1650" t="str">
            <v/>
          </cell>
          <cell r="AZ1650">
            <v>0.25</v>
          </cell>
          <cell r="BA1650">
            <v>0.25</v>
          </cell>
        </row>
        <row r="1651">
          <cell r="A1651" t="str">
            <v>METAL DESIGN SNC</v>
          </cell>
          <cell r="D1651" t="str">
            <v>CORSO SARDEGNA, 136  138  R</v>
          </cell>
          <cell r="E1651">
            <v>16142</v>
          </cell>
          <cell r="F1651" t="str">
            <v>GENOVA</v>
          </cell>
          <cell r="G1651" t="str">
            <v>GE</v>
          </cell>
          <cell r="H1651" t="str">
            <v>ITALIA</v>
          </cell>
          <cell r="I1651">
            <v>3459490102</v>
          </cell>
          <cell r="J1651">
            <v>3459490102</v>
          </cell>
          <cell r="M1651" t="str">
            <v>UFFICIO ACQUISTI</v>
          </cell>
          <cell r="N1651" t="str">
            <v>010 505738</v>
          </cell>
          <cell r="P1651" t="str">
            <v>metaldesign.snc@gmail.com</v>
          </cell>
          <cell r="R1651" t="str">
            <v>BONIFICO BANCARIO, ALLA DATA DELLA NOSTRA CONFERMA D'ORDINE</v>
          </cell>
          <cell r="X1651">
            <v>0.25</v>
          </cell>
          <cell r="Y1651">
            <v>-0.04</v>
          </cell>
          <cell r="AB1651">
            <v>0.25</v>
          </cell>
          <cell r="AC1651">
            <v>0.25</v>
          </cell>
          <cell r="AD1651">
            <v>0.25</v>
          </cell>
          <cell r="AE1651">
            <v>0.25</v>
          </cell>
          <cell r="AF1651">
            <v>0.25</v>
          </cell>
          <cell r="AG1651">
            <v>0.25</v>
          </cell>
          <cell r="AH1651">
            <v>0.25</v>
          </cell>
          <cell r="AI1651">
            <v>0.25</v>
          </cell>
          <cell r="AJ1651">
            <v>0.25</v>
          </cell>
          <cell r="AK1651">
            <v>0.25</v>
          </cell>
          <cell r="AL1651">
            <v>0.25</v>
          </cell>
          <cell r="AM1651">
            <v>0.25</v>
          </cell>
          <cell r="AN1651">
            <v>0.25</v>
          </cell>
          <cell r="AO1651">
            <v>0.25</v>
          </cell>
          <cell r="AP1651">
            <v>0.25</v>
          </cell>
          <cell r="AQ1651">
            <v>0.25</v>
          </cell>
          <cell r="AR1651">
            <v>0.25</v>
          </cell>
          <cell r="AS1651">
            <v>0.25</v>
          </cell>
          <cell r="AT1651">
            <v>-0.04</v>
          </cell>
          <cell r="AU1651">
            <v>0.92</v>
          </cell>
          <cell r="AV1651">
            <v>20</v>
          </cell>
          <cell r="AY1651" t="str">
            <v/>
          </cell>
          <cell r="AZ1651">
            <v>0.25</v>
          </cell>
          <cell r="BA1651">
            <v>0.25</v>
          </cell>
        </row>
        <row r="1652">
          <cell r="A1652" t="str">
            <v>METAL DESIGN SRL</v>
          </cell>
          <cell r="D1652" t="str">
            <v>VIA FLORIO</v>
          </cell>
          <cell r="E1652">
            <v>71043</v>
          </cell>
          <cell r="F1652" t="str">
            <v>MANFREDONIA</v>
          </cell>
          <cell r="G1652" t="str">
            <v>FG</v>
          </cell>
          <cell r="H1652" t="str">
            <v>ITALIA</v>
          </cell>
          <cell r="M1652" t="str">
            <v>UFFICIO ACQUISTI</v>
          </cell>
          <cell r="O1652" t="str">
            <v>347 5283256 GIOVANNI - 349 6814982 ROBERTO</v>
          </cell>
          <cell r="P1652" t="str">
            <v>metaldesign2014@gmail.com</v>
          </cell>
          <cell r="R1652" t="str">
            <v>BONIFICO BANCARIO, ALLA DATA DELLA NOSTRA CONFERMA D'ORDINE</v>
          </cell>
          <cell r="X1652">
            <v>0.25</v>
          </cell>
          <cell r="Y1652">
            <v>-0.04</v>
          </cell>
          <cell r="AB1652">
            <v>0.25</v>
          </cell>
          <cell r="AC1652">
            <v>0.25</v>
          </cell>
          <cell r="AD1652">
            <v>0.25</v>
          </cell>
          <cell r="AE1652">
            <v>0.25</v>
          </cell>
          <cell r="AF1652">
            <v>0.25</v>
          </cell>
          <cell r="AG1652">
            <v>0.25</v>
          </cell>
          <cell r="AH1652">
            <v>0.25</v>
          </cell>
          <cell r="AI1652">
            <v>0.25</v>
          </cell>
          <cell r="AJ1652">
            <v>0.25</v>
          </cell>
          <cell r="AK1652">
            <v>0.25</v>
          </cell>
          <cell r="AL1652">
            <v>0.25</v>
          </cell>
          <cell r="AM1652">
            <v>0.25</v>
          </cell>
          <cell r="AN1652">
            <v>0.25</v>
          </cell>
          <cell r="AO1652">
            <v>0.25</v>
          </cell>
          <cell r="AP1652">
            <v>0.25</v>
          </cell>
          <cell r="AQ1652">
            <v>0.25</v>
          </cell>
          <cell r="AR1652">
            <v>0.25</v>
          </cell>
          <cell r="AS1652">
            <v>0.25</v>
          </cell>
          <cell r="AT1652">
            <v>-0.04</v>
          </cell>
          <cell r="AU1652">
            <v>0.92</v>
          </cell>
          <cell r="AV1652">
            <v>20</v>
          </cell>
          <cell r="AY1652" t="str">
            <v/>
          </cell>
          <cell r="AZ1652">
            <v>0.25</v>
          </cell>
          <cell r="BA1652">
            <v>0.25</v>
          </cell>
        </row>
        <row r="1653">
          <cell r="A1653" t="str">
            <v>METAL FERRAMENTA</v>
          </cell>
          <cell r="D1653" t="str">
            <v>VIA OBERDAN, 64</v>
          </cell>
          <cell r="E1653" t="str">
            <v>33078</v>
          </cell>
          <cell r="F1653" t="str">
            <v>SAN VITO AL TAGLIAMENTO</v>
          </cell>
          <cell r="G1653" t="str">
            <v>PN</v>
          </cell>
          <cell r="H1653" t="str">
            <v>ITALIA</v>
          </cell>
          <cell r="J1653" t="str">
            <v>00232910935</v>
          </cell>
          <cell r="K1653" t="str">
            <v>A4707H7</v>
          </cell>
          <cell r="M1653" t="str">
            <v>UFFICIO ACQUISTI</v>
          </cell>
          <cell r="N1653" t="str">
            <v>0434 875580</v>
          </cell>
          <cell r="P1653" t="str">
            <v>paola@metalferramenta.com</v>
          </cell>
          <cell r="R1653" t="str">
            <v>BONIFICO BANCARIO, ALLA DATA DELLA NOSTRA CONFERMA D'ORDINE</v>
          </cell>
          <cell r="X1653">
            <v>0.25</v>
          </cell>
          <cell r="Y1653">
            <v>0.15</v>
          </cell>
          <cell r="AB1653">
            <v>0.25</v>
          </cell>
          <cell r="AC1653">
            <v>0.25</v>
          </cell>
          <cell r="AD1653">
            <v>0.25</v>
          </cell>
          <cell r="AE1653">
            <v>0.25</v>
          </cell>
          <cell r="AF1653">
            <v>0.25</v>
          </cell>
          <cell r="AG1653">
            <v>0.25</v>
          </cell>
          <cell r="AH1653">
            <v>0.25</v>
          </cell>
          <cell r="AI1653">
            <v>0.25</v>
          </cell>
          <cell r="AJ1653">
            <v>0.25</v>
          </cell>
          <cell r="AK1653">
            <v>0.25</v>
          </cell>
          <cell r="AL1653">
            <v>0.25</v>
          </cell>
          <cell r="AM1653">
            <v>0.25</v>
          </cell>
          <cell r="AN1653">
            <v>0.25</v>
          </cell>
          <cell r="AO1653">
            <v>0.25</v>
          </cell>
          <cell r="AP1653">
            <v>0.25</v>
          </cell>
          <cell r="AQ1653">
            <v>0.25</v>
          </cell>
          <cell r="AR1653">
            <v>0.25</v>
          </cell>
          <cell r="AS1653">
            <v>0.25</v>
          </cell>
          <cell r="AT1653">
            <v>0.15</v>
          </cell>
          <cell r="AU1653">
            <v>0.92</v>
          </cell>
          <cell r="AV1653">
            <v>20</v>
          </cell>
          <cell r="AZ1653">
            <v>0.25</v>
          </cell>
          <cell r="BA1653">
            <v>0.25</v>
          </cell>
          <cell r="BF1653" t="str">
            <v>CLICK RAPID con espositore 29/10/2021 - MODERNA con espositore 29/10/2021</v>
          </cell>
        </row>
        <row r="1654">
          <cell r="A1654" t="str">
            <v xml:space="preserve">METAL GROUP SRL </v>
          </cell>
          <cell r="B1654" t="str">
            <v>MASCIA FERRARI, MARCELLO</v>
          </cell>
          <cell r="D1654" t="str">
            <v>VIA DEL PROGRESSO,26</v>
          </cell>
          <cell r="E1654" t="str">
            <v>45030</v>
          </cell>
          <cell r="F1654" t="str">
            <v>OCCHIOBELLO</v>
          </cell>
          <cell r="G1654" t="str">
            <v>RO</v>
          </cell>
          <cell r="H1654" t="str">
            <v>ITALIA</v>
          </cell>
          <cell r="J1654" t="str">
            <v>01493290298</v>
          </cell>
          <cell r="K1654" t="str">
            <v>USAL8PV</v>
          </cell>
          <cell r="M1654" t="str">
            <v>UFFICIO ACQUISTI</v>
          </cell>
          <cell r="N1654" t="str">
            <v>0425 750475</v>
          </cell>
          <cell r="O1654" t="str">
            <v>371 3795224</v>
          </cell>
          <cell r="P1654" t="str">
            <v>metal-groupsrl@libero.it</v>
          </cell>
          <cell r="R1654" t="str">
            <v>BONIFICO BANCARIO, ALLA DATA DELLA NOSTRA CONFERMA D'ORDINE</v>
          </cell>
          <cell r="X1654">
            <v>0.25</v>
          </cell>
          <cell r="Y1654">
            <v>-0.04</v>
          </cell>
          <cell r="AB1654">
            <v>0.25</v>
          </cell>
          <cell r="AC1654">
            <v>0.25</v>
          </cell>
          <cell r="AD1654">
            <v>0.25</v>
          </cell>
          <cell r="AE1654">
            <v>0.25</v>
          </cell>
          <cell r="AF1654">
            <v>0.25</v>
          </cell>
          <cell r="AG1654">
            <v>0.25</v>
          </cell>
          <cell r="AH1654">
            <v>0.25</v>
          </cell>
          <cell r="AI1654">
            <v>0.25</v>
          </cell>
          <cell r="AJ1654">
            <v>0.25</v>
          </cell>
          <cell r="AK1654">
            <v>0.25</v>
          </cell>
          <cell r="AL1654">
            <v>0.25</v>
          </cell>
          <cell r="AM1654">
            <v>0.25</v>
          </cell>
          <cell r="AN1654">
            <v>0.25</v>
          </cell>
          <cell r="AO1654">
            <v>0.25</v>
          </cell>
          <cell r="AP1654">
            <v>0.25</v>
          </cell>
          <cell r="AQ1654">
            <v>0.25</v>
          </cell>
          <cell r="AR1654">
            <v>0.25</v>
          </cell>
          <cell r="AS1654">
            <v>0.25</v>
          </cell>
          <cell r="AT1654">
            <v>-0.04</v>
          </cell>
          <cell r="AU1654">
            <v>0.92</v>
          </cell>
          <cell r="AV1654">
            <v>20</v>
          </cell>
          <cell r="AY1654" t="str">
            <v/>
          </cell>
          <cell r="AZ1654">
            <v>0.25</v>
          </cell>
          <cell r="BA1654">
            <v>0.25</v>
          </cell>
        </row>
        <row r="1655">
          <cell r="A1655" t="str">
            <v>METAL INFISSI</v>
          </cell>
          <cell r="B1655" t="str">
            <v>HORMANN</v>
          </cell>
          <cell r="D1655" t="str">
            <v>VIA TRENTO, 229</v>
          </cell>
          <cell r="E1655" t="str">
            <v>53048</v>
          </cell>
          <cell r="F1655" t="str">
            <v>SINALUNGA</v>
          </cell>
          <cell r="G1655" t="str">
            <v>SI</v>
          </cell>
          <cell r="H1655" t="str">
            <v>ITALIA</v>
          </cell>
          <cell r="M1655" t="str">
            <v>UFFICIO ACQUISTI</v>
          </cell>
          <cell r="N1655" t="str">
            <v>0577 679009</v>
          </cell>
          <cell r="P1655" t="str">
            <v>info@metal-infissi.com</v>
          </cell>
          <cell r="R1655" t="str">
            <v>BONIFICO BANCARIO, ALLA DATA DELLA NOSTRA CONFERMA D'ORDINE</v>
          </cell>
          <cell r="X1655">
            <v>0.25</v>
          </cell>
          <cell r="Y1655">
            <v>-0.04</v>
          </cell>
          <cell r="AB1655">
            <v>0.25</v>
          </cell>
          <cell r="AC1655">
            <v>0.25</v>
          </cell>
          <cell r="AD1655">
            <v>0.25</v>
          </cell>
          <cell r="AE1655">
            <v>0.25</v>
          </cell>
          <cell r="AF1655">
            <v>0.25</v>
          </cell>
          <cell r="AG1655">
            <v>0.25</v>
          </cell>
          <cell r="AH1655">
            <v>0.25</v>
          </cell>
          <cell r="AI1655">
            <v>0.25</v>
          </cell>
          <cell r="AJ1655">
            <v>0.25</v>
          </cell>
          <cell r="AK1655">
            <v>0.25</v>
          </cell>
          <cell r="AL1655">
            <v>0.25</v>
          </cell>
          <cell r="AM1655">
            <v>0.25</v>
          </cell>
          <cell r="AN1655">
            <v>0.25</v>
          </cell>
          <cell r="AO1655">
            <v>0.25</v>
          </cell>
          <cell r="AP1655">
            <v>0.25</v>
          </cell>
          <cell r="AQ1655">
            <v>0.25</v>
          </cell>
          <cell r="AR1655">
            <v>0.25</v>
          </cell>
          <cell r="AS1655">
            <v>0.25</v>
          </cell>
          <cell r="AT1655">
            <v>-0.04</v>
          </cell>
          <cell r="AU1655">
            <v>0.92</v>
          </cell>
          <cell r="AV1655">
            <v>20</v>
          </cell>
          <cell r="AY1655" t="str">
            <v/>
          </cell>
          <cell r="AZ1655">
            <v>0.25</v>
          </cell>
          <cell r="BA1655">
            <v>0.25</v>
          </cell>
        </row>
        <row r="1656">
          <cell r="A1656" t="str">
            <v xml:space="preserve">METAL INFISSI  </v>
          </cell>
          <cell r="B1656" t="str">
            <v>CAMPIONE 30 % CARPENTERIA GRATIS-  VERIFICA SE 30 PER BARRIERE 4 MT</v>
          </cell>
          <cell r="D1656" t="str">
            <v>SP VITTORIA-ACATE KM.3</v>
          </cell>
          <cell r="E1656">
            <v>97019</v>
          </cell>
          <cell r="F1656" t="str">
            <v>VITTORIA</v>
          </cell>
          <cell r="G1656" t="str">
            <v>RG</v>
          </cell>
          <cell r="H1656" t="str">
            <v>ITALIA</v>
          </cell>
          <cell r="I1656" t="str">
            <v>FRRNGL78S29M088V</v>
          </cell>
          <cell r="J1656" t="str">
            <v>0131970880</v>
          </cell>
          <cell r="M1656" t="str">
            <v>UFFICIO ACQUISTI</v>
          </cell>
          <cell r="O1656" t="str">
            <v>393 5246978</v>
          </cell>
          <cell r="P1656" t="str">
            <v>metalinfissidiferrigno@hotmail.it</v>
          </cell>
          <cell r="R1656" t="str">
            <v>BONIFICO BANCARIO, ALLA DATA DELLA NOSTRA CONFERMA D'ORDINE</v>
          </cell>
          <cell r="X1656">
            <v>0.25</v>
          </cell>
          <cell r="Y1656">
            <v>-0.04</v>
          </cell>
          <cell r="AB1656">
            <v>0.25</v>
          </cell>
          <cell r="AC1656">
            <v>0.25</v>
          </cell>
          <cell r="AD1656">
            <v>0.25</v>
          </cell>
          <cell r="AE1656">
            <v>0.25</v>
          </cell>
          <cell r="AF1656">
            <v>0.25</v>
          </cell>
          <cell r="AG1656">
            <v>0.25</v>
          </cell>
          <cell r="AH1656">
            <v>0.25</v>
          </cell>
          <cell r="AI1656">
            <v>0.25</v>
          </cell>
          <cell r="AJ1656">
            <v>0.25</v>
          </cell>
          <cell r="AK1656">
            <v>0.25</v>
          </cell>
          <cell r="AL1656">
            <v>0.25</v>
          </cell>
          <cell r="AM1656">
            <v>0.25</v>
          </cell>
          <cell r="AN1656">
            <v>0.25</v>
          </cell>
          <cell r="AO1656">
            <v>0.25</v>
          </cell>
          <cell r="AP1656">
            <v>0.25</v>
          </cell>
          <cell r="AQ1656">
            <v>0.25</v>
          </cell>
          <cell r="AR1656">
            <v>0.25</v>
          </cell>
          <cell r="AS1656">
            <v>0.25</v>
          </cell>
          <cell r="AT1656">
            <v>-0.04</v>
          </cell>
          <cell r="AU1656">
            <v>0.92</v>
          </cell>
          <cell r="AV1656">
            <v>20</v>
          </cell>
          <cell r="AY1656" t="str">
            <v/>
          </cell>
          <cell r="AZ1656">
            <v>0.25</v>
          </cell>
          <cell r="BA1656">
            <v>0.25</v>
          </cell>
        </row>
        <row r="1657">
          <cell r="A1657" t="str">
            <v>METAL INFISSI SNC</v>
          </cell>
          <cell r="B1657" t="str">
            <v>NO SCONTI</v>
          </cell>
          <cell r="D1657" t="str">
            <v>VIA BRUXELLES 2/4</v>
          </cell>
          <cell r="F1657" t="str">
            <v xml:space="preserve">BISCEGLIE </v>
          </cell>
          <cell r="G1657" t="str">
            <v>BT</v>
          </cell>
          <cell r="H1657" t="str">
            <v>ITALIA</v>
          </cell>
          <cell r="J1657" t="str">
            <v>04648870725</v>
          </cell>
          <cell r="M1657" t="str">
            <v>UFFICIO ACQUISTI</v>
          </cell>
          <cell r="N1657" t="str">
            <v>080 3958081</v>
          </cell>
          <cell r="O1657" t="str">
            <v>348 6400272</v>
          </cell>
          <cell r="P1657" t="str">
            <v>info@metalinfissi.it</v>
          </cell>
          <cell r="R1657" t="str">
            <v>BONIFICO BANCARIO, ALLA DATA DELLA NOSTRA CONFERMA D'ORDINE</v>
          </cell>
          <cell r="X1657">
            <v>0.25</v>
          </cell>
          <cell r="Y1657">
            <v>-0.04</v>
          </cell>
          <cell r="AB1657">
            <v>0.25</v>
          </cell>
          <cell r="AC1657">
            <v>0.25</v>
          </cell>
          <cell r="AD1657">
            <v>0.25</v>
          </cell>
          <cell r="AE1657">
            <v>0.25</v>
          </cell>
          <cell r="AF1657">
            <v>0.25</v>
          </cell>
          <cell r="AG1657">
            <v>0.25</v>
          </cell>
          <cell r="AH1657">
            <v>0.25</v>
          </cell>
          <cell r="AI1657">
            <v>0.25</v>
          </cell>
          <cell r="AJ1657">
            <v>0.25</v>
          </cell>
          <cell r="AK1657">
            <v>0.25</v>
          </cell>
          <cell r="AL1657">
            <v>0.25</v>
          </cell>
          <cell r="AM1657">
            <v>0.25</v>
          </cell>
          <cell r="AN1657">
            <v>0.25</v>
          </cell>
          <cell r="AO1657">
            <v>0.25</v>
          </cell>
          <cell r="AP1657">
            <v>0.25</v>
          </cell>
          <cell r="AQ1657">
            <v>0.25</v>
          </cell>
          <cell r="AR1657">
            <v>0.25</v>
          </cell>
          <cell r="AS1657">
            <v>0.25</v>
          </cell>
          <cell r="AT1657">
            <v>-0.04</v>
          </cell>
          <cell r="AU1657">
            <v>0.92</v>
          </cell>
          <cell r="AV1657">
            <v>20</v>
          </cell>
          <cell r="AY1657" t="str">
            <v/>
          </cell>
          <cell r="AZ1657">
            <v>0.25</v>
          </cell>
          <cell r="BA1657">
            <v>0.25</v>
          </cell>
        </row>
        <row r="1658">
          <cell r="A1658" t="str">
            <v>METAL INFISSI SRL</v>
          </cell>
          <cell r="D1658" t="str">
            <v>VIA LUIGI EINAUDI, 23</v>
          </cell>
          <cell r="E1658" t="str">
            <v>06049</v>
          </cell>
          <cell r="F1658" t="str">
            <v>SPOLETO</v>
          </cell>
          <cell r="G1658" t="str">
            <v>PG</v>
          </cell>
          <cell r="H1658" t="str">
            <v>ITALIA</v>
          </cell>
          <cell r="M1658" t="str">
            <v>UFFICIO ACQUISTI</v>
          </cell>
          <cell r="O1658" t="str">
            <v>348 2231179 STEFANO PIERGENTILI</v>
          </cell>
          <cell r="P1658" t="str">
            <v>info@metalinfissispoleto.it</v>
          </cell>
          <cell r="R1658" t="str">
            <v>BONIFICO BANCARIO, ALLA DATA DELLA NOSTRA CONFERMA D'ORDINE</v>
          </cell>
          <cell r="Y1658">
            <v>-0.04</v>
          </cell>
          <cell r="AT1658">
            <v>-0.04</v>
          </cell>
          <cell r="AV1658">
            <v>20</v>
          </cell>
          <cell r="AZ1658">
            <v>0</v>
          </cell>
          <cell r="BA1658">
            <v>0</v>
          </cell>
        </row>
        <row r="1659">
          <cell r="A1659" t="str">
            <v xml:space="preserve">METAL JONICA </v>
          </cell>
          <cell r="D1659" t="str">
            <v>C. DA BADESSA</v>
          </cell>
          <cell r="E1659">
            <v>89037</v>
          </cell>
          <cell r="F1659" t="str">
            <v>ARDORE M.NA</v>
          </cell>
          <cell r="G1659" t="str">
            <v>RC</v>
          </cell>
          <cell r="H1659" t="str">
            <v>ITALIA</v>
          </cell>
          <cell r="J1659" t="str">
            <v>01247360801</v>
          </cell>
          <cell r="M1659" t="str">
            <v>UFFICIO ACQUISTI</v>
          </cell>
          <cell r="N1659" t="str">
            <v>0964 628089</v>
          </cell>
          <cell r="O1659" t="str">
            <v>338 4835049 - 320 0375915</v>
          </cell>
          <cell r="R1659" t="str">
            <v>BONIFICO BANCARIO, ALLA DATA DELLA NOSTRA CONFERMA D'ORDINE</v>
          </cell>
          <cell r="X1659">
            <v>0.25</v>
          </cell>
          <cell r="Y1659">
            <v>-0.04</v>
          </cell>
          <cell r="AB1659">
            <v>0.25</v>
          </cell>
          <cell r="AC1659">
            <v>0.25</v>
          </cell>
          <cell r="AD1659">
            <v>0.25</v>
          </cell>
          <cell r="AE1659">
            <v>0.25</v>
          </cell>
          <cell r="AF1659">
            <v>0.25</v>
          </cell>
          <cell r="AG1659">
            <v>0.25</v>
          </cell>
          <cell r="AH1659">
            <v>0.25</v>
          </cell>
          <cell r="AI1659">
            <v>0.25</v>
          </cell>
          <cell r="AJ1659">
            <v>0.25</v>
          </cell>
          <cell r="AK1659">
            <v>0.25</v>
          </cell>
          <cell r="AL1659">
            <v>0.25</v>
          </cell>
          <cell r="AM1659">
            <v>0.25</v>
          </cell>
          <cell r="AN1659">
            <v>0.25</v>
          </cell>
          <cell r="AO1659">
            <v>0.25</v>
          </cell>
          <cell r="AP1659">
            <v>0.25</v>
          </cell>
          <cell r="AQ1659">
            <v>0.25</v>
          </cell>
          <cell r="AR1659">
            <v>0.25</v>
          </cell>
          <cell r="AS1659">
            <v>0.25</v>
          </cell>
          <cell r="AT1659">
            <v>-0.04</v>
          </cell>
          <cell r="AU1659">
            <v>0.92</v>
          </cell>
          <cell r="AV1659">
            <v>20</v>
          </cell>
          <cell r="AW1659" t="str">
            <v>PIETRO OLIVADOTI</v>
          </cell>
          <cell r="AX1659">
            <v>0.95</v>
          </cell>
          <cell r="AY1659" t="str">
            <v/>
          </cell>
          <cell r="AZ1659">
            <v>0.25</v>
          </cell>
          <cell r="BA1659">
            <v>0.25</v>
          </cell>
        </row>
        <row r="1660">
          <cell r="A1660" t="str">
            <v>METAL MAREMMA SANSIRO SRL</v>
          </cell>
          <cell r="D1660" t="str">
            <v>VIA TIBERI SNC</v>
          </cell>
          <cell r="F1660" t="str">
            <v>TARQUINIA</v>
          </cell>
          <cell r="G1660" t="str">
            <v>VT</v>
          </cell>
          <cell r="H1660" t="str">
            <v>ITALIA</v>
          </cell>
          <cell r="M1660" t="str">
            <v>UFFICIO ACQUISTI</v>
          </cell>
          <cell r="N1660" t="str">
            <v>0766 857730</v>
          </cell>
          <cell r="O1660" t="str">
            <v>345 3811341</v>
          </cell>
          <cell r="P1660" t="str">
            <v>b.djibrill@metalmaremma.it</v>
          </cell>
          <cell r="R1660" t="str">
            <v>BONIFICO BANCARIO, ALLA DATA DELLA NOSTRA CONFERMA D'ORDINE</v>
          </cell>
          <cell r="X1660">
            <v>0.25</v>
          </cell>
          <cell r="Y1660">
            <v>-0.04</v>
          </cell>
          <cell r="AB1660">
            <v>0.25</v>
          </cell>
          <cell r="AC1660">
            <v>0.25</v>
          </cell>
          <cell r="AD1660">
            <v>0.25</v>
          </cell>
          <cell r="AE1660">
            <v>0.25</v>
          </cell>
          <cell r="AF1660">
            <v>0.25</v>
          </cell>
          <cell r="AG1660">
            <v>0.25</v>
          </cell>
          <cell r="AH1660">
            <v>0.25</v>
          </cell>
          <cell r="AI1660">
            <v>0.25</v>
          </cell>
          <cell r="AJ1660">
            <v>0.25</v>
          </cell>
          <cell r="AK1660">
            <v>0.25</v>
          </cell>
          <cell r="AL1660">
            <v>0.25</v>
          </cell>
          <cell r="AM1660">
            <v>0.25</v>
          </cell>
          <cell r="AN1660">
            <v>0.25</v>
          </cell>
          <cell r="AO1660">
            <v>0.25</v>
          </cell>
          <cell r="AP1660">
            <v>0.25</v>
          </cell>
          <cell r="AQ1660">
            <v>0.25</v>
          </cell>
          <cell r="AR1660">
            <v>0.25</v>
          </cell>
          <cell r="AS1660">
            <v>0.25</v>
          </cell>
          <cell r="AT1660">
            <v>-0.04</v>
          </cell>
          <cell r="AU1660">
            <v>0.92</v>
          </cell>
          <cell r="AV1660">
            <v>20</v>
          </cell>
          <cell r="AY1660" t="str">
            <v/>
          </cell>
          <cell r="AZ1660">
            <v>0.25</v>
          </cell>
          <cell r="BA1660">
            <v>0.25</v>
          </cell>
        </row>
        <row r="1661">
          <cell r="A1661" t="str">
            <v>METAL PLASTIK</v>
          </cell>
          <cell r="D1661" t="str">
            <v>VIA CESARE PAVESE, 76</v>
          </cell>
          <cell r="F1661" t="str">
            <v>VITTORIA</v>
          </cell>
          <cell r="G1661" t="str">
            <v>RG</v>
          </cell>
          <cell r="H1661" t="str">
            <v>ITALIA</v>
          </cell>
          <cell r="M1661" t="str">
            <v>UFFICIO ACQUISTI</v>
          </cell>
          <cell r="N1661" t="str">
            <v>0932 510121</v>
          </cell>
          <cell r="O1661" t="str">
            <v>393 4382164</v>
          </cell>
          <cell r="R1661" t="str">
            <v>BONIFICO BANCARIO, ALLA DATA DELLA NOSTRA CONFERMA D'ORDINE</v>
          </cell>
          <cell r="X1661">
            <v>0.25</v>
          </cell>
          <cell r="Y1661">
            <v>-0.04</v>
          </cell>
          <cell r="AB1661">
            <v>0.25</v>
          </cell>
          <cell r="AC1661">
            <v>0.25</v>
          </cell>
          <cell r="AD1661">
            <v>0.25</v>
          </cell>
          <cell r="AE1661">
            <v>0.25</v>
          </cell>
          <cell r="AF1661">
            <v>0.25</v>
          </cell>
          <cell r="AG1661">
            <v>0.25</v>
          </cell>
          <cell r="AH1661">
            <v>0.25</v>
          </cell>
          <cell r="AI1661">
            <v>0.25</v>
          </cell>
          <cell r="AJ1661">
            <v>0.25</v>
          </cell>
          <cell r="AK1661">
            <v>0.25</v>
          </cell>
          <cell r="AL1661">
            <v>0.25</v>
          </cell>
          <cell r="AM1661">
            <v>0.25</v>
          </cell>
          <cell r="AN1661">
            <v>0.25</v>
          </cell>
          <cell r="AO1661">
            <v>0.25</v>
          </cell>
          <cell r="AP1661">
            <v>0.25</v>
          </cell>
          <cell r="AQ1661">
            <v>0.25</v>
          </cell>
          <cell r="AR1661">
            <v>0.25</v>
          </cell>
          <cell r="AS1661">
            <v>0.25</v>
          </cell>
          <cell r="AT1661">
            <v>-0.04</v>
          </cell>
          <cell r="AU1661">
            <v>0.92</v>
          </cell>
          <cell r="AV1661">
            <v>20</v>
          </cell>
          <cell r="AY1661" t="str">
            <v/>
          </cell>
          <cell r="AZ1661">
            <v>0.25</v>
          </cell>
          <cell r="BA1661">
            <v>0.25</v>
          </cell>
        </row>
        <row r="1662">
          <cell r="A1662" t="str">
            <v>METAL PLASTIX DI GAETANO VAZZANO</v>
          </cell>
          <cell r="D1662" t="str">
            <v>VIALE UNITA' D'ITALIA, 16</v>
          </cell>
          <cell r="E1662" t="str">
            <v>90024</v>
          </cell>
          <cell r="F1662" t="str">
            <v>GANGI</v>
          </cell>
          <cell r="G1662" t="str">
            <v>PA</v>
          </cell>
          <cell r="H1662" t="str">
            <v>ITALIA</v>
          </cell>
          <cell r="M1662" t="str">
            <v>UFFICIO ACQUISTI</v>
          </cell>
          <cell r="N1662" t="str">
            <v>0921 689986</v>
          </cell>
          <cell r="O1662" t="str">
            <v>348 8594510</v>
          </cell>
          <cell r="P1662" t="str">
            <v>metalplastix@interfree.it</v>
          </cell>
          <cell r="R1662" t="str">
            <v>BONIFICO BANCARIO, ALLA DATA DELLA NOSTRA CONFERMA D'ORDINE</v>
          </cell>
          <cell r="X1662">
            <v>0.25</v>
          </cell>
          <cell r="Y1662">
            <v>-0.04</v>
          </cell>
          <cell r="AB1662">
            <v>0.25</v>
          </cell>
          <cell r="AC1662">
            <v>0.25</v>
          </cell>
          <cell r="AD1662">
            <v>0.25</v>
          </cell>
          <cell r="AE1662">
            <v>0.25</v>
          </cell>
          <cell r="AF1662">
            <v>0.25</v>
          </cell>
          <cell r="AG1662">
            <v>0.25</v>
          </cell>
          <cell r="AH1662">
            <v>0.25</v>
          </cell>
          <cell r="AI1662">
            <v>0.25</v>
          </cell>
          <cell r="AJ1662">
            <v>0.25</v>
          </cell>
          <cell r="AK1662">
            <v>0.25</v>
          </cell>
          <cell r="AL1662">
            <v>0.25</v>
          </cell>
          <cell r="AM1662">
            <v>0.25</v>
          </cell>
          <cell r="AN1662">
            <v>0.25</v>
          </cell>
          <cell r="AO1662">
            <v>0.25</v>
          </cell>
          <cell r="AP1662">
            <v>0.25</v>
          </cell>
          <cell r="AQ1662">
            <v>0.25</v>
          </cell>
          <cell r="AR1662">
            <v>0.25</v>
          </cell>
          <cell r="AS1662">
            <v>0.25</v>
          </cell>
          <cell r="AT1662">
            <v>-0.04</v>
          </cell>
          <cell r="AU1662">
            <v>0.92</v>
          </cell>
          <cell r="AV1662">
            <v>20</v>
          </cell>
          <cell r="AY1662" t="str">
            <v/>
          </cell>
          <cell r="AZ1662">
            <v>0.25</v>
          </cell>
          <cell r="BA1662">
            <v>0.25</v>
          </cell>
        </row>
        <row r="1663">
          <cell r="A1663" t="str">
            <v>METAL SERRAMENTI DI LA GRECA FELICE</v>
          </cell>
          <cell r="D1663" t="str">
            <v>VIA UGO LA MALFA, 7</v>
          </cell>
          <cell r="F1663" t="str">
            <v>VITTORIA</v>
          </cell>
          <cell r="G1663" t="str">
            <v>RG</v>
          </cell>
          <cell r="H1663" t="str">
            <v>ITALIA</v>
          </cell>
          <cell r="J1663" t="str">
            <v>01616830889</v>
          </cell>
          <cell r="M1663" t="str">
            <v>UFFICIO ACQUISTI</v>
          </cell>
          <cell r="O1663" t="str">
            <v>393 4382165</v>
          </cell>
          <cell r="P1663" t="str">
            <v>metalserramenti@outlook.it</v>
          </cell>
          <cell r="R1663" t="str">
            <v>BONIFICO BANCARIO, ALLA DATA DELLA NOSTRA CONFERMA D'ORDINE</v>
          </cell>
          <cell r="X1663">
            <v>0.25</v>
          </cell>
          <cell r="Y1663">
            <v>-0.04</v>
          </cell>
          <cell r="AB1663">
            <v>0.25</v>
          </cell>
          <cell r="AC1663">
            <v>0.25</v>
          </cell>
          <cell r="AD1663">
            <v>0.25</v>
          </cell>
          <cell r="AE1663">
            <v>0.25</v>
          </cell>
          <cell r="AF1663">
            <v>0.25</v>
          </cell>
          <cell r="AG1663">
            <v>0.25</v>
          </cell>
          <cell r="AH1663">
            <v>0.25</v>
          </cell>
          <cell r="AI1663">
            <v>0.25</v>
          </cell>
          <cell r="AJ1663">
            <v>0.25</v>
          </cell>
          <cell r="AK1663">
            <v>0.25</v>
          </cell>
          <cell r="AL1663">
            <v>0.25</v>
          </cell>
          <cell r="AM1663">
            <v>0.25</v>
          </cell>
          <cell r="AN1663">
            <v>0.25</v>
          </cell>
          <cell r="AO1663">
            <v>0.25</v>
          </cell>
          <cell r="AP1663">
            <v>0.25</v>
          </cell>
          <cell r="AQ1663">
            <v>0.25</v>
          </cell>
          <cell r="AR1663">
            <v>0.25</v>
          </cell>
          <cell r="AS1663">
            <v>0.25</v>
          </cell>
          <cell r="AT1663">
            <v>-0.04</v>
          </cell>
          <cell r="AU1663">
            <v>0.92</v>
          </cell>
          <cell r="AV1663">
            <v>20</v>
          </cell>
          <cell r="AY1663" t="str">
            <v/>
          </cell>
          <cell r="AZ1663">
            <v>0.25</v>
          </cell>
          <cell r="BA1663">
            <v>0.25</v>
          </cell>
        </row>
        <row r="1664">
          <cell r="A1664" t="str">
            <v>METAL SINERGY ENGINEERING SRL</v>
          </cell>
          <cell r="D1664" t="str">
            <v>VIA ISONZO 10 - 12</v>
          </cell>
          <cell r="E1664" t="str">
            <v>00053</v>
          </cell>
          <cell r="F1664" t="str">
            <v>CIVITAVECCHIA</v>
          </cell>
          <cell r="G1664" t="str">
            <v>RM</v>
          </cell>
          <cell r="H1664" t="str">
            <v>ITALIA</v>
          </cell>
          <cell r="J1664" t="str">
            <v>13826261003</v>
          </cell>
          <cell r="M1664" t="str">
            <v>UFFICIO ACQUISTI</v>
          </cell>
          <cell r="N1664" t="str">
            <v>0766 24262</v>
          </cell>
          <cell r="O1664" t="str">
            <v>328 6330351</v>
          </cell>
          <cell r="P1664" t="str">
            <v>e.sartorelli@metalsinergyengineering.it</v>
          </cell>
          <cell r="R1664" t="str">
            <v>BONIFICO BANCARIO, ALLA DATA DELLA NOSTRA CONFERMA D'ORDINE</v>
          </cell>
          <cell r="X1664">
            <v>0.25</v>
          </cell>
          <cell r="Y1664">
            <v>-0.04</v>
          </cell>
          <cell r="AB1664">
            <v>0.25</v>
          </cell>
          <cell r="AC1664">
            <v>0.25</v>
          </cell>
          <cell r="AD1664">
            <v>0.25</v>
          </cell>
          <cell r="AE1664">
            <v>0.25</v>
          </cell>
          <cell r="AF1664">
            <v>0.25</v>
          </cell>
          <cell r="AG1664">
            <v>0.25</v>
          </cell>
          <cell r="AH1664">
            <v>0.25</v>
          </cell>
          <cell r="AI1664">
            <v>0.25</v>
          </cell>
          <cell r="AJ1664">
            <v>0.25</v>
          </cell>
          <cell r="AK1664">
            <v>0.25</v>
          </cell>
          <cell r="AL1664">
            <v>0.25</v>
          </cell>
          <cell r="AM1664">
            <v>0.25</v>
          </cell>
          <cell r="AN1664">
            <v>0.25</v>
          </cell>
          <cell r="AO1664">
            <v>0.25</v>
          </cell>
          <cell r="AP1664">
            <v>0.25</v>
          </cell>
          <cell r="AQ1664">
            <v>0.25</v>
          </cell>
          <cell r="AR1664">
            <v>0.25</v>
          </cell>
          <cell r="AS1664">
            <v>0.25</v>
          </cell>
          <cell r="AT1664">
            <v>-0.04</v>
          </cell>
          <cell r="AU1664">
            <v>0.92</v>
          </cell>
          <cell r="AV1664">
            <v>20</v>
          </cell>
          <cell r="AY1664" t="str">
            <v/>
          </cell>
          <cell r="AZ1664">
            <v>0.25</v>
          </cell>
          <cell r="BA1664">
            <v>0.25</v>
          </cell>
        </row>
        <row r="1665">
          <cell r="A1665" t="str">
            <v>METAL STEMA SNC DI MARCO IZZI E VALENTINA IZZI</v>
          </cell>
          <cell r="D1665" t="str">
            <v>VIA FONTANA DELL'OSTE, 29/A</v>
          </cell>
          <cell r="E1665" t="str">
            <v>00034</v>
          </cell>
          <cell r="F1665" t="str">
            <v>COLLEFERRO</v>
          </cell>
          <cell r="G1665" t="str">
            <v>RM</v>
          </cell>
          <cell r="H1665" t="str">
            <v>ITALIA</v>
          </cell>
          <cell r="J1665" t="str">
            <v>12175591002</v>
          </cell>
          <cell r="L1665" t="str">
            <v>VIA PRATOLUNGO,158 VELLETRI</v>
          </cell>
          <cell r="M1665" t="str">
            <v>UFFICIO ACQUISTI</v>
          </cell>
          <cell r="N1665" t="str">
            <v>06 9655805</v>
          </cell>
          <cell r="O1665" t="str">
            <v>346 1824427     WAPP 348 9343183</v>
          </cell>
          <cell r="P1665" t="str">
            <v xml:space="preserve">metalstemasnc@gmail.com </v>
          </cell>
          <cell r="R1665" t="str">
            <v>BONIFICO BANCARIO, ALLA DATA DELLA NOSTRA CONFERMA D'ORDINE</v>
          </cell>
          <cell r="X1665">
            <v>0.2</v>
          </cell>
          <cell r="Y1665">
            <v>-0.04</v>
          </cell>
          <cell r="AB1665">
            <v>0.2</v>
          </cell>
          <cell r="AC1665">
            <v>0.2</v>
          </cell>
          <cell r="AD1665">
            <v>0.2</v>
          </cell>
          <cell r="AE1665">
            <v>0.2</v>
          </cell>
          <cell r="AF1665">
            <v>0.2</v>
          </cell>
          <cell r="AG1665">
            <v>0.2</v>
          </cell>
          <cell r="AH1665">
            <v>0.2</v>
          </cell>
          <cell r="AI1665">
            <v>0.2</v>
          </cell>
          <cell r="AJ1665">
            <v>0.2</v>
          </cell>
          <cell r="AK1665">
            <v>0.2</v>
          </cell>
          <cell r="AL1665">
            <v>0.2</v>
          </cell>
          <cell r="AM1665">
            <v>0.2</v>
          </cell>
          <cell r="AN1665">
            <v>0.2</v>
          </cell>
          <cell r="AO1665">
            <v>0.2</v>
          </cell>
          <cell r="AP1665">
            <v>0.2</v>
          </cell>
          <cell r="AQ1665">
            <v>0.2</v>
          </cell>
          <cell r="AR1665">
            <v>0.2</v>
          </cell>
          <cell r="AS1665">
            <v>0.2</v>
          </cell>
          <cell r="AT1665">
            <v>-0.04</v>
          </cell>
          <cell r="AU1665">
            <v>0.92</v>
          </cell>
          <cell r="AV1665">
            <v>20</v>
          </cell>
          <cell r="AZ1665">
            <v>0.2</v>
          </cell>
          <cell r="BA1665">
            <v>0.2</v>
          </cell>
        </row>
        <row r="1666">
          <cell r="A1666" t="str">
            <v>METAL TECH SERRAMENTI IN ALLUMINIO</v>
          </cell>
          <cell r="B1666" t="str">
            <v>LASCIATO DEPLIAN -MP</v>
          </cell>
          <cell r="D1666" t="str">
            <v>VIA BENESSEA - LOC CAMPO CAFFE'</v>
          </cell>
          <cell r="E1666">
            <v>17035</v>
          </cell>
          <cell r="F1666" t="str">
            <v>CISANO SUL NEVA</v>
          </cell>
          <cell r="G1666" t="str">
            <v>SV</v>
          </cell>
          <cell r="H1666" t="str">
            <v>ITALIA</v>
          </cell>
          <cell r="I1666" t="str">
            <v>00995260098</v>
          </cell>
          <cell r="J1666" t="str">
            <v>00995260098</v>
          </cell>
          <cell r="M1666" t="str">
            <v>UFFICIO ACQUISTI</v>
          </cell>
          <cell r="N1666" t="str">
            <v>0182 21591</v>
          </cell>
          <cell r="P1666" t="str">
            <v>amministrazione@metaltechserramenti.it</v>
          </cell>
          <cell r="R1666" t="str">
            <v>BONIFICO BANCARIO, ALLA DATA DELLA NOSTRA CONFERMA D'ORDINE</v>
          </cell>
          <cell r="X1666">
            <v>0.25</v>
          </cell>
          <cell r="Y1666">
            <v>-0.04</v>
          </cell>
          <cell r="AB1666">
            <v>0.25</v>
          </cell>
          <cell r="AC1666">
            <v>0.25</v>
          </cell>
          <cell r="AD1666">
            <v>0.25</v>
          </cell>
          <cell r="AE1666">
            <v>0.25</v>
          </cell>
          <cell r="AF1666">
            <v>0.25</v>
          </cell>
          <cell r="AG1666">
            <v>0.25</v>
          </cell>
          <cell r="AH1666">
            <v>0.25</v>
          </cell>
          <cell r="AI1666">
            <v>0.25</v>
          </cell>
          <cell r="AJ1666">
            <v>0.25</v>
          </cell>
          <cell r="AK1666">
            <v>0.25</v>
          </cell>
          <cell r="AL1666">
            <v>0.25</v>
          </cell>
          <cell r="AM1666">
            <v>0.25</v>
          </cell>
          <cell r="AN1666">
            <v>0.25</v>
          </cell>
          <cell r="AO1666">
            <v>0.25</v>
          </cell>
          <cell r="AP1666">
            <v>0.25</v>
          </cell>
          <cell r="AQ1666">
            <v>0.25</v>
          </cell>
          <cell r="AR1666">
            <v>0.25</v>
          </cell>
          <cell r="AS1666">
            <v>0.25</v>
          </cell>
          <cell r="AT1666">
            <v>-0.04</v>
          </cell>
          <cell r="AU1666">
            <v>0.92</v>
          </cell>
          <cell r="AV1666">
            <v>20</v>
          </cell>
          <cell r="AY1666" t="str">
            <v/>
          </cell>
          <cell r="AZ1666">
            <v>0.25</v>
          </cell>
          <cell r="BA1666">
            <v>0.25</v>
          </cell>
        </row>
        <row r="1667">
          <cell r="A1667" t="str">
            <v>METAL VETRINE SAS DI LAMURA G. E C.</v>
          </cell>
          <cell r="B1667" t="str">
            <v>SCONTO 25% SE ACQUISTA ESPOSITORE</v>
          </cell>
          <cell r="D1667" t="str">
            <v>VIA GIANBRANCA, 1</v>
          </cell>
          <cell r="E1667" t="str">
            <v>18012</v>
          </cell>
          <cell r="F1667" t="str">
            <v>BORDIGHERA</v>
          </cell>
          <cell r="G1667" t="str">
            <v>IM</v>
          </cell>
          <cell r="H1667" t="str">
            <v>ITALIA</v>
          </cell>
          <cell r="J1667" t="str">
            <v>01039110083</v>
          </cell>
          <cell r="K1667" t="str">
            <v>DXEBYTP</v>
          </cell>
          <cell r="M1667" t="str">
            <v>UFFICIO ACQUISTI</v>
          </cell>
          <cell r="N1667" t="str">
            <v>0184 295938</v>
          </cell>
          <cell r="P1667" t="str">
            <v>info@metalvetrine.com</v>
          </cell>
          <cell r="R1667" t="str">
            <v>BONIFICO BANCARIO, ALLA DATA DELLA NOSTRA CONFERMA D'ORDINE</v>
          </cell>
          <cell r="X1667">
            <v>0.25</v>
          </cell>
          <cell r="Y1667">
            <v>-0.04</v>
          </cell>
          <cell r="AB1667">
            <v>0.25</v>
          </cell>
          <cell r="AC1667">
            <v>0.25</v>
          </cell>
          <cell r="AD1667">
            <v>0.25</v>
          </cell>
          <cell r="AE1667">
            <v>0.25</v>
          </cell>
          <cell r="AF1667">
            <v>0.25</v>
          </cell>
          <cell r="AG1667">
            <v>0.25</v>
          </cell>
          <cell r="AH1667">
            <v>0.25</v>
          </cell>
          <cell r="AI1667">
            <v>0.25</v>
          </cell>
          <cell r="AJ1667">
            <v>0.25</v>
          </cell>
          <cell r="AK1667">
            <v>0.25</v>
          </cell>
          <cell r="AL1667">
            <v>0.25</v>
          </cell>
          <cell r="AM1667">
            <v>0.25</v>
          </cell>
          <cell r="AN1667">
            <v>0.25</v>
          </cell>
          <cell r="AO1667">
            <v>0.25</v>
          </cell>
          <cell r="AP1667">
            <v>0.25</v>
          </cell>
          <cell r="AQ1667">
            <v>0.25</v>
          </cell>
          <cell r="AR1667">
            <v>0.25</v>
          </cell>
          <cell r="AS1667">
            <v>0.25</v>
          </cell>
          <cell r="AT1667">
            <v>-0.04</v>
          </cell>
          <cell r="AU1667">
            <v>0.92</v>
          </cell>
          <cell r="AV1667">
            <v>20</v>
          </cell>
          <cell r="AY1667" t="str">
            <v/>
          </cell>
          <cell r="AZ1667">
            <v>0.25</v>
          </cell>
          <cell r="BA1667">
            <v>0.25</v>
          </cell>
          <cell r="BF1667" t="str">
            <v>CLICK RAPID con carpenteria 21/12/2020</v>
          </cell>
        </row>
        <row r="1668">
          <cell r="A1668" t="str">
            <v>METAL VETRO</v>
          </cell>
          <cell r="D1668" t="str">
            <v>VIA PER CASAMARI, 63</v>
          </cell>
          <cell r="E1668" t="str">
            <v>03100</v>
          </cell>
          <cell r="F1668" t="str">
            <v>FROSINONE</v>
          </cell>
          <cell r="G1668" t="str">
            <v>FR</v>
          </cell>
          <cell r="H1668" t="str">
            <v>ITALIA</v>
          </cell>
          <cell r="M1668" t="str">
            <v>UFFICIO ACQUISTI</v>
          </cell>
          <cell r="N1668" t="str">
            <v>0775 870044</v>
          </cell>
          <cell r="P1668" t="str">
            <v>info@metalvetrosrl.com</v>
          </cell>
          <cell r="R1668" t="str">
            <v>BONIFICO BANCARIO, ALLA DATA DELLA NOSTRA CONFERMA D'ORDINE</v>
          </cell>
          <cell r="X1668">
            <v>0.25</v>
          </cell>
          <cell r="Y1668">
            <v>-0.04</v>
          </cell>
          <cell r="AB1668">
            <v>0.25</v>
          </cell>
          <cell r="AC1668">
            <v>0.25</v>
          </cell>
          <cell r="AD1668">
            <v>0.25</v>
          </cell>
          <cell r="AE1668">
            <v>0.25</v>
          </cell>
          <cell r="AF1668">
            <v>0.25</v>
          </cell>
          <cell r="AG1668">
            <v>0.25</v>
          </cell>
          <cell r="AH1668">
            <v>0.25</v>
          </cell>
          <cell r="AI1668">
            <v>0.25</v>
          </cell>
          <cell r="AJ1668">
            <v>0.25</v>
          </cell>
          <cell r="AK1668">
            <v>0.25</v>
          </cell>
          <cell r="AL1668">
            <v>0.25</v>
          </cell>
          <cell r="AM1668">
            <v>0.25</v>
          </cell>
          <cell r="AN1668">
            <v>0.25</v>
          </cell>
          <cell r="AO1668">
            <v>0.25</v>
          </cell>
          <cell r="AP1668">
            <v>0.25</v>
          </cell>
          <cell r="AQ1668">
            <v>0.25</v>
          </cell>
          <cell r="AR1668">
            <v>0.25</v>
          </cell>
          <cell r="AS1668">
            <v>0.25</v>
          </cell>
          <cell r="AT1668">
            <v>-0.04</v>
          </cell>
          <cell r="AU1668">
            <v>0.92</v>
          </cell>
          <cell r="AV1668">
            <v>20</v>
          </cell>
          <cell r="AZ1668">
            <v>0.25</v>
          </cell>
          <cell r="BA1668">
            <v>0.25</v>
          </cell>
        </row>
        <row r="1669">
          <cell r="A1669" t="str">
            <v>METAL.BLIND SRL</v>
          </cell>
          <cell r="D1669" t="str">
            <v xml:space="preserve">VIA GIANNI AGNELLI </v>
          </cell>
          <cell r="E1669" t="str">
            <v>73054</v>
          </cell>
          <cell r="F1669" t="str">
            <v>PRESICCE</v>
          </cell>
          <cell r="G1669" t="str">
            <v>LE</v>
          </cell>
          <cell r="H1669" t="str">
            <v>ITALIA</v>
          </cell>
          <cell r="J1669" t="str">
            <v>03620890750</v>
          </cell>
          <cell r="M1669" t="str">
            <v>UFFICIO ACQUISTI</v>
          </cell>
          <cell r="O1669" t="str">
            <v>Rocco 347 3695838 Andrea 320 4192369</v>
          </cell>
          <cell r="P1669" t="str">
            <v>info@metalblind.it</v>
          </cell>
          <cell r="R1669" t="str">
            <v>BONIFICO BANCARIO, ALLA DATA DELLA NOSTRA CONFERMA D'ORDINE</v>
          </cell>
          <cell r="X1669">
            <v>0.25</v>
          </cell>
          <cell r="Y1669">
            <v>-0.04</v>
          </cell>
          <cell r="AB1669">
            <v>0.25</v>
          </cell>
          <cell r="AC1669">
            <v>0.25</v>
          </cell>
          <cell r="AD1669">
            <v>0.25</v>
          </cell>
          <cell r="AE1669">
            <v>0.25</v>
          </cell>
          <cell r="AF1669">
            <v>0.25</v>
          </cell>
          <cell r="AG1669">
            <v>0.25</v>
          </cell>
          <cell r="AH1669">
            <v>0.25</v>
          </cell>
          <cell r="AI1669">
            <v>0.25</v>
          </cell>
          <cell r="AJ1669">
            <v>0.25</v>
          </cell>
          <cell r="AK1669">
            <v>0.25</v>
          </cell>
          <cell r="AL1669">
            <v>0.25</v>
          </cell>
          <cell r="AM1669">
            <v>0.25</v>
          </cell>
          <cell r="AN1669">
            <v>0.25</v>
          </cell>
          <cell r="AO1669">
            <v>0.25</v>
          </cell>
          <cell r="AP1669">
            <v>0.25</v>
          </cell>
          <cell r="AQ1669">
            <v>0.25</v>
          </cell>
          <cell r="AR1669">
            <v>0.25</v>
          </cell>
          <cell r="AS1669">
            <v>0.25</v>
          </cell>
          <cell r="AT1669">
            <v>-0.04</v>
          </cell>
          <cell r="AU1669">
            <v>0.92</v>
          </cell>
          <cell r="AV1669">
            <v>20</v>
          </cell>
          <cell r="AZ1669">
            <v>0.25</v>
          </cell>
          <cell r="BA1669">
            <v>0.25</v>
          </cell>
        </row>
        <row r="1670">
          <cell r="A1670" t="str">
            <v>METAL.NAR</v>
          </cell>
          <cell r="D1670" t="str">
            <v>VIA CAMPANIA, 35</v>
          </cell>
          <cell r="E1670" t="str">
            <v>04012</v>
          </cell>
          <cell r="F1670" t="str">
            <v>CISTERNA DI LATINA</v>
          </cell>
          <cell r="G1670" t="str">
            <v>LT</v>
          </cell>
          <cell r="H1670" t="str">
            <v>ITALIA</v>
          </cell>
          <cell r="M1670" t="str">
            <v>UFFICIO ACQUISTI</v>
          </cell>
          <cell r="N1670" t="str">
            <v>06 9695639</v>
          </cell>
          <cell r="O1670" t="str">
            <v>338 8242964</v>
          </cell>
          <cell r="P1670" t="str">
            <v>metal.nar@tiscali.it</v>
          </cell>
          <cell r="R1670" t="str">
            <v>BONIFICO BANCARIO, ALLA DATA DELLA NOSTRA CONFERMA D'ORDINE</v>
          </cell>
          <cell r="X1670">
            <v>0.2</v>
          </cell>
          <cell r="Y1670">
            <v>-0.04</v>
          </cell>
          <cell r="AB1670">
            <v>0.2</v>
          </cell>
          <cell r="AC1670">
            <v>0.2</v>
          </cell>
          <cell r="AD1670">
            <v>0.2</v>
          </cell>
          <cell r="AE1670">
            <v>0.2</v>
          </cell>
          <cell r="AF1670">
            <v>0.2</v>
          </cell>
          <cell r="AG1670">
            <v>0.2</v>
          </cell>
          <cell r="AH1670">
            <v>0.2</v>
          </cell>
          <cell r="AI1670">
            <v>0.2</v>
          </cell>
          <cell r="AJ1670">
            <v>0.2</v>
          </cell>
          <cell r="AK1670">
            <v>0.2</v>
          </cell>
          <cell r="AL1670">
            <v>0.2</v>
          </cell>
          <cell r="AM1670">
            <v>0.2</v>
          </cell>
          <cell r="AN1670">
            <v>0.2</v>
          </cell>
          <cell r="AO1670">
            <v>0.2</v>
          </cell>
          <cell r="AP1670">
            <v>0.2</v>
          </cell>
          <cell r="AQ1670">
            <v>0.2</v>
          </cell>
          <cell r="AR1670">
            <v>0.2</v>
          </cell>
          <cell r="AS1670">
            <v>0.2</v>
          </cell>
          <cell r="AT1670">
            <v>-0.04</v>
          </cell>
          <cell r="AU1670">
            <v>0.92</v>
          </cell>
          <cell r="AV1670">
            <v>20</v>
          </cell>
          <cell r="AZ1670">
            <v>0.2</v>
          </cell>
          <cell r="BA1670">
            <v>0.2</v>
          </cell>
        </row>
        <row r="1671">
          <cell r="A1671" t="str">
            <v>METAL.SER.PLAST. DI CESARE GROSSI</v>
          </cell>
          <cell r="D1671" t="str">
            <v>VIA APPIA KM 100</v>
          </cell>
          <cell r="E1671" t="str">
            <v>04019</v>
          </cell>
          <cell r="F1671" t="str">
            <v>TERRACINA</v>
          </cell>
          <cell r="G1671" t="str">
            <v>LT</v>
          </cell>
          <cell r="H1671" t="str">
            <v>ITALIA</v>
          </cell>
          <cell r="M1671" t="str">
            <v>UFFICIO ACQUISTI</v>
          </cell>
          <cell r="N1671" t="str">
            <v>0773 702021</v>
          </cell>
          <cell r="O1671" t="str">
            <v>338 4169292</v>
          </cell>
          <cell r="P1671" t="str">
            <v>metalserplast@aruba.it</v>
          </cell>
          <cell r="R1671" t="str">
            <v>BONIFICO BANCARIO, ALLA DATA DELLA NOSTRA CONFERMA D'ORDINE</v>
          </cell>
          <cell r="X1671">
            <v>0.25</v>
          </cell>
          <cell r="Y1671">
            <v>-0.04</v>
          </cell>
          <cell r="AB1671">
            <v>0.25</v>
          </cell>
          <cell r="AC1671">
            <v>0.25</v>
          </cell>
          <cell r="AD1671">
            <v>0.25</v>
          </cell>
          <cell r="AE1671">
            <v>0.25</v>
          </cell>
          <cell r="AF1671">
            <v>0.25</v>
          </cell>
          <cell r="AG1671">
            <v>0.25</v>
          </cell>
          <cell r="AH1671">
            <v>0.25</v>
          </cell>
          <cell r="AI1671">
            <v>0.25</v>
          </cell>
          <cell r="AJ1671">
            <v>0.25</v>
          </cell>
          <cell r="AK1671">
            <v>0.25</v>
          </cell>
          <cell r="AL1671">
            <v>0.25</v>
          </cell>
          <cell r="AM1671">
            <v>0.25</v>
          </cell>
          <cell r="AN1671">
            <v>0.25</v>
          </cell>
          <cell r="AO1671">
            <v>0.25</v>
          </cell>
          <cell r="AP1671">
            <v>0.25</v>
          </cell>
          <cell r="AQ1671">
            <v>0.25</v>
          </cell>
          <cell r="AR1671">
            <v>0.25</v>
          </cell>
          <cell r="AS1671">
            <v>0.25</v>
          </cell>
          <cell r="AT1671">
            <v>-0.04</v>
          </cell>
          <cell r="AU1671">
            <v>0.92</v>
          </cell>
          <cell r="AV1671">
            <v>20</v>
          </cell>
          <cell r="AY1671" t="str">
            <v/>
          </cell>
          <cell r="AZ1671">
            <v>0.25</v>
          </cell>
          <cell r="BA1671">
            <v>0.25</v>
          </cell>
        </row>
        <row r="1672">
          <cell r="A1672" t="str">
            <v>METALBI</v>
          </cell>
          <cell r="D1672" t="str">
            <v>VIA A.GRAMSCI, 1 E</v>
          </cell>
          <cell r="E1672">
            <v>42124</v>
          </cell>
          <cell r="F1672" t="str">
            <v>REGGIO EMILIA</v>
          </cell>
          <cell r="G1672" t="str">
            <v>RE</v>
          </cell>
          <cell r="H1672" t="str">
            <v>ITALIA</v>
          </cell>
          <cell r="I1672" t="str">
            <v>0191800358</v>
          </cell>
          <cell r="J1672" t="str">
            <v>0191800358</v>
          </cell>
          <cell r="M1672" t="str">
            <v>UFFICIO ACQUISTI</v>
          </cell>
          <cell r="N1672" t="str">
            <v>0522 272146</v>
          </cell>
          <cell r="P1672" t="str">
            <v>info@metalbi.it</v>
          </cell>
          <cell r="R1672" t="str">
            <v>BONIFICO BANCARIO, ALLA DATA DELLA NOSTRA CONFERMA D'ORDINE</v>
          </cell>
          <cell r="X1672">
            <v>0.25</v>
          </cell>
          <cell r="Y1672">
            <v>-0.04</v>
          </cell>
          <cell r="AB1672">
            <v>0.25</v>
          </cell>
          <cell r="AC1672">
            <v>0.25</v>
          </cell>
          <cell r="AD1672">
            <v>0.25</v>
          </cell>
          <cell r="AE1672">
            <v>0.25</v>
          </cell>
          <cell r="AF1672">
            <v>0.25</v>
          </cell>
          <cell r="AG1672">
            <v>0.25</v>
          </cell>
          <cell r="AH1672">
            <v>0.25</v>
          </cell>
          <cell r="AI1672">
            <v>0.25</v>
          </cell>
          <cell r="AJ1672">
            <v>0.25</v>
          </cell>
          <cell r="AK1672">
            <v>0.25</v>
          </cell>
          <cell r="AL1672">
            <v>0.25</v>
          </cell>
          <cell r="AM1672">
            <v>0.25</v>
          </cell>
          <cell r="AN1672">
            <v>0.25</v>
          </cell>
          <cell r="AO1672">
            <v>0.25</v>
          </cell>
          <cell r="AP1672">
            <v>0.25</v>
          </cell>
          <cell r="AQ1672">
            <v>0.25</v>
          </cell>
          <cell r="AR1672">
            <v>0.25</v>
          </cell>
          <cell r="AS1672">
            <v>0.25</v>
          </cell>
          <cell r="AT1672">
            <v>-0.04</v>
          </cell>
          <cell r="AU1672">
            <v>0.92</v>
          </cell>
          <cell r="AV1672">
            <v>20</v>
          </cell>
          <cell r="AZ1672">
            <v>0.25</v>
          </cell>
          <cell r="BA1672">
            <v>0.25</v>
          </cell>
        </row>
        <row r="1673">
          <cell r="A1673" t="str">
            <v>METALBI SNC</v>
          </cell>
          <cell r="D1673" t="str">
            <v>VIA A. EINSTEIN, 14</v>
          </cell>
          <cell r="E1673" t="str">
            <v>42027</v>
          </cell>
          <cell r="F1673" t="str">
            <v>MONTECCHIO EMILIA</v>
          </cell>
          <cell r="G1673" t="str">
            <v>RE</v>
          </cell>
          <cell r="H1673" t="str">
            <v>ITALIA</v>
          </cell>
          <cell r="J1673" t="str">
            <v>01991800358 </v>
          </cell>
          <cell r="M1673" t="str">
            <v>UFFICIO ACQUISTI</v>
          </cell>
          <cell r="N1673" t="str">
            <v>0522 863571</v>
          </cell>
          <cell r="P1673" t="str">
            <v>info@metalbi.it</v>
          </cell>
          <cell r="R1673" t="str">
            <v>BONIFICO BANCARIO, ALLA DATA DELLA NOSTRA CONFERMA D'ORDINE</v>
          </cell>
          <cell r="X1673">
            <v>0.25</v>
          </cell>
          <cell r="Y1673">
            <v>-0.04</v>
          </cell>
          <cell r="AB1673">
            <v>0.25</v>
          </cell>
          <cell r="AC1673">
            <v>0.25</v>
          </cell>
          <cell r="AD1673">
            <v>0.25</v>
          </cell>
          <cell r="AE1673">
            <v>0.25</v>
          </cell>
          <cell r="AF1673">
            <v>0.25</v>
          </cell>
          <cell r="AG1673">
            <v>0.25</v>
          </cell>
          <cell r="AH1673">
            <v>0.25</v>
          </cell>
          <cell r="AI1673">
            <v>0.25</v>
          </cell>
          <cell r="AJ1673">
            <v>0.25</v>
          </cell>
          <cell r="AK1673">
            <v>0.25</v>
          </cell>
          <cell r="AL1673">
            <v>0.25</v>
          </cell>
          <cell r="AM1673">
            <v>0.25</v>
          </cell>
          <cell r="AN1673">
            <v>0.25</v>
          </cell>
          <cell r="AO1673">
            <v>0.25</v>
          </cell>
          <cell r="AP1673">
            <v>0.25</v>
          </cell>
          <cell r="AQ1673">
            <v>0.25</v>
          </cell>
          <cell r="AR1673">
            <v>0.25</v>
          </cell>
          <cell r="AS1673">
            <v>0.25</v>
          </cell>
          <cell r="AT1673">
            <v>-0.04</v>
          </cell>
          <cell r="AU1673">
            <v>0.92</v>
          </cell>
          <cell r="AV1673">
            <v>20</v>
          </cell>
          <cell r="AY1673" t="str">
            <v/>
          </cell>
          <cell r="AZ1673">
            <v>0.25</v>
          </cell>
          <cell r="BA1673">
            <v>0.25</v>
          </cell>
        </row>
        <row r="1674">
          <cell r="A1674" t="str">
            <v>METALCISTERNA84 SRL</v>
          </cell>
          <cell r="B1674" t="str">
            <v>ZOELLO NOCIONI RESP.LE</v>
          </cell>
          <cell r="D1674" t="str">
            <v>VIA DELLA QUAGLIA SNC (Z.I.)</v>
          </cell>
          <cell r="E1674" t="str">
            <v>04012</v>
          </cell>
          <cell r="F1674" t="str">
            <v>CISTERNA DI LATINA</v>
          </cell>
          <cell r="G1674" t="str">
            <v>LT</v>
          </cell>
          <cell r="H1674" t="str">
            <v>ITALIA</v>
          </cell>
          <cell r="M1674" t="str">
            <v>UFFICIO ACQUISTI</v>
          </cell>
          <cell r="N1674" t="str">
            <v>06 9695445</v>
          </cell>
          <cell r="O1674" t="str">
            <v>337 403025 RESP.TECNICO ZOELLO NOCIONI</v>
          </cell>
          <cell r="P1674" t="str">
            <v>info@metalcisterna.it</v>
          </cell>
          <cell r="R1674" t="str">
            <v>BONIFICO BANCARIO, ALLA DATA DELLA NOSTRA CONFERMA D'ORDINE</v>
          </cell>
          <cell r="X1674">
            <v>0.2</v>
          </cell>
          <cell r="Y1674">
            <v>-0.04</v>
          </cell>
          <cell r="AB1674">
            <v>0.2</v>
          </cell>
          <cell r="AC1674">
            <v>0.2</v>
          </cell>
          <cell r="AD1674">
            <v>0.2</v>
          </cell>
          <cell r="AE1674">
            <v>0.2</v>
          </cell>
          <cell r="AF1674">
            <v>0.2</v>
          </cell>
          <cell r="AG1674">
            <v>0.2</v>
          </cell>
          <cell r="AH1674">
            <v>0.2</v>
          </cell>
          <cell r="AI1674">
            <v>0.2</v>
          </cell>
          <cell r="AJ1674">
            <v>0.2</v>
          </cell>
          <cell r="AK1674">
            <v>0.2</v>
          </cell>
          <cell r="AL1674">
            <v>0.2</v>
          </cell>
          <cell r="AM1674">
            <v>0.2</v>
          </cell>
          <cell r="AN1674">
            <v>0.2</v>
          </cell>
          <cell r="AO1674">
            <v>0.2</v>
          </cell>
          <cell r="AP1674">
            <v>0.2</v>
          </cell>
          <cell r="AQ1674">
            <v>0.2</v>
          </cell>
          <cell r="AR1674">
            <v>0.2</v>
          </cell>
          <cell r="AS1674">
            <v>0.2</v>
          </cell>
          <cell r="AT1674">
            <v>-0.04</v>
          </cell>
          <cell r="AU1674">
            <v>0.92</v>
          </cell>
          <cell r="AV1674">
            <v>20</v>
          </cell>
          <cell r="AZ1674">
            <v>0.2</v>
          </cell>
          <cell r="BA1674">
            <v>0.2</v>
          </cell>
        </row>
        <row r="1675">
          <cell r="A1675" t="str">
            <v>METALCX DEI F.LLI CORNA SNC</v>
          </cell>
          <cell r="D1675" t="str">
            <v>VIA BIANCANA, 1</v>
          </cell>
          <cell r="E1675" t="str">
            <v>25030</v>
          </cell>
          <cell r="F1675" t="str">
            <v>PARATICO</v>
          </cell>
          <cell r="G1675" t="str">
            <v>BS</v>
          </cell>
          <cell r="H1675" t="str">
            <v>ITALIA</v>
          </cell>
          <cell r="J1675" t="str">
            <v>03501930170</v>
          </cell>
          <cell r="M1675" t="str">
            <v>UFFICIO ACQUISTI</v>
          </cell>
          <cell r="N1675" t="str">
            <v>035 913704</v>
          </cell>
          <cell r="P1675" t="str">
            <v>metalcx@libero.it</v>
          </cell>
          <cell r="R1675" t="str">
            <v>BONIFICO BANCARIO, ALLA DATA DELLA NOSTRA CONFERMA D'ORDINE</v>
          </cell>
          <cell r="X1675">
            <v>0.2</v>
          </cell>
          <cell r="Y1675">
            <v>-0.04</v>
          </cell>
          <cell r="AB1675">
            <v>0.2</v>
          </cell>
          <cell r="AC1675">
            <v>0.2</v>
          </cell>
          <cell r="AD1675">
            <v>0.2</v>
          </cell>
          <cell r="AE1675">
            <v>0.2</v>
          </cell>
          <cell r="AF1675">
            <v>0.2</v>
          </cell>
          <cell r="AG1675">
            <v>0.2</v>
          </cell>
          <cell r="AH1675">
            <v>0.2</v>
          </cell>
          <cell r="AI1675">
            <v>0.2</v>
          </cell>
          <cell r="AJ1675">
            <v>0.2</v>
          </cell>
          <cell r="AK1675">
            <v>0.2</v>
          </cell>
          <cell r="AL1675">
            <v>0.2</v>
          </cell>
          <cell r="AM1675">
            <v>0.2</v>
          </cell>
          <cell r="AN1675">
            <v>0.2</v>
          </cell>
          <cell r="AO1675">
            <v>0.2</v>
          </cell>
          <cell r="AP1675">
            <v>0.2</v>
          </cell>
          <cell r="AQ1675">
            <v>0.2</v>
          </cell>
          <cell r="AR1675">
            <v>0.2</v>
          </cell>
          <cell r="AS1675">
            <v>0.2</v>
          </cell>
          <cell r="AT1675">
            <v>-0.04</v>
          </cell>
          <cell r="AU1675">
            <v>0.92</v>
          </cell>
          <cell r="AV1675">
            <v>20</v>
          </cell>
          <cell r="AZ1675">
            <v>0.2</v>
          </cell>
          <cell r="BA1675">
            <v>0.2</v>
          </cell>
        </row>
        <row r="1676">
          <cell r="A1676" t="str">
            <v>METALEGNO DI MANCA DAVIDE</v>
          </cell>
          <cell r="D1676" t="str">
            <v>REG.GALBONEDDU, 24</v>
          </cell>
          <cell r="E1676" t="str">
            <v>07041</v>
          </cell>
          <cell r="F1676" t="str">
            <v>ALGHERO</v>
          </cell>
          <cell r="G1676" t="str">
            <v>SS</v>
          </cell>
          <cell r="H1676" t="str">
            <v>ITALIA</v>
          </cell>
          <cell r="M1676" t="str">
            <v>UFFICIO ACQUISTI</v>
          </cell>
          <cell r="N1676" t="str">
            <v>079 953372</v>
          </cell>
          <cell r="P1676" t="str">
            <v>metalegnoddm@alice.it</v>
          </cell>
          <cell r="R1676" t="str">
            <v>BONIFICO BANCARIO, ALLA DATA DELLA NOSTRA CONFERMA D'ORDINE</v>
          </cell>
          <cell r="X1676">
            <v>0.2</v>
          </cell>
          <cell r="Y1676">
            <v>-0.04</v>
          </cell>
          <cell r="AB1676">
            <v>0.2</v>
          </cell>
          <cell r="AC1676">
            <v>0.2</v>
          </cell>
          <cell r="AD1676">
            <v>0.2</v>
          </cell>
          <cell r="AE1676">
            <v>0.2</v>
          </cell>
          <cell r="AF1676">
            <v>0.2</v>
          </cell>
          <cell r="AG1676">
            <v>0.2</v>
          </cell>
          <cell r="AH1676">
            <v>0.2</v>
          </cell>
          <cell r="AI1676">
            <v>0.2</v>
          </cell>
          <cell r="AJ1676">
            <v>0.2</v>
          </cell>
          <cell r="AK1676">
            <v>0.2</v>
          </cell>
          <cell r="AL1676">
            <v>0.2</v>
          </cell>
          <cell r="AM1676">
            <v>0.2</v>
          </cell>
          <cell r="AN1676">
            <v>0.2</v>
          </cell>
          <cell r="AO1676">
            <v>0.2</v>
          </cell>
          <cell r="AP1676">
            <v>0.2</v>
          </cell>
          <cell r="AQ1676">
            <v>0.2</v>
          </cell>
          <cell r="AR1676">
            <v>0.2</v>
          </cell>
          <cell r="AS1676">
            <v>0.2</v>
          </cell>
          <cell r="AT1676">
            <v>-0.04</v>
          </cell>
          <cell r="AU1676">
            <v>0.92</v>
          </cell>
          <cell r="AV1676">
            <v>20</v>
          </cell>
          <cell r="AZ1676">
            <v>0.2</v>
          </cell>
          <cell r="BA1676">
            <v>0.2</v>
          </cell>
        </row>
        <row r="1677">
          <cell r="A1677" t="str">
            <v>METALINFISSI  MORONGIU RENZO</v>
          </cell>
          <cell r="B1677" t="str">
            <v>SOLO BIGLIETTO DA VISITA</v>
          </cell>
          <cell r="D1677" t="str">
            <v>VIA LAZIO, 51</v>
          </cell>
          <cell r="E1677" t="str">
            <v>09013</v>
          </cell>
          <cell r="F1677" t="str">
            <v>CARBONIA</v>
          </cell>
          <cell r="G1677" t="str">
            <v>CI</v>
          </cell>
          <cell r="H1677" t="str">
            <v>ITALIA</v>
          </cell>
          <cell r="M1677" t="str">
            <v>UFFICIO ACQUISTI</v>
          </cell>
          <cell r="N1677" t="str">
            <v xml:space="preserve">0781 673904 </v>
          </cell>
          <cell r="O1677" t="str">
            <v>328 0196433</v>
          </cell>
          <cell r="P1677" t="str">
            <v>metalinfissi@tiscali.it</v>
          </cell>
          <cell r="R1677" t="str">
            <v>BONIFICO BANCARIO, ALLA DATA DELLA NOSTRA CONFERMA D'ORDINE</v>
          </cell>
          <cell r="X1677">
            <v>0.25</v>
          </cell>
          <cell r="Y1677">
            <v>-0.04</v>
          </cell>
          <cell r="AB1677">
            <v>0.25</v>
          </cell>
          <cell r="AC1677">
            <v>0.25</v>
          </cell>
          <cell r="AD1677">
            <v>0.25</v>
          </cell>
          <cell r="AE1677">
            <v>0.25</v>
          </cell>
          <cell r="AF1677">
            <v>0.25</v>
          </cell>
          <cell r="AG1677">
            <v>0.25</v>
          </cell>
          <cell r="AH1677">
            <v>0.25</v>
          </cell>
          <cell r="AI1677">
            <v>0.25</v>
          </cell>
          <cell r="AJ1677">
            <v>0.25</v>
          </cell>
          <cell r="AK1677">
            <v>0.25</v>
          </cell>
          <cell r="AL1677">
            <v>0.25</v>
          </cell>
          <cell r="AM1677">
            <v>0.25</v>
          </cell>
          <cell r="AN1677">
            <v>0.25</v>
          </cell>
          <cell r="AO1677">
            <v>0.25</v>
          </cell>
          <cell r="AP1677">
            <v>0.25</v>
          </cell>
          <cell r="AQ1677">
            <v>0.25</v>
          </cell>
          <cell r="AR1677">
            <v>0.25</v>
          </cell>
          <cell r="AS1677">
            <v>0.25</v>
          </cell>
          <cell r="AT1677">
            <v>-0.04</v>
          </cell>
          <cell r="AU1677">
            <v>0.92</v>
          </cell>
          <cell r="AV1677">
            <v>20</v>
          </cell>
          <cell r="AZ1677">
            <v>0.25</v>
          </cell>
          <cell r="BA1677">
            <v>0.25</v>
          </cell>
        </row>
        <row r="1678">
          <cell r="A1678" t="str">
            <v>METALINFISSI 2G SRL F.LLI GUARAVACCARO ANGELO E GIOVANNI</v>
          </cell>
          <cell r="D1678" t="str">
            <v>VIA CADUTI DI NASSIRYA, 60</v>
          </cell>
          <cell r="E1678" t="str">
            <v>70124</v>
          </cell>
          <cell r="F1678" t="str">
            <v>BARI</v>
          </cell>
          <cell r="G1678" t="str">
            <v>BA</v>
          </cell>
          <cell r="H1678" t="str">
            <v>ITALIA</v>
          </cell>
          <cell r="M1678" t="str">
            <v>UFFICIO ACQUISTI</v>
          </cell>
          <cell r="N1678" t="str">
            <v>080 5061451</v>
          </cell>
          <cell r="O1678" t="str">
            <v>335 7508455 ANGELO   335 7508456 GIOVANNI</v>
          </cell>
          <cell r="P1678" t="str">
            <v>metalinfissi2g@libero.it</v>
          </cell>
          <cell r="R1678" t="str">
            <v>BONIFICO BANCARIO, ALLA DATA DELLA NOSTRA CONFERMA D'ORDINE</v>
          </cell>
          <cell r="X1678">
            <v>0.2</v>
          </cell>
          <cell r="Y1678">
            <v>-0.04</v>
          </cell>
          <cell r="AB1678">
            <v>0.2</v>
          </cell>
          <cell r="AC1678">
            <v>0.2</v>
          </cell>
          <cell r="AD1678">
            <v>0.2</v>
          </cell>
          <cell r="AE1678">
            <v>0.2</v>
          </cell>
          <cell r="AF1678">
            <v>0.2</v>
          </cell>
          <cell r="AG1678">
            <v>0.2</v>
          </cell>
          <cell r="AH1678">
            <v>0.2</v>
          </cell>
          <cell r="AI1678">
            <v>0.2</v>
          </cell>
          <cell r="AJ1678">
            <v>0.2</v>
          </cell>
          <cell r="AK1678">
            <v>0.2</v>
          </cell>
          <cell r="AL1678">
            <v>0.2</v>
          </cell>
          <cell r="AM1678">
            <v>0.2</v>
          </cell>
          <cell r="AN1678">
            <v>0.2</v>
          </cell>
          <cell r="AO1678">
            <v>0.2</v>
          </cell>
          <cell r="AP1678">
            <v>0.2</v>
          </cell>
          <cell r="AQ1678">
            <v>0.2</v>
          </cell>
          <cell r="AR1678">
            <v>0.2</v>
          </cell>
          <cell r="AS1678">
            <v>0.2</v>
          </cell>
          <cell r="AT1678">
            <v>-0.04</v>
          </cell>
          <cell r="AU1678">
            <v>0.92</v>
          </cell>
          <cell r="AV1678">
            <v>20</v>
          </cell>
          <cell r="AZ1678">
            <v>0.2</v>
          </cell>
          <cell r="BA1678">
            <v>0.2</v>
          </cell>
        </row>
        <row r="1679">
          <cell r="A1679" t="str">
            <v>METALINFISSI DI LANCIONI E MOZZONI SNC</v>
          </cell>
          <cell r="B1679" t="str">
            <v>MOZZONI GIANCARLO</v>
          </cell>
          <cell r="D1679" t="str">
            <v>VIA DELL'INDUSTRIA 20</v>
          </cell>
          <cell r="E1679" t="str">
            <v>62017</v>
          </cell>
          <cell r="F1679" t="str">
            <v>PORTO RECANATI</v>
          </cell>
          <cell r="G1679" t="str">
            <v>MC</v>
          </cell>
          <cell r="H1679" t="str">
            <v>ITALIA</v>
          </cell>
          <cell r="M1679" t="str">
            <v>UFFICIO ACQUISTI</v>
          </cell>
          <cell r="N1679" t="str">
            <v>071 7590661</v>
          </cell>
          <cell r="R1679" t="str">
            <v>BONIFICO BANCARIO, ALLA DATA DELLA NOSTRA CONFERMA D'ORDINE</v>
          </cell>
          <cell r="X1679">
            <v>0.25</v>
          </cell>
          <cell r="Y1679">
            <v>-0.04</v>
          </cell>
          <cell r="AB1679">
            <v>0.25</v>
          </cell>
          <cell r="AC1679">
            <v>0.25</v>
          </cell>
          <cell r="AD1679">
            <v>0.25</v>
          </cell>
          <cell r="AE1679">
            <v>0.25</v>
          </cell>
          <cell r="AF1679">
            <v>0.25</v>
          </cell>
          <cell r="AG1679">
            <v>0.25</v>
          </cell>
          <cell r="AH1679">
            <v>0.25</v>
          </cell>
          <cell r="AI1679">
            <v>0.25</v>
          </cell>
          <cell r="AJ1679">
            <v>0.25</v>
          </cell>
          <cell r="AK1679">
            <v>0.25</v>
          </cell>
          <cell r="AL1679">
            <v>0.25</v>
          </cell>
          <cell r="AM1679">
            <v>0.25</v>
          </cell>
          <cell r="AN1679">
            <v>0.25</v>
          </cell>
          <cell r="AO1679">
            <v>0.25</v>
          </cell>
          <cell r="AP1679">
            <v>0.25</v>
          </cell>
          <cell r="AQ1679">
            <v>0.25</v>
          </cell>
          <cell r="AR1679">
            <v>0.25</v>
          </cell>
          <cell r="AS1679">
            <v>0.25</v>
          </cell>
          <cell r="AT1679">
            <v>-0.04</v>
          </cell>
          <cell r="AU1679">
            <v>0.92</v>
          </cell>
          <cell r="AV1679">
            <v>20</v>
          </cell>
          <cell r="AY1679" t="str">
            <v/>
          </cell>
          <cell r="AZ1679">
            <v>0.25</v>
          </cell>
          <cell r="BA1679">
            <v>0.25</v>
          </cell>
        </row>
        <row r="1680">
          <cell r="A1680" t="str">
            <v>METALINFISSI SRL</v>
          </cell>
          <cell r="D1680" t="str">
            <v>VIA LUIGI EINAUDI 23</v>
          </cell>
          <cell r="E1680" t="str">
            <v>06049</v>
          </cell>
          <cell r="F1680" t="str">
            <v>SPOLETO</v>
          </cell>
          <cell r="G1680" t="str">
            <v>PG</v>
          </cell>
          <cell r="H1680" t="str">
            <v>ITALIA</v>
          </cell>
          <cell r="M1680" t="str">
            <v>UFFICIO ACQUISTI</v>
          </cell>
          <cell r="N1680" t="str">
            <v>0743 48496</v>
          </cell>
          <cell r="O1680" t="str">
            <v>348 0037130 - 348 2231179</v>
          </cell>
          <cell r="P1680" t="str">
            <v>info@metalinfissispoleto.it</v>
          </cell>
          <cell r="R1680" t="str">
            <v>BONIFICO BANCARIO, ALLA DATA DELLA NOSTRA CONFERMA D'ORDINE</v>
          </cell>
          <cell r="X1680">
            <v>0.25</v>
          </cell>
          <cell r="Y1680">
            <v>-0.04</v>
          </cell>
          <cell r="AB1680">
            <v>0.25</v>
          </cell>
          <cell r="AC1680">
            <v>0.25</v>
          </cell>
          <cell r="AD1680">
            <v>0.25</v>
          </cell>
          <cell r="AE1680">
            <v>0.25</v>
          </cell>
          <cell r="AF1680">
            <v>0.25</v>
          </cell>
          <cell r="AG1680">
            <v>0.25</v>
          </cell>
          <cell r="AH1680">
            <v>0.25</v>
          </cell>
          <cell r="AI1680">
            <v>0.25</v>
          </cell>
          <cell r="AJ1680">
            <v>0.25</v>
          </cell>
          <cell r="AK1680">
            <v>0.25</v>
          </cell>
          <cell r="AL1680">
            <v>0.25</v>
          </cell>
          <cell r="AM1680">
            <v>0.25</v>
          </cell>
          <cell r="AN1680">
            <v>0.25</v>
          </cell>
          <cell r="AO1680">
            <v>0.25</v>
          </cell>
          <cell r="AP1680">
            <v>0.25</v>
          </cell>
          <cell r="AQ1680">
            <v>0.25</v>
          </cell>
          <cell r="AR1680">
            <v>0.25</v>
          </cell>
          <cell r="AS1680">
            <v>0.25</v>
          </cell>
          <cell r="AT1680">
            <v>-0.04</v>
          </cell>
          <cell r="AU1680">
            <v>0.92</v>
          </cell>
          <cell r="AV1680">
            <v>20</v>
          </cell>
          <cell r="AY1680" t="str">
            <v/>
          </cell>
          <cell r="AZ1680">
            <v>0.25</v>
          </cell>
          <cell r="BA1680">
            <v>0.25</v>
          </cell>
        </row>
        <row r="1681">
          <cell r="A1681" t="str">
            <v>METALLBAU GÜNTER MAJOWSKI GMBH</v>
          </cell>
          <cell r="B1681" t="str">
            <v>RIVENDITORE AQUASTOP</v>
          </cell>
          <cell r="D1681" t="str">
            <v>KOHLENSTR. 64</v>
          </cell>
          <cell r="E1681" t="str">
            <v>28217</v>
          </cell>
          <cell r="F1681" t="str">
            <v>BREMEN</v>
          </cell>
          <cell r="H1681" t="str">
            <v>GERMANIA</v>
          </cell>
          <cell r="J1681" t="str">
            <v>DE 319355985</v>
          </cell>
          <cell r="K1681" t="str">
            <v>XXXXXXX</v>
          </cell>
          <cell r="M1681" t="str">
            <v>UFFICIO ACQUISTI</v>
          </cell>
          <cell r="N1681" t="str">
            <v>+49 4213808379</v>
          </cell>
          <cell r="P1681" t="str">
            <v>info@metallbau-majowski.de</v>
          </cell>
          <cell r="R1681" t="str">
            <v>BANKÜBERWEISUNG, AM DATUM UNSERER AUFTRAGSBESTÄTIGUNG</v>
          </cell>
          <cell r="X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cell r="AO1681">
            <v>0</v>
          </cell>
          <cell r="AP1681">
            <v>0</v>
          </cell>
          <cell r="AQ1681">
            <v>0</v>
          </cell>
          <cell r="AR1681">
            <v>0</v>
          </cell>
          <cell r="AS1681">
            <v>0</v>
          </cell>
          <cell r="AU1681">
            <v>0.84</v>
          </cell>
          <cell r="AV1681">
            <v>20</v>
          </cell>
          <cell r="AZ1681">
            <v>0</v>
          </cell>
          <cell r="BA1681">
            <v>0</v>
          </cell>
        </row>
        <row r="1682">
          <cell r="A1682" t="str">
            <v>METALLEGNO</v>
          </cell>
          <cell r="D1682" t="str">
            <v>VIA EMILA 4</v>
          </cell>
          <cell r="E1682">
            <v>56021</v>
          </cell>
          <cell r="F1682" t="str">
            <v>CASCINA</v>
          </cell>
          <cell r="G1682" t="str">
            <v>PI</v>
          </cell>
          <cell r="H1682" t="str">
            <v>ITALIA</v>
          </cell>
          <cell r="M1682" t="str">
            <v>UFFICIO ACQUISTI</v>
          </cell>
          <cell r="R1682" t="str">
            <v>BONIFICO BANCARIO, ALLA DATA DELLA NOSTRA CONFERMA D'ORDINE</v>
          </cell>
          <cell r="X1682">
            <v>0.25</v>
          </cell>
          <cell r="Y1682">
            <v>-0.04</v>
          </cell>
          <cell r="AB1682">
            <v>0.25</v>
          </cell>
          <cell r="AC1682">
            <v>0.25</v>
          </cell>
          <cell r="AD1682">
            <v>0.25</v>
          </cell>
          <cell r="AE1682">
            <v>0.25</v>
          </cell>
          <cell r="AF1682">
            <v>0.25</v>
          </cell>
          <cell r="AG1682">
            <v>0.25</v>
          </cell>
          <cell r="AH1682">
            <v>0.25</v>
          </cell>
          <cell r="AI1682">
            <v>0.25</v>
          </cell>
          <cell r="AJ1682">
            <v>0.25</v>
          </cell>
          <cell r="AK1682">
            <v>0.25</v>
          </cell>
          <cell r="AL1682">
            <v>0.25</v>
          </cell>
          <cell r="AM1682">
            <v>0.25</v>
          </cell>
          <cell r="AN1682">
            <v>0.25</v>
          </cell>
          <cell r="AO1682">
            <v>0.25</v>
          </cell>
          <cell r="AP1682">
            <v>0.25</v>
          </cell>
          <cell r="AQ1682">
            <v>0.25</v>
          </cell>
          <cell r="AR1682">
            <v>0.25</v>
          </cell>
          <cell r="AS1682">
            <v>0.25</v>
          </cell>
          <cell r="AT1682">
            <v>-0.04</v>
          </cell>
          <cell r="AU1682">
            <v>0.92</v>
          </cell>
          <cell r="AV1682">
            <v>20</v>
          </cell>
          <cell r="AY1682" t="str">
            <v/>
          </cell>
          <cell r="AZ1682">
            <v>0.25</v>
          </cell>
          <cell r="BA1682">
            <v>0.25</v>
          </cell>
        </row>
        <row r="1683">
          <cell r="A1683" t="str">
            <v>METALLEGNO DI PATROCINIO B.</v>
          </cell>
          <cell r="B1683" t="str">
            <v>FACEVANO TAVOLE DI LEGNO</v>
          </cell>
          <cell r="D1683" t="str">
            <v>VIA P.RETI, 10</v>
          </cell>
          <cell r="E1683">
            <v>16151</v>
          </cell>
          <cell r="F1683" t="str">
            <v>GENOVA</v>
          </cell>
          <cell r="G1683" t="str">
            <v>GE</v>
          </cell>
          <cell r="H1683" t="str">
            <v>ITALIA</v>
          </cell>
          <cell r="I1683" t="str">
            <v>PTRSTL40C02H645K</v>
          </cell>
          <cell r="J1683" t="str">
            <v>00044160109</v>
          </cell>
          <cell r="M1683" t="str">
            <v>UFFICIO ACQUISTI</v>
          </cell>
          <cell r="N1683" t="str">
            <v>010 6459970</v>
          </cell>
          <cell r="R1683" t="str">
            <v>BONIFICO BANCARIO, ALLA DATA DELLA NOSTRA CONFERMA D'ORDINE</v>
          </cell>
          <cell r="X1683">
            <v>0.25</v>
          </cell>
          <cell r="Y1683">
            <v>-0.04</v>
          </cell>
          <cell r="AB1683">
            <v>0.25</v>
          </cell>
          <cell r="AC1683">
            <v>0.25</v>
          </cell>
          <cell r="AD1683">
            <v>0.25</v>
          </cell>
          <cell r="AE1683">
            <v>0.25</v>
          </cell>
          <cell r="AF1683">
            <v>0.25</v>
          </cell>
          <cell r="AG1683">
            <v>0.25</v>
          </cell>
          <cell r="AH1683">
            <v>0.25</v>
          </cell>
          <cell r="AI1683">
            <v>0.25</v>
          </cell>
          <cell r="AJ1683">
            <v>0.25</v>
          </cell>
          <cell r="AK1683">
            <v>0.25</v>
          </cell>
          <cell r="AL1683">
            <v>0.25</v>
          </cell>
          <cell r="AM1683">
            <v>0.25</v>
          </cell>
          <cell r="AN1683">
            <v>0.25</v>
          </cell>
          <cell r="AO1683">
            <v>0.25</v>
          </cell>
          <cell r="AP1683">
            <v>0.25</v>
          </cell>
          <cell r="AQ1683">
            <v>0.25</v>
          </cell>
          <cell r="AR1683">
            <v>0.25</v>
          </cell>
          <cell r="AS1683">
            <v>0.25</v>
          </cell>
          <cell r="AT1683">
            <v>-0.04</v>
          </cell>
          <cell r="AU1683">
            <v>0.92</v>
          </cell>
          <cell r="AV1683">
            <v>20</v>
          </cell>
          <cell r="AY1683" t="str">
            <v/>
          </cell>
          <cell r="AZ1683">
            <v>0.25</v>
          </cell>
          <cell r="BA1683">
            <v>0.25</v>
          </cell>
        </row>
        <row r="1684">
          <cell r="A1684" t="str">
            <v>METALLICA SRL</v>
          </cell>
          <cell r="B1684" t="str">
            <v>NON COMPRERA' MAI</v>
          </cell>
          <cell r="D1684" t="str">
            <v>VIA NAZIONALE, 56</v>
          </cell>
          <cell r="E1684" t="str">
            <v>33026</v>
          </cell>
          <cell r="F1684" t="str">
            <v xml:space="preserve">PALUZZA </v>
          </cell>
          <cell r="G1684" t="str">
            <v>UD</v>
          </cell>
          <cell r="H1684" t="str">
            <v>ITALIA</v>
          </cell>
          <cell r="M1684" t="str">
            <v>UFFICIO ACQUISTI</v>
          </cell>
          <cell r="N1684" t="str">
            <v>0433 775010</v>
          </cell>
          <cell r="O1684" t="str">
            <v>329 3704602</v>
          </cell>
          <cell r="P1684" t="str">
            <v>mara@metallica-srl.it</v>
          </cell>
          <cell r="R1684" t="str">
            <v>BONIFICO BANCARIO, ALLA DATA DELLA NOSTRA CONFERMA D'ORDINE</v>
          </cell>
          <cell r="X1684">
            <v>0.25</v>
          </cell>
          <cell r="Y1684">
            <v>-0.04</v>
          </cell>
          <cell r="AB1684">
            <v>0.25</v>
          </cell>
          <cell r="AC1684">
            <v>0.25</v>
          </cell>
          <cell r="AD1684">
            <v>0.25</v>
          </cell>
          <cell r="AE1684">
            <v>0.25</v>
          </cell>
          <cell r="AF1684">
            <v>0.25</v>
          </cell>
          <cell r="AG1684">
            <v>0.25</v>
          </cell>
          <cell r="AH1684">
            <v>0.25</v>
          </cell>
          <cell r="AI1684">
            <v>0.25</v>
          </cell>
          <cell r="AJ1684">
            <v>0.25</v>
          </cell>
          <cell r="AK1684">
            <v>0.25</v>
          </cell>
          <cell r="AL1684">
            <v>0.25</v>
          </cell>
          <cell r="AM1684">
            <v>0.25</v>
          </cell>
          <cell r="AN1684">
            <v>0.25</v>
          </cell>
          <cell r="AO1684">
            <v>0.25</v>
          </cell>
          <cell r="AP1684">
            <v>0.25</v>
          </cell>
          <cell r="AQ1684">
            <v>0.25</v>
          </cell>
          <cell r="AR1684">
            <v>0.25</v>
          </cell>
          <cell r="AS1684">
            <v>0.25</v>
          </cell>
          <cell r="AT1684">
            <v>-0.04</v>
          </cell>
          <cell r="AU1684">
            <v>0.92</v>
          </cell>
          <cell r="AV1684">
            <v>20</v>
          </cell>
          <cell r="AY1684" t="str">
            <v/>
          </cell>
          <cell r="AZ1684">
            <v>0.25</v>
          </cell>
          <cell r="BA1684">
            <v>0.25</v>
          </cell>
        </row>
        <row r="1685">
          <cell r="A1685" t="str">
            <v>METALMECCANICA DI NATALE BARILLA'</v>
          </cell>
          <cell r="D1685" t="str">
            <v>VIA CORVO, 26 ARCHI</v>
          </cell>
          <cell r="E1685">
            <v>89121</v>
          </cell>
          <cell r="F1685" t="str">
            <v>REGGIO CALABRIA</v>
          </cell>
          <cell r="G1685" t="str">
            <v>RC</v>
          </cell>
          <cell r="H1685" t="str">
            <v>ITALIA</v>
          </cell>
          <cell r="I1685" t="str">
            <v>BRLNTL51A01H224T</v>
          </cell>
          <cell r="J1685" t="str">
            <v>00602660805</v>
          </cell>
          <cell r="K1685" t="str">
            <v>W7YVJK9</v>
          </cell>
          <cell r="M1685" t="str">
            <v>UFFICIO ACQUISTI</v>
          </cell>
          <cell r="N1685" t="str">
            <v>0965 43058</v>
          </cell>
          <cell r="O1685" t="str">
            <v>336 684816</v>
          </cell>
          <cell r="P1685" t="str">
            <v>barillanatale@alice.it</v>
          </cell>
          <cell r="R1685" t="str">
            <v>BONIFICO BANCARIO, ALLA DATA DELLA NOSTRA CONFERMA D'ORDINE</v>
          </cell>
          <cell r="X1685">
            <v>0.25</v>
          </cell>
          <cell r="Y1685">
            <v>-0.04</v>
          </cell>
          <cell r="AB1685">
            <v>0.25</v>
          </cell>
          <cell r="AC1685">
            <v>0.25</v>
          </cell>
          <cell r="AD1685">
            <v>0.25</v>
          </cell>
          <cell r="AE1685">
            <v>0.25</v>
          </cell>
          <cell r="AF1685">
            <v>0.25</v>
          </cell>
          <cell r="AG1685">
            <v>0.25</v>
          </cell>
          <cell r="AH1685">
            <v>0.25</v>
          </cell>
          <cell r="AI1685">
            <v>0.25</v>
          </cell>
          <cell r="AJ1685">
            <v>0.25</v>
          </cell>
          <cell r="AK1685">
            <v>0.25</v>
          </cell>
          <cell r="AL1685">
            <v>0.25</v>
          </cell>
          <cell r="AM1685">
            <v>0.25</v>
          </cell>
          <cell r="AN1685">
            <v>0.25</v>
          </cell>
          <cell r="AO1685">
            <v>0.25</v>
          </cell>
          <cell r="AP1685">
            <v>0.25</v>
          </cell>
          <cell r="AQ1685">
            <v>0.25</v>
          </cell>
          <cell r="AR1685">
            <v>0.25</v>
          </cell>
          <cell r="AS1685">
            <v>0.25</v>
          </cell>
          <cell r="AT1685">
            <v>-0.04</v>
          </cell>
          <cell r="AU1685">
            <v>0.92</v>
          </cell>
          <cell r="AV1685">
            <v>20</v>
          </cell>
          <cell r="AW1685" t="str">
            <v>PIETRO OLIVADOTI</v>
          </cell>
          <cell r="AX1685">
            <v>0.95</v>
          </cell>
          <cell r="AY1685" t="str">
            <v/>
          </cell>
          <cell r="AZ1685">
            <v>0.25</v>
          </cell>
          <cell r="BA1685">
            <v>0.25</v>
          </cell>
        </row>
        <row r="1686">
          <cell r="A1686" t="str">
            <v>METALMECCANICA PIGA DI PIGA STELVIO</v>
          </cell>
          <cell r="D1686" t="str">
            <v>VIA ALDO MORO SNC</v>
          </cell>
          <cell r="E1686" t="str">
            <v>00055</v>
          </cell>
          <cell r="F1686" t="str">
            <v>LADISPOLI</v>
          </cell>
          <cell r="G1686" t="str">
            <v>RM</v>
          </cell>
          <cell r="H1686" t="str">
            <v>ITALIA</v>
          </cell>
          <cell r="M1686" t="str">
            <v>UFFICIO ACQUISTI</v>
          </cell>
          <cell r="N1686" t="str">
            <v>06 9910892</v>
          </cell>
          <cell r="R1686" t="str">
            <v>BONIFICO BANCARIO, ALLA DATA DELLA NOSTRA CONFERMA D'ORDINE</v>
          </cell>
          <cell r="X1686">
            <v>0.25</v>
          </cell>
          <cell r="Y1686">
            <v>-0.04</v>
          </cell>
          <cell r="AB1686">
            <v>0.25</v>
          </cell>
          <cell r="AC1686">
            <v>0.25</v>
          </cell>
          <cell r="AD1686">
            <v>0.25</v>
          </cell>
          <cell r="AE1686">
            <v>0.25</v>
          </cell>
          <cell r="AF1686">
            <v>0.25</v>
          </cell>
          <cell r="AG1686">
            <v>0.25</v>
          </cell>
          <cell r="AH1686">
            <v>0.25</v>
          </cell>
          <cell r="AI1686">
            <v>0.25</v>
          </cell>
          <cell r="AJ1686">
            <v>0.25</v>
          </cell>
          <cell r="AK1686">
            <v>0.25</v>
          </cell>
          <cell r="AL1686">
            <v>0.25</v>
          </cell>
          <cell r="AM1686">
            <v>0.25</v>
          </cell>
          <cell r="AN1686">
            <v>0.25</v>
          </cell>
          <cell r="AO1686">
            <v>0.25</v>
          </cell>
          <cell r="AP1686">
            <v>0.25</v>
          </cell>
          <cell r="AQ1686">
            <v>0.25</v>
          </cell>
          <cell r="AR1686">
            <v>0.25</v>
          </cell>
          <cell r="AS1686">
            <v>0.25</v>
          </cell>
          <cell r="AT1686">
            <v>-0.04</v>
          </cell>
          <cell r="AU1686">
            <v>0.92</v>
          </cell>
          <cell r="AV1686">
            <v>20</v>
          </cell>
          <cell r="AY1686" t="str">
            <v/>
          </cell>
          <cell r="AZ1686">
            <v>0.25</v>
          </cell>
          <cell r="BA1686">
            <v>0.25</v>
          </cell>
        </row>
        <row r="1687">
          <cell r="A1687" t="str">
            <v>METALPAG SNC DI CRESCENTINI GIUSEPPE &amp; C</v>
          </cell>
          <cell r="D1687" t="str">
            <v>VIA ALBERA, 45</v>
          </cell>
          <cell r="E1687" t="str">
            <v>25060</v>
          </cell>
          <cell r="F1687" t="str">
            <v xml:space="preserve">S.VIGILIO DI CONCESIO </v>
          </cell>
          <cell r="G1687" t="str">
            <v>BS</v>
          </cell>
          <cell r="H1687" t="str">
            <v>ITALIA</v>
          </cell>
          <cell r="M1687" t="str">
            <v>UFFICIO ACQUISTI</v>
          </cell>
          <cell r="N1687" t="str">
            <v>030 2752344</v>
          </cell>
          <cell r="O1687" t="str">
            <v>329 6935812</v>
          </cell>
          <cell r="P1687" t="str">
            <v>metalpag@tin.it</v>
          </cell>
          <cell r="R1687" t="str">
            <v>BONIFICO BANCARIO, ALLA DATA DELLA NOSTRA CONFERMA D'ORDINE</v>
          </cell>
          <cell r="X1687">
            <v>0.2</v>
          </cell>
          <cell r="Y1687">
            <v>-0.04</v>
          </cell>
          <cell r="AB1687">
            <v>0.2</v>
          </cell>
          <cell r="AC1687">
            <v>0.2</v>
          </cell>
          <cell r="AD1687">
            <v>0.2</v>
          </cell>
          <cell r="AE1687">
            <v>0.2</v>
          </cell>
          <cell r="AF1687">
            <v>0.2</v>
          </cell>
          <cell r="AG1687">
            <v>0.2</v>
          </cell>
          <cell r="AH1687">
            <v>0.2</v>
          </cell>
          <cell r="AI1687">
            <v>0.2</v>
          </cell>
          <cell r="AJ1687">
            <v>0.2</v>
          </cell>
          <cell r="AK1687">
            <v>0.2</v>
          </cell>
          <cell r="AL1687">
            <v>0.2</v>
          </cell>
          <cell r="AM1687">
            <v>0.2</v>
          </cell>
          <cell r="AN1687">
            <v>0.2</v>
          </cell>
          <cell r="AO1687">
            <v>0.2</v>
          </cell>
          <cell r="AP1687">
            <v>0.2</v>
          </cell>
          <cell r="AQ1687">
            <v>0.2</v>
          </cell>
          <cell r="AR1687">
            <v>0.2</v>
          </cell>
          <cell r="AS1687">
            <v>0.2</v>
          </cell>
          <cell r="AT1687">
            <v>-0.04</v>
          </cell>
          <cell r="AU1687">
            <v>0.92</v>
          </cell>
          <cell r="AV1687">
            <v>20</v>
          </cell>
          <cell r="AZ1687">
            <v>0.2</v>
          </cell>
          <cell r="BA1687">
            <v>0.2</v>
          </cell>
        </row>
        <row r="1688">
          <cell r="A1688" t="str">
            <v>METALPIOMBO S.R.L.</v>
          </cell>
          <cell r="D1688" t="str">
            <v>VIA TOSCANA, 33  35</v>
          </cell>
          <cell r="E1688" t="str">
            <v>56025</v>
          </cell>
          <cell r="F1688" t="str">
            <v>PONTEDERA</v>
          </cell>
          <cell r="G1688" t="str">
            <v>PI</v>
          </cell>
          <cell r="H1688" t="str">
            <v>ITALIA</v>
          </cell>
          <cell r="J1688" t="str">
            <v>00959350505</v>
          </cell>
          <cell r="M1688" t="str">
            <v>UFFICIO ACQUISTI</v>
          </cell>
          <cell r="N1688" t="str">
            <v>0587 292856</v>
          </cell>
          <cell r="P1688" t="str">
            <v>info@metalpiombo.it - ilaria.commerciale@metalpiombo.it</v>
          </cell>
          <cell r="R1688" t="str">
            <v>BONIFICO BANCARIO, ALLA DATA DELLA NOSTRA CONFERMA D'ORDINE</v>
          </cell>
          <cell r="X1688">
            <v>0.25</v>
          </cell>
          <cell r="Y1688">
            <v>-0.04</v>
          </cell>
          <cell r="AB1688">
            <v>0.25</v>
          </cell>
          <cell r="AC1688">
            <v>0.25</v>
          </cell>
          <cell r="AD1688">
            <v>0.25</v>
          </cell>
          <cell r="AE1688">
            <v>0.25</v>
          </cell>
          <cell r="AF1688">
            <v>0.25</v>
          </cell>
          <cell r="AG1688">
            <v>0.25</v>
          </cell>
          <cell r="AH1688">
            <v>0.25</v>
          </cell>
          <cell r="AI1688">
            <v>0.25</v>
          </cell>
          <cell r="AJ1688">
            <v>0.25</v>
          </cell>
          <cell r="AK1688">
            <v>0.25</v>
          </cell>
          <cell r="AL1688">
            <v>0.25</v>
          </cell>
          <cell r="AM1688">
            <v>0.25</v>
          </cell>
          <cell r="AN1688">
            <v>0.25</v>
          </cell>
          <cell r="AO1688">
            <v>0.25</v>
          </cell>
          <cell r="AP1688">
            <v>0.25</v>
          </cell>
          <cell r="AQ1688">
            <v>0.25</v>
          </cell>
          <cell r="AR1688">
            <v>0.25</v>
          </cell>
          <cell r="AS1688">
            <v>0.25</v>
          </cell>
          <cell r="AT1688">
            <v>-0.04</v>
          </cell>
          <cell r="AU1688">
            <v>0.92</v>
          </cell>
          <cell r="AV1688">
            <v>20</v>
          </cell>
          <cell r="AY1688" t="str">
            <v/>
          </cell>
          <cell r="AZ1688">
            <v>0.25</v>
          </cell>
          <cell r="BA1688">
            <v>0.25</v>
          </cell>
        </row>
        <row r="1689">
          <cell r="A1689" t="str">
            <v>METALPLAST DI PIOVACARI GIORGIO E LUCIA SNC</v>
          </cell>
          <cell r="D1689" t="str">
            <v>VIA NETTUNENSE, 194</v>
          </cell>
          <cell r="E1689" t="str">
            <v>04011</v>
          </cell>
          <cell r="F1689" t="str">
            <v>APRILIA</v>
          </cell>
          <cell r="G1689" t="str">
            <v>LT</v>
          </cell>
          <cell r="H1689" t="str">
            <v>ITALIA</v>
          </cell>
          <cell r="M1689" t="str">
            <v>UFFICIO ACQUISTI</v>
          </cell>
          <cell r="N1689" t="str">
            <v>06 92703369</v>
          </cell>
          <cell r="O1689" t="str">
            <v>393 9040546</v>
          </cell>
          <cell r="P1689" t="str">
            <v>metalplastsnc@libero.it</v>
          </cell>
          <cell r="R1689" t="str">
            <v>BONIFICO BANCARIO, ALLA DATA DELLA NOSTRA CONFERMA D'ORDINE</v>
          </cell>
          <cell r="X1689">
            <v>0.2</v>
          </cell>
          <cell r="Y1689">
            <v>-0.04</v>
          </cell>
          <cell r="AB1689">
            <v>0.2</v>
          </cell>
          <cell r="AC1689">
            <v>0.2</v>
          </cell>
          <cell r="AD1689">
            <v>0.2</v>
          </cell>
          <cell r="AE1689">
            <v>0.2</v>
          </cell>
          <cell r="AF1689">
            <v>0.2</v>
          </cell>
          <cell r="AG1689">
            <v>0.2</v>
          </cell>
          <cell r="AH1689">
            <v>0.2</v>
          </cell>
          <cell r="AI1689">
            <v>0.2</v>
          </cell>
          <cell r="AJ1689">
            <v>0.2</v>
          </cell>
          <cell r="AK1689">
            <v>0.2</v>
          </cell>
          <cell r="AL1689">
            <v>0.2</v>
          </cell>
          <cell r="AM1689">
            <v>0.2</v>
          </cell>
          <cell r="AN1689">
            <v>0.2</v>
          </cell>
          <cell r="AO1689">
            <v>0.2</v>
          </cell>
          <cell r="AP1689">
            <v>0.2</v>
          </cell>
          <cell r="AQ1689">
            <v>0.2</v>
          </cell>
          <cell r="AR1689">
            <v>0.2</v>
          </cell>
          <cell r="AS1689">
            <v>0.2</v>
          </cell>
          <cell r="AT1689">
            <v>-0.04</v>
          </cell>
          <cell r="AU1689">
            <v>0.92</v>
          </cell>
          <cell r="AV1689">
            <v>20</v>
          </cell>
          <cell r="AZ1689">
            <v>0.2</v>
          </cell>
          <cell r="BA1689">
            <v>0.2</v>
          </cell>
        </row>
        <row r="1690">
          <cell r="A1690" t="str">
            <v>METALPROGET</v>
          </cell>
          <cell r="D1690" t="str">
            <v>VIA NUVOLONE, 11</v>
          </cell>
          <cell r="E1690" t="str">
            <v>18018</v>
          </cell>
          <cell r="F1690" t="str">
            <v>ARMA DI TAGGIA</v>
          </cell>
          <cell r="G1690" t="str">
            <v>IM</v>
          </cell>
          <cell r="H1690" t="str">
            <v>ITALIA</v>
          </cell>
          <cell r="J1690" t="str">
            <v>00772130084</v>
          </cell>
          <cell r="K1690" t="str">
            <v>M5UXCR1</v>
          </cell>
          <cell r="M1690" t="str">
            <v>UFFICIO ACQUISTI</v>
          </cell>
          <cell r="N1690" t="str">
            <v>0184 462110</v>
          </cell>
          <cell r="O1690" t="str">
            <v>392 9474419</v>
          </cell>
          <cell r="P1690" t="str">
            <v>metalproget@gmail.com</v>
          </cell>
          <cell r="R1690" t="str">
            <v>BONIFICO BANCARIO, ALLA DATA DELLA NOSTRA CONFERMA D'ORDINE</v>
          </cell>
          <cell r="X1690">
            <v>0.25</v>
          </cell>
          <cell r="Y1690">
            <v>-0.04</v>
          </cell>
          <cell r="AB1690">
            <v>0.25</v>
          </cell>
          <cell r="AC1690">
            <v>0.25</v>
          </cell>
          <cell r="AD1690">
            <v>0.25</v>
          </cell>
          <cell r="AE1690">
            <v>0.25</v>
          </cell>
          <cell r="AF1690">
            <v>0.25</v>
          </cell>
          <cell r="AG1690">
            <v>0.25</v>
          </cell>
          <cell r="AH1690">
            <v>0.25</v>
          </cell>
          <cell r="AI1690">
            <v>0.25</v>
          </cell>
          <cell r="AJ1690">
            <v>0.25</v>
          </cell>
          <cell r="AK1690">
            <v>0.25</v>
          </cell>
          <cell r="AL1690">
            <v>0.25</v>
          </cell>
          <cell r="AM1690">
            <v>0.25</v>
          </cell>
          <cell r="AN1690">
            <v>0.25</v>
          </cell>
          <cell r="AO1690">
            <v>0.25</v>
          </cell>
          <cell r="AP1690">
            <v>0.25</v>
          </cell>
          <cell r="AQ1690">
            <v>0.25</v>
          </cell>
          <cell r="AR1690">
            <v>0.25</v>
          </cell>
          <cell r="AS1690">
            <v>0.25</v>
          </cell>
          <cell r="AT1690">
            <v>-0.04</v>
          </cell>
          <cell r="AU1690">
            <v>0.92</v>
          </cell>
          <cell r="AV1690">
            <v>20</v>
          </cell>
          <cell r="AY1690" t="str">
            <v/>
          </cell>
          <cell r="AZ1690">
            <v>0.25</v>
          </cell>
          <cell r="BA1690">
            <v>0.25</v>
          </cell>
        </row>
        <row r="1691">
          <cell r="A1691" t="str">
            <v>METALSITI S.A.S.</v>
          </cell>
          <cell r="D1691" t="str">
            <v>VIA DELL'ARTIGIANATO, 2E</v>
          </cell>
          <cell r="E1691" t="str">
            <v>37057</v>
          </cell>
          <cell r="F1691" t="str">
            <v>SAN GIOVANNI LUPATOTO</v>
          </cell>
          <cell r="G1691" t="str">
            <v>VR</v>
          </cell>
          <cell r="H1691" t="str">
            <v>ITALIA</v>
          </cell>
          <cell r="J1691" t="str">
            <v>02141920237</v>
          </cell>
          <cell r="K1691" t="str">
            <v>W7YVJK9</v>
          </cell>
          <cell r="M1691" t="str">
            <v>UFFICIO ACQUISTI</v>
          </cell>
          <cell r="N1691" t="str">
            <v>045 9251590</v>
          </cell>
          <cell r="O1691" t="str">
            <v>340 5779954 MARCONI ALBERTO</v>
          </cell>
          <cell r="P1691" t="str">
            <v>info@metalsiti.it</v>
          </cell>
          <cell r="R1691" t="str">
            <v>BONIFICO BANCARIO, ALLA DATA DELLA NOSTRA CONFERMA D'ORDINE</v>
          </cell>
          <cell r="X1691">
            <v>0.2</v>
          </cell>
          <cell r="AB1691">
            <v>0.2</v>
          </cell>
          <cell r="AC1691">
            <v>0.2</v>
          </cell>
          <cell r="AD1691">
            <v>0.2</v>
          </cell>
          <cell r="AE1691">
            <v>0.2</v>
          </cell>
          <cell r="AF1691">
            <v>0.2</v>
          </cell>
          <cell r="AG1691">
            <v>0.2</v>
          </cell>
          <cell r="AH1691">
            <v>0.2</v>
          </cell>
          <cell r="AI1691">
            <v>0.2</v>
          </cell>
          <cell r="AJ1691">
            <v>0.2</v>
          </cell>
          <cell r="AK1691">
            <v>0.2</v>
          </cell>
          <cell r="AL1691">
            <v>0.2</v>
          </cell>
          <cell r="AM1691">
            <v>0.2</v>
          </cell>
          <cell r="AN1691">
            <v>0.2</v>
          </cell>
          <cell r="AO1691">
            <v>0.2</v>
          </cell>
          <cell r="AP1691">
            <v>0.2</v>
          </cell>
          <cell r="AQ1691">
            <v>0.2</v>
          </cell>
          <cell r="AR1691">
            <v>0.2</v>
          </cell>
          <cell r="AS1691">
            <v>0.2</v>
          </cell>
          <cell r="AT1691">
            <v>0</v>
          </cell>
          <cell r="AU1691">
            <v>0.92</v>
          </cell>
          <cell r="AV1691">
            <v>20</v>
          </cell>
          <cell r="AZ1691">
            <v>0.2</v>
          </cell>
          <cell r="BA1691">
            <v>0.2</v>
          </cell>
          <cell r="BF1691" t="str">
            <v>CLICK RAPID con espositore 20/07/2022 - MODERNA con espositore 20/07/2022</v>
          </cell>
        </row>
        <row r="1692">
          <cell r="A1692" t="str">
            <v>METALSUD DI CASTRONOVO G. E C. SNC</v>
          </cell>
          <cell r="D1692" t="str">
            <v>VIA GENUARDI, 2</v>
          </cell>
          <cell r="E1692" t="str">
            <v>91100</v>
          </cell>
          <cell r="F1692" t="str">
            <v>TRAPANI</v>
          </cell>
          <cell r="G1692" t="str">
            <v>TP</v>
          </cell>
          <cell r="H1692" t="str">
            <v>ITALIA</v>
          </cell>
          <cell r="J1692" t="str">
            <v>01834470815</v>
          </cell>
          <cell r="K1692" t="str">
            <v>T9K4ZHO</v>
          </cell>
          <cell r="M1692" t="str">
            <v>UFFICIO ACQUISTI</v>
          </cell>
          <cell r="O1692" t="str">
            <v>329 4321648</v>
          </cell>
          <cell r="P1692" t="str">
            <v>info@metalsudserramenti.it</v>
          </cell>
          <cell r="R1692" t="str">
            <v>BONIFICO BANCARIO, ALLA DATA DELLA NOSTRA CONFERMA D'ORDINE</v>
          </cell>
          <cell r="X1692">
            <v>0.25</v>
          </cell>
          <cell r="Y1692">
            <v>-0.04</v>
          </cell>
          <cell r="AB1692">
            <v>0.25</v>
          </cell>
          <cell r="AC1692">
            <v>0.25</v>
          </cell>
          <cell r="AD1692">
            <v>0.25</v>
          </cell>
          <cell r="AE1692">
            <v>0.25</v>
          </cell>
          <cell r="AF1692">
            <v>0.25</v>
          </cell>
          <cell r="AG1692">
            <v>0.25</v>
          </cell>
          <cell r="AH1692">
            <v>0.25</v>
          </cell>
          <cell r="AI1692">
            <v>0.25</v>
          </cell>
          <cell r="AJ1692">
            <v>0.25</v>
          </cell>
          <cell r="AK1692">
            <v>0.25</v>
          </cell>
          <cell r="AL1692">
            <v>0.25</v>
          </cell>
          <cell r="AM1692">
            <v>0.25</v>
          </cell>
          <cell r="AN1692">
            <v>0.25</v>
          </cell>
          <cell r="AO1692">
            <v>0.25</v>
          </cell>
          <cell r="AP1692">
            <v>0.25</v>
          </cell>
          <cell r="AQ1692">
            <v>0.25</v>
          </cell>
          <cell r="AR1692">
            <v>0.25</v>
          </cell>
          <cell r="AS1692">
            <v>0.25</v>
          </cell>
          <cell r="AT1692">
            <v>-0.04</v>
          </cell>
          <cell r="AU1692">
            <v>0.92</v>
          </cell>
          <cell r="AV1692">
            <v>20</v>
          </cell>
          <cell r="AY1692" t="str">
            <v/>
          </cell>
          <cell r="AZ1692">
            <v>0.25</v>
          </cell>
          <cell r="BA1692">
            <v>0.25</v>
          </cell>
        </row>
        <row r="1693">
          <cell r="A1693" t="str">
            <v>METALSUD SAS</v>
          </cell>
          <cell r="D1693" t="str">
            <v>VIA MONTE TORTONA 31</v>
          </cell>
          <cell r="E1693" t="str">
            <v>04024</v>
          </cell>
          <cell r="F1693" t="str">
            <v>GAETA</v>
          </cell>
          <cell r="G1693" t="str">
            <v>LT</v>
          </cell>
          <cell r="H1693" t="str">
            <v>ITALIA</v>
          </cell>
          <cell r="J1693" t="str">
            <v>01435140593</v>
          </cell>
          <cell r="M1693" t="str">
            <v>UFFICIO ACQUISTI</v>
          </cell>
          <cell r="N1693" t="str">
            <v>347 5023831</v>
          </cell>
          <cell r="P1693" t="str">
            <v>metalsudap@libero.it</v>
          </cell>
          <cell r="R1693" t="str">
            <v>BONIFICO BANCARIO, ALLA DATA DELLA NOSTRA CONFERMA D'ORDINE</v>
          </cell>
          <cell r="X1693">
            <v>0.25</v>
          </cell>
          <cell r="Y1693">
            <v>-0.04</v>
          </cell>
          <cell r="AB1693">
            <v>0.25</v>
          </cell>
          <cell r="AC1693">
            <v>0.25</v>
          </cell>
          <cell r="AD1693">
            <v>0.25</v>
          </cell>
          <cell r="AE1693">
            <v>0.25</v>
          </cell>
          <cell r="AF1693">
            <v>0.25</v>
          </cell>
          <cell r="AG1693">
            <v>0.25</v>
          </cell>
          <cell r="AH1693">
            <v>0.25</v>
          </cell>
          <cell r="AI1693">
            <v>0.25</v>
          </cell>
          <cell r="AJ1693">
            <v>0.25</v>
          </cell>
          <cell r="AK1693">
            <v>0.25</v>
          </cell>
          <cell r="AL1693">
            <v>0.25</v>
          </cell>
          <cell r="AM1693">
            <v>0.25</v>
          </cell>
          <cell r="AN1693">
            <v>0.25</v>
          </cell>
          <cell r="AO1693">
            <v>0.25</v>
          </cell>
          <cell r="AP1693">
            <v>0.25</v>
          </cell>
          <cell r="AQ1693">
            <v>0.25</v>
          </cell>
          <cell r="AR1693">
            <v>0.25</v>
          </cell>
          <cell r="AS1693">
            <v>0.25</v>
          </cell>
          <cell r="AT1693">
            <v>-0.04</v>
          </cell>
          <cell r="AU1693">
            <v>0.92</v>
          </cell>
          <cell r="AV1693">
            <v>20</v>
          </cell>
          <cell r="AY1693" t="str">
            <v/>
          </cell>
          <cell r="AZ1693">
            <v>0.25</v>
          </cell>
          <cell r="BA1693">
            <v>0.25</v>
          </cell>
        </row>
        <row r="1694">
          <cell r="A1694" t="str">
            <v>METALSYSTEM SERRAMENTI</v>
          </cell>
          <cell r="B1694" t="str">
            <v>HANNO USATO ACQUASTOP 05/12 NO RISP 14/12 DICE CHE NON LO TRATTANO. CONOSCE ACQUASTOP MA NON TRATTANO PRODOTTO. MANDO MAIL INFO CMQ. PARLATO CON ANNALISA</v>
          </cell>
          <cell r="D1694" t="str">
            <v>PIAZZALE PARENZO, 1R</v>
          </cell>
          <cell r="E1694" t="str">
            <v>16139</v>
          </cell>
          <cell r="F1694" t="str">
            <v>GENOVA</v>
          </cell>
          <cell r="G1694" t="str">
            <v>GE</v>
          </cell>
          <cell r="H1694" t="str">
            <v>ITALIA</v>
          </cell>
          <cell r="M1694" t="str">
            <v>UFFICIO ACQUISTI</v>
          </cell>
          <cell r="N1694" t="str">
            <v>010 872010</v>
          </cell>
          <cell r="P1694" t="str">
            <v>info@metalsystemserramenti.com</v>
          </cell>
          <cell r="R1694" t="str">
            <v>BONIFICO BANCARIO, ALLA DATA DELLA NOSTRA CONFERMA D'ORDINE</v>
          </cell>
          <cell r="X1694">
            <v>0.25</v>
          </cell>
          <cell r="Y1694">
            <v>-0.04</v>
          </cell>
          <cell r="AB1694">
            <v>0.25</v>
          </cell>
          <cell r="AC1694">
            <v>0.25</v>
          </cell>
          <cell r="AD1694">
            <v>0.25</v>
          </cell>
          <cell r="AE1694">
            <v>0.25</v>
          </cell>
          <cell r="AF1694">
            <v>0.25</v>
          </cell>
          <cell r="AG1694">
            <v>0.25</v>
          </cell>
          <cell r="AH1694">
            <v>0.25</v>
          </cell>
          <cell r="AI1694">
            <v>0.25</v>
          </cell>
          <cell r="AJ1694">
            <v>0.25</v>
          </cell>
          <cell r="AK1694">
            <v>0.25</v>
          </cell>
          <cell r="AL1694">
            <v>0.25</v>
          </cell>
          <cell r="AM1694">
            <v>0.25</v>
          </cell>
          <cell r="AN1694">
            <v>0.25</v>
          </cell>
          <cell r="AO1694">
            <v>0.25</v>
          </cell>
          <cell r="AP1694">
            <v>0.25</v>
          </cell>
          <cell r="AQ1694">
            <v>0.25</v>
          </cell>
          <cell r="AR1694">
            <v>0.25</v>
          </cell>
          <cell r="AS1694">
            <v>0.25</v>
          </cell>
          <cell r="AT1694">
            <v>-0.04</v>
          </cell>
          <cell r="AU1694">
            <v>0.92</v>
          </cell>
          <cell r="AV1694">
            <v>20</v>
          </cell>
          <cell r="AZ1694">
            <v>0.25</v>
          </cell>
          <cell r="BA1694">
            <v>0.25</v>
          </cell>
        </row>
        <row r="1695">
          <cell r="A1695" t="str">
            <v>METALTECNICA SNC</v>
          </cell>
          <cell r="B1695" t="str">
            <v>SOLO BIGLIETTO DA VISITA  AMM.RE CLAUDIO PUTZU</v>
          </cell>
          <cell r="D1695" t="str">
            <v xml:space="preserve">Z.I.VIA F.SANNA SULIS </v>
          </cell>
          <cell r="E1695" t="str">
            <v>09040</v>
          </cell>
          <cell r="F1695" t="str">
            <v xml:space="preserve">SETTIMO SAN PIETRO </v>
          </cell>
          <cell r="G1695" t="str">
            <v>CA</v>
          </cell>
          <cell r="H1695" t="str">
            <v>ITALIA</v>
          </cell>
          <cell r="M1695" t="str">
            <v>UFFICIO ACQUISTI</v>
          </cell>
          <cell r="N1695" t="str">
            <v>070 782259</v>
          </cell>
          <cell r="P1695" t="str">
            <v>metaltecnica@tiscali.it</v>
          </cell>
          <cell r="R1695" t="str">
            <v>BONIFICO BANCARIO, ALLA DATA DELLA NOSTRA CONFERMA D'ORDINE</v>
          </cell>
          <cell r="X1695">
            <v>0.25</v>
          </cell>
          <cell r="Y1695">
            <v>-0.04</v>
          </cell>
          <cell r="AB1695">
            <v>0.25</v>
          </cell>
          <cell r="AC1695">
            <v>0.25</v>
          </cell>
          <cell r="AD1695">
            <v>0.25</v>
          </cell>
          <cell r="AE1695">
            <v>0.25</v>
          </cell>
          <cell r="AF1695">
            <v>0.25</v>
          </cell>
          <cell r="AG1695">
            <v>0.25</v>
          </cell>
          <cell r="AH1695">
            <v>0.25</v>
          </cell>
          <cell r="AI1695">
            <v>0.25</v>
          </cell>
          <cell r="AJ1695">
            <v>0.25</v>
          </cell>
          <cell r="AK1695">
            <v>0.25</v>
          </cell>
          <cell r="AL1695">
            <v>0.25</v>
          </cell>
          <cell r="AM1695">
            <v>0.25</v>
          </cell>
          <cell r="AN1695">
            <v>0.25</v>
          </cell>
          <cell r="AO1695">
            <v>0.25</v>
          </cell>
          <cell r="AP1695">
            <v>0.25</v>
          </cell>
          <cell r="AQ1695">
            <v>0.25</v>
          </cell>
          <cell r="AR1695">
            <v>0.25</v>
          </cell>
          <cell r="AS1695">
            <v>0.25</v>
          </cell>
          <cell r="AT1695">
            <v>-0.04</v>
          </cell>
          <cell r="AU1695">
            <v>0.92</v>
          </cell>
          <cell r="AV1695">
            <v>20</v>
          </cell>
          <cell r="AZ1695">
            <v>0.25</v>
          </cell>
          <cell r="BA1695">
            <v>0.25</v>
          </cell>
        </row>
        <row r="1696">
          <cell r="A1696" t="str">
            <v>METALVETRO INFISSI</v>
          </cell>
          <cell r="D1696" t="str">
            <v>VIA AZZANELLO 40</v>
          </cell>
          <cell r="E1696" t="str">
            <v>00119</v>
          </cell>
          <cell r="F1696" t="str">
            <v>ROMA</v>
          </cell>
          <cell r="G1696" t="str">
            <v>RM</v>
          </cell>
          <cell r="H1696" t="str">
            <v>ITALIA</v>
          </cell>
          <cell r="J1696" t="str">
            <v>14280151003</v>
          </cell>
          <cell r="M1696" t="str">
            <v>UFFICIO ACQUISTI</v>
          </cell>
          <cell r="N1696" t="str">
            <v>06 5211601</v>
          </cell>
          <cell r="O1696" t="str">
            <v>3921083689</v>
          </cell>
          <cell r="P1696" t="str">
            <v>metalvetroinfissi@gmail.com</v>
          </cell>
          <cell r="R1696" t="str">
            <v>BONIFICO BANCARIO, ALLA DATA DELLA NOSTRA CONFERMA D'ORDINE</v>
          </cell>
          <cell r="X1696">
            <v>0.25</v>
          </cell>
          <cell r="Y1696">
            <v>-0.04</v>
          </cell>
          <cell r="AB1696">
            <v>0.25</v>
          </cell>
          <cell r="AC1696">
            <v>0.25</v>
          </cell>
          <cell r="AD1696">
            <v>0.25</v>
          </cell>
          <cell r="AE1696">
            <v>0.25</v>
          </cell>
          <cell r="AF1696">
            <v>0.25</v>
          </cell>
          <cell r="AG1696">
            <v>0.25</v>
          </cell>
          <cell r="AH1696">
            <v>0.25</v>
          </cell>
          <cell r="AI1696">
            <v>0.25</v>
          </cell>
          <cell r="AJ1696">
            <v>0.25</v>
          </cell>
          <cell r="AK1696">
            <v>0.25</v>
          </cell>
          <cell r="AL1696">
            <v>0.25</v>
          </cell>
          <cell r="AM1696">
            <v>0.25</v>
          </cell>
          <cell r="AN1696">
            <v>0.25</v>
          </cell>
          <cell r="AO1696">
            <v>0.25</v>
          </cell>
          <cell r="AP1696">
            <v>0.25</v>
          </cell>
          <cell r="AQ1696">
            <v>0.25</v>
          </cell>
          <cell r="AR1696">
            <v>0.25</v>
          </cell>
          <cell r="AS1696">
            <v>0.25</v>
          </cell>
          <cell r="AT1696">
            <v>-0.04</v>
          </cell>
          <cell r="AU1696">
            <v>0.92</v>
          </cell>
          <cell r="AV1696">
            <v>20</v>
          </cell>
          <cell r="AY1696" t="str">
            <v/>
          </cell>
          <cell r="AZ1696">
            <v>0.25</v>
          </cell>
          <cell r="BA1696">
            <v>0.25</v>
          </cell>
        </row>
        <row r="1697">
          <cell r="A1697" t="str">
            <v>METHODO PROGETTO CASA DI MARIA VITA</v>
          </cell>
          <cell r="D1697" t="str">
            <v>VIA F FERRER 59</v>
          </cell>
          <cell r="E1697" t="str">
            <v>57025</v>
          </cell>
          <cell r="F1697" t="str">
            <v>PIOMBINO</v>
          </cell>
          <cell r="G1697" t="str">
            <v>LI</v>
          </cell>
          <cell r="H1697" t="str">
            <v>ITALIA</v>
          </cell>
          <cell r="J1697" t="str">
            <v>01849050495</v>
          </cell>
          <cell r="M1697" t="str">
            <v>UFFICIO ACQUISTI</v>
          </cell>
          <cell r="N1697" t="str">
            <v>0565 222402</v>
          </cell>
          <cell r="O1697" t="str">
            <v>393 8923663 - 388 1415673</v>
          </cell>
          <cell r="P1697" t="str">
            <v>mpc.methodoprogettocasa@gmail.com</v>
          </cell>
          <cell r="R1697" t="str">
            <v>BONIFICO BANCARIO, ALLA DATA DELLA NOSTRA CONFERMA D'ORDINE</v>
          </cell>
          <cell r="X1697">
            <v>0.25</v>
          </cell>
          <cell r="Y1697">
            <v>-0.04</v>
          </cell>
          <cell r="AB1697">
            <v>0.25</v>
          </cell>
          <cell r="AC1697">
            <v>0.25</v>
          </cell>
          <cell r="AD1697">
            <v>0.25</v>
          </cell>
          <cell r="AE1697">
            <v>0.25</v>
          </cell>
          <cell r="AF1697">
            <v>0.25</v>
          </cell>
          <cell r="AG1697">
            <v>0.25</v>
          </cell>
          <cell r="AH1697">
            <v>0.25</v>
          </cell>
          <cell r="AI1697">
            <v>0.25</v>
          </cell>
          <cell r="AJ1697">
            <v>0.25</v>
          </cell>
          <cell r="AK1697">
            <v>0.25</v>
          </cell>
          <cell r="AL1697">
            <v>0.25</v>
          </cell>
          <cell r="AM1697">
            <v>0.25</v>
          </cell>
          <cell r="AN1697">
            <v>0.25</v>
          </cell>
          <cell r="AO1697">
            <v>0.25</v>
          </cell>
          <cell r="AP1697">
            <v>0.25</v>
          </cell>
          <cell r="AQ1697">
            <v>0.25</v>
          </cell>
          <cell r="AR1697">
            <v>0.25</v>
          </cell>
          <cell r="AS1697">
            <v>0.25</v>
          </cell>
          <cell r="AT1697">
            <v>-0.04</v>
          </cell>
          <cell r="AU1697">
            <v>0.92</v>
          </cell>
          <cell r="AV1697">
            <v>20</v>
          </cell>
          <cell r="AY1697" t="str">
            <v/>
          </cell>
          <cell r="AZ1697">
            <v>0.25</v>
          </cell>
          <cell r="BA1697">
            <v>0.25</v>
          </cell>
        </row>
        <row r="1698">
          <cell r="A1698" t="str">
            <v>MF SRL</v>
          </cell>
          <cell r="D1698" t="str">
            <v>VIA MARTIGNACCO 25</v>
          </cell>
          <cell r="E1698" t="str">
            <v>33100</v>
          </cell>
          <cell r="F1698" t="str">
            <v>UDINE</v>
          </cell>
          <cell r="G1698" t="str">
            <v>UD</v>
          </cell>
          <cell r="H1698" t="str">
            <v>ITALIA</v>
          </cell>
          <cell r="J1698" t="str">
            <v>02937530307</v>
          </cell>
          <cell r="M1698" t="str">
            <v>UFFICIO ACQUISTI</v>
          </cell>
          <cell r="N1698" t="str">
            <v>0432 1503784</v>
          </cell>
          <cell r="P1698" t="str">
            <v>info@mf-infissi.com</v>
          </cell>
          <cell r="R1698" t="str">
            <v>BONIFICO BANCARIO, ALLA DATA DELLA NOSTRA CONFERMA D'ORDINE</v>
          </cell>
          <cell r="X1698">
            <v>0.25</v>
          </cell>
          <cell r="Y1698">
            <v>-0.04</v>
          </cell>
          <cell r="AB1698">
            <v>0.25</v>
          </cell>
          <cell r="AC1698">
            <v>0.25</v>
          </cell>
          <cell r="AD1698">
            <v>0.25</v>
          </cell>
          <cell r="AE1698">
            <v>0.25</v>
          </cell>
          <cell r="AF1698">
            <v>0.25</v>
          </cell>
          <cell r="AG1698">
            <v>0.25</v>
          </cell>
          <cell r="AH1698">
            <v>0.25</v>
          </cell>
          <cell r="AI1698">
            <v>0.25</v>
          </cell>
          <cell r="AJ1698">
            <v>0.25</v>
          </cell>
          <cell r="AK1698">
            <v>0.25</v>
          </cell>
          <cell r="AL1698">
            <v>0.25</v>
          </cell>
          <cell r="AM1698">
            <v>0.25</v>
          </cell>
          <cell r="AN1698">
            <v>0.25</v>
          </cell>
          <cell r="AO1698">
            <v>0.25</v>
          </cell>
          <cell r="AP1698">
            <v>0.25</v>
          </cell>
          <cell r="AQ1698">
            <v>0.25</v>
          </cell>
          <cell r="AR1698">
            <v>0.25</v>
          </cell>
          <cell r="AS1698">
            <v>0.25</v>
          </cell>
          <cell r="AT1698">
            <v>-0.04</v>
          </cell>
          <cell r="AU1698">
            <v>0.92</v>
          </cell>
          <cell r="AV1698">
            <v>20</v>
          </cell>
          <cell r="AY1698" t="str">
            <v/>
          </cell>
          <cell r="AZ1698">
            <v>0.25</v>
          </cell>
          <cell r="BA1698">
            <v>0.25</v>
          </cell>
        </row>
        <row r="1699">
          <cell r="A1699" t="str">
            <v>MG ALLUMINIO</v>
          </cell>
          <cell r="D1699" t="str">
            <v>VIA ARCO S. ANTONIO, 110 3</v>
          </cell>
          <cell r="E1699" t="str">
            <v>80014</v>
          </cell>
          <cell r="F1699" t="str">
            <v>GIUGLIANO</v>
          </cell>
          <cell r="G1699" t="str">
            <v>NA</v>
          </cell>
          <cell r="H1699" t="str">
            <v>ITALIA</v>
          </cell>
          <cell r="J1699" t="str">
            <v>07583231217</v>
          </cell>
          <cell r="M1699" t="str">
            <v>UFFICIO ACQUISTI</v>
          </cell>
          <cell r="N1699" t="str">
            <v>081 5067829</v>
          </cell>
          <cell r="P1699" t="str">
            <v>info@mgalluminio.it</v>
          </cell>
          <cell r="R1699" t="str">
            <v>BONIFICO BANCARIO, ALLA DATA DELLA NOSTRA CONFERMA D'ORDINE</v>
          </cell>
          <cell r="X1699">
            <v>0.25</v>
          </cell>
          <cell r="Y1699">
            <v>-0.04</v>
          </cell>
          <cell r="AB1699">
            <v>0.25</v>
          </cell>
          <cell r="AC1699">
            <v>0.25</v>
          </cell>
          <cell r="AD1699">
            <v>0.25</v>
          </cell>
          <cell r="AE1699">
            <v>0.25</v>
          </cell>
          <cell r="AF1699">
            <v>0.25</v>
          </cell>
          <cell r="AG1699">
            <v>0.25</v>
          </cell>
          <cell r="AH1699">
            <v>0.25</v>
          </cell>
          <cell r="AI1699">
            <v>0.25</v>
          </cell>
          <cell r="AJ1699">
            <v>0.25</v>
          </cell>
          <cell r="AK1699">
            <v>0.25</v>
          </cell>
          <cell r="AL1699">
            <v>0.25</v>
          </cell>
          <cell r="AM1699">
            <v>0.25</v>
          </cell>
          <cell r="AN1699">
            <v>0.25</v>
          </cell>
          <cell r="AO1699">
            <v>0.25</v>
          </cell>
          <cell r="AP1699">
            <v>0.25</v>
          </cell>
          <cell r="AQ1699">
            <v>0.25</v>
          </cell>
          <cell r="AR1699">
            <v>0.25</v>
          </cell>
          <cell r="AS1699">
            <v>0.25</v>
          </cell>
          <cell r="AT1699">
            <v>-0.04</v>
          </cell>
          <cell r="AU1699">
            <v>0.92</v>
          </cell>
          <cell r="AV1699">
            <v>20</v>
          </cell>
          <cell r="AY1699" t="str">
            <v/>
          </cell>
          <cell r="AZ1699">
            <v>0.25</v>
          </cell>
          <cell r="BA1699">
            <v>0.25</v>
          </cell>
        </row>
        <row r="1700">
          <cell r="A1700" t="str">
            <v>MG LAVORAZIONE METALLI DI BETTELLI MARCO</v>
          </cell>
          <cell r="D1700" t="str">
            <v>VIA MONTANARA, 12/A</v>
          </cell>
          <cell r="E1700" t="str">
            <v>41015</v>
          </cell>
          <cell r="F1700" t="str">
            <v>CASTELNUOVO RANGONE</v>
          </cell>
          <cell r="G1700" t="str">
            <v>MO</v>
          </cell>
          <cell r="H1700" t="str">
            <v>ITALIA</v>
          </cell>
          <cell r="J1700" t="str">
            <v>03575280361</v>
          </cell>
          <cell r="M1700" t="str">
            <v>UFFICIO ACQUISTI</v>
          </cell>
          <cell r="N1700" t="str">
            <v>0595 37178</v>
          </cell>
          <cell r="P1700" t="str">
            <v>info@mglavorazionemetalli.it</v>
          </cell>
          <cell r="R1700" t="str">
            <v>BONIFICO BANCARIO, ALLA DATA DELLA NOSTRA CONFERMA D'ORDINE</v>
          </cell>
          <cell r="X1700">
            <v>0.2</v>
          </cell>
          <cell r="Y1700">
            <v>-0.04</v>
          </cell>
          <cell r="AB1700">
            <v>0.2</v>
          </cell>
          <cell r="AC1700">
            <v>0.2</v>
          </cell>
          <cell r="AD1700">
            <v>0.2</v>
          </cell>
          <cell r="AE1700">
            <v>0.2</v>
          </cell>
          <cell r="AF1700">
            <v>0.2</v>
          </cell>
          <cell r="AG1700">
            <v>0.2</v>
          </cell>
          <cell r="AH1700">
            <v>0.2</v>
          </cell>
          <cell r="AI1700">
            <v>0.2</v>
          </cell>
          <cell r="AJ1700">
            <v>0.2</v>
          </cell>
          <cell r="AK1700">
            <v>0.2</v>
          </cell>
          <cell r="AL1700">
            <v>0.2</v>
          </cell>
          <cell r="AM1700">
            <v>0.2</v>
          </cell>
          <cell r="AN1700">
            <v>0.2</v>
          </cell>
          <cell r="AO1700">
            <v>0.2</v>
          </cell>
          <cell r="AP1700">
            <v>0.2</v>
          </cell>
          <cell r="AQ1700">
            <v>0.2</v>
          </cell>
          <cell r="AR1700">
            <v>0.2</v>
          </cell>
          <cell r="AS1700">
            <v>0.2</v>
          </cell>
          <cell r="AT1700">
            <v>-0.04</v>
          </cell>
          <cell r="AU1700">
            <v>0.9</v>
          </cell>
          <cell r="AV1700">
            <v>20</v>
          </cell>
        </row>
        <row r="1701">
          <cell r="A1701" t="str">
            <v>MG SERRAMENTI DI MOSCHETTA GABRIELE</v>
          </cell>
          <cell r="D1701" t="str">
            <v>LOC BRONDOLC 13/B</v>
          </cell>
          <cell r="E1701" t="str">
            <v>30015</v>
          </cell>
          <cell r="F1701" t="str">
            <v>CHIOGGIA</v>
          </cell>
          <cell r="G1701" t="str">
            <v>VE</v>
          </cell>
          <cell r="H1701" t="str">
            <v>ITALIA</v>
          </cell>
          <cell r="J1701" t="str">
            <v>02687240271</v>
          </cell>
          <cell r="M1701" t="str">
            <v>UFFICIO ACQUISTI</v>
          </cell>
          <cell r="N1701" t="str">
            <v>041 5541844</v>
          </cell>
          <cell r="P1701" t="str">
            <v>info@mgserramenti.it</v>
          </cell>
          <cell r="R1701" t="str">
            <v>BONIFICO BANCARIO, ALLA DATA DELLA NOSTRA CONFERMA D'ORDINE</v>
          </cell>
          <cell r="X1701">
            <v>0.25</v>
          </cell>
          <cell r="Y1701">
            <v>-0.04</v>
          </cell>
          <cell r="AB1701">
            <v>0.25</v>
          </cell>
          <cell r="AC1701">
            <v>0.25</v>
          </cell>
          <cell r="AD1701">
            <v>0.25</v>
          </cell>
          <cell r="AE1701">
            <v>0.25</v>
          </cell>
          <cell r="AF1701">
            <v>0.25</v>
          </cell>
          <cell r="AG1701">
            <v>0.25</v>
          </cell>
          <cell r="AH1701">
            <v>0.25</v>
          </cell>
          <cell r="AI1701">
            <v>0.25</v>
          </cell>
          <cell r="AJ1701">
            <v>0.25</v>
          </cell>
          <cell r="AK1701">
            <v>0.25</v>
          </cell>
          <cell r="AL1701">
            <v>0.25</v>
          </cell>
          <cell r="AM1701">
            <v>0.25</v>
          </cell>
          <cell r="AN1701">
            <v>0.25</v>
          </cell>
          <cell r="AO1701">
            <v>0.25</v>
          </cell>
          <cell r="AP1701">
            <v>0.25</v>
          </cell>
          <cell r="AQ1701">
            <v>0.25</v>
          </cell>
          <cell r="AR1701">
            <v>0.25</v>
          </cell>
          <cell r="AS1701">
            <v>0.25</v>
          </cell>
          <cell r="AT1701">
            <v>-0.04</v>
          </cell>
          <cell r="AU1701">
            <v>0.92</v>
          </cell>
          <cell r="AV1701">
            <v>20</v>
          </cell>
          <cell r="AY1701" t="str">
            <v/>
          </cell>
          <cell r="AZ1701">
            <v>0.25</v>
          </cell>
          <cell r="BA1701">
            <v>0.25</v>
          </cell>
        </row>
        <row r="1702">
          <cell r="A1702" t="str">
            <v>MGM DI LUISA MAMELI</v>
          </cell>
          <cell r="D1702" t="str">
            <v>VIA RIVA VILLASANTA, 133</v>
          </cell>
          <cell r="E1702" t="str">
            <v>09134</v>
          </cell>
          <cell r="F1702" t="str">
            <v>CAGLIARI</v>
          </cell>
          <cell r="G1702" t="str">
            <v>CA</v>
          </cell>
          <cell r="H1702" t="str">
            <v>ITALIA</v>
          </cell>
          <cell r="M1702" t="str">
            <v>UFFICIO ACQUISTI</v>
          </cell>
          <cell r="N1702" t="str">
            <v>070 500810</v>
          </cell>
          <cell r="O1702" t="str">
            <v>349 3126302</v>
          </cell>
          <cell r="P1702" t="str">
            <v>info@mgminfissi.it</v>
          </cell>
          <cell r="R1702" t="str">
            <v>BONIFICO BANCARIO, ALLA DATA DELLA NOSTRA CONFERMA D'ORDINE</v>
          </cell>
          <cell r="X1702">
            <v>0.17</v>
          </cell>
          <cell r="Y1702">
            <v>-0.04</v>
          </cell>
          <cell r="AB1702">
            <v>0.17</v>
          </cell>
          <cell r="AC1702">
            <v>0.17</v>
          </cell>
          <cell r="AD1702">
            <v>0.17</v>
          </cell>
          <cell r="AE1702">
            <v>0.17</v>
          </cell>
          <cell r="AF1702">
            <v>0.17</v>
          </cell>
          <cell r="AG1702">
            <v>0.17</v>
          </cell>
          <cell r="AH1702">
            <v>0.17</v>
          </cell>
          <cell r="AI1702">
            <v>0.17</v>
          </cell>
          <cell r="AJ1702">
            <v>0.17</v>
          </cell>
          <cell r="AK1702">
            <v>0.17</v>
          </cell>
          <cell r="AL1702">
            <v>0.17</v>
          </cell>
          <cell r="AM1702">
            <v>0.17</v>
          </cell>
          <cell r="AN1702">
            <v>0.17</v>
          </cell>
          <cell r="AO1702">
            <v>0.17</v>
          </cell>
          <cell r="AP1702">
            <v>0.17</v>
          </cell>
          <cell r="AQ1702">
            <v>0.17</v>
          </cell>
          <cell r="AR1702">
            <v>0.17</v>
          </cell>
          <cell r="AS1702">
            <v>0.17</v>
          </cell>
          <cell r="AT1702">
            <v>-0.04</v>
          </cell>
          <cell r="AU1702">
            <v>0.92</v>
          </cell>
          <cell r="AV1702">
            <v>20</v>
          </cell>
          <cell r="AZ1702">
            <v>0.17</v>
          </cell>
          <cell r="BA1702">
            <v>0.17</v>
          </cell>
        </row>
        <row r="1703">
          <cell r="A1703" t="str">
            <v>MI.BA</v>
          </cell>
          <cell r="D1703" t="str">
            <v>VIA PIANODARDINE 69</v>
          </cell>
          <cell r="E1703" t="str">
            <v>93042</v>
          </cell>
          <cell r="F1703" t="str">
            <v>ATRIPALDA</v>
          </cell>
          <cell r="G1703" t="str">
            <v>AV</v>
          </cell>
          <cell r="H1703" t="str">
            <v>ITALIA</v>
          </cell>
          <cell r="J1703" t="str">
            <v>01828690642</v>
          </cell>
          <cell r="M1703" t="str">
            <v>UFFICIO ACQUISTI</v>
          </cell>
          <cell r="N1703" t="str">
            <v>0825 625224</v>
          </cell>
          <cell r="P1703" t="str">
            <v>info@mi.ba.it</v>
          </cell>
          <cell r="R1703" t="str">
            <v>BONIFICO BANCARIO, ALLA DATA DELLA NOSTRA CONFERMA D'ORDINE</v>
          </cell>
          <cell r="X1703">
            <v>0.25</v>
          </cell>
          <cell r="Y1703">
            <v>-0.04</v>
          </cell>
          <cell r="AB1703">
            <v>0.25</v>
          </cell>
          <cell r="AC1703">
            <v>0.25</v>
          </cell>
          <cell r="AD1703">
            <v>0.25</v>
          </cell>
          <cell r="AE1703">
            <v>0.25</v>
          </cell>
          <cell r="AF1703">
            <v>0.25</v>
          </cell>
          <cell r="AG1703">
            <v>0.25</v>
          </cell>
          <cell r="AH1703">
            <v>0.25</v>
          </cell>
          <cell r="AI1703">
            <v>0.25</v>
          </cell>
          <cell r="AJ1703">
            <v>0.25</v>
          </cell>
          <cell r="AK1703">
            <v>0.25</v>
          </cell>
          <cell r="AL1703">
            <v>0.25</v>
          </cell>
          <cell r="AM1703">
            <v>0.25</v>
          </cell>
          <cell r="AN1703">
            <v>0.25</v>
          </cell>
          <cell r="AO1703">
            <v>0.25</v>
          </cell>
          <cell r="AP1703">
            <v>0.25</v>
          </cell>
          <cell r="AQ1703">
            <v>0.25</v>
          </cell>
          <cell r="AR1703">
            <v>0.25</v>
          </cell>
          <cell r="AS1703">
            <v>0.25</v>
          </cell>
          <cell r="AT1703">
            <v>-0.04</v>
          </cell>
          <cell r="AU1703">
            <v>0.92</v>
          </cell>
          <cell r="AV1703">
            <v>20</v>
          </cell>
          <cell r="AY1703" t="str">
            <v/>
          </cell>
          <cell r="AZ1703">
            <v>0.25</v>
          </cell>
          <cell r="BA1703">
            <v>0.25</v>
          </cell>
        </row>
        <row r="1704">
          <cell r="A1704" t="str">
            <v xml:space="preserve">MICILLO ALDO </v>
          </cell>
          <cell r="B1704" t="str">
            <v>SIG.LUCIA   NON E' INTERESSATO</v>
          </cell>
          <cell r="D1704" t="str">
            <v>SR. SAN MARTINO, 139</v>
          </cell>
          <cell r="E1704">
            <v>18038</v>
          </cell>
          <cell r="F1704" t="str">
            <v>SANREMO</v>
          </cell>
          <cell r="G1704" t="str">
            <v>IM</v>
          </cell>
          <cell r="H1704" t="str">
            <v>ITALIA</v>
          </cell>
          <cell r="I1704" t="str">
            <v>MCLLDA65A09I138K</v>
          </cell>
          <cell r="J1704" t="str">
            <v>00882430085</v>
          </cell>
          <cell r="M1704" t="str">
            <v>UFFICIO ACQUISTI</v>
          </cell>
          <cell r="N1704" t="str">
            <v>0184 508056</v>
          </cell>
          <cell r="P1704" t="str">
            <v>scm.sanremo@gmail.com</v>
          </cell>
          <cell r="R1704" t="str">
            <v>BONIFICO BANCARIO, ALLA DATA DELLA NOSTRA CONFERMA D'ORDINE</v>
          </cell>
          <cell r="X1704">
            <v>0.25</v>
          </cell>
          <cell r="Y1704">
            <v>-0.04</v>
          </cell>
          <cell r="AB1704">
            <v>0.25</v>
          </cell>
          <cell r="AC1704">
            <v>0.25</v>
          </cell>
          <cell r="AD1704">
            <v>0.25</v>
          </cell>
          <cell r="AE1704">
            <v>0.25</v>
          </cell>
          <cell r="AF1704">
            <v>0.25</v>
          </cell>
          <cell r="AG1704">
            <v>0.25</v>
          </cell>
          <cell r="AH1704">
            <v>0.25</v>
          </cell>
          <cell r="AI1704">
            <v>0.25</v>
          </cell>
          <cell r="AJ1704">
            <v>0.25</v>
          </cell>
          <cell r="AK1704">
            <v>0.25</v>
          </cell>
          <cell r="AL1704">
            <v>0.25</v>
          </cell>
          <cell r="AM1704">
            <v>0.25</v>
          </cell>
          <cell r="AN1704">
            <v>0.25</v>
          </cell>
          <cell r="AO1704">
            <v>0.25</v>
          </cell>
          <cell r="AP1704">
            <v>0.25</v>
          </cell>
          <cell r="AQ1704">
            <v>0.25</v>
          </cell>
          <cell r="AR1704">
            <v>0.25</v>
          </cell>
          <cell r="AS1704">
            <v>0.25</v>
          </cell>
          <cell r="AT1704">
            <v>-0.04</v>
          </cell>
          <cell r="AU1704">
            <v>0.92</v>
          </cell>
          <cell r="AV1704">
            <v>20</v>
          </cell>
          <cell r="AZ1704">
            <v>0.25</v>
          </cell>
          <cell r="BA1704">
            <v>0.25</v>
          </cell>
        </row>
        <row r="1705">
          <cell r="A1705" t="str">
            <v>MICOLINO MAURIZIO</v>
          </cell>
          <cell r="B1705" t="str">
            <v>MARIO</v>
          </cell>
          <cell r="D1705" t="str">
            <v>VIA G.A. CORDON, 14</v>
          </cell>
          <cell r="E1705" t="str">
            <v>34170</v>
          </cell>
          <cell r="F1705" t="str">
            <v>GORIZIA</v>
          </cell>
          <cell r="G1705" t="str">
            <v>GO</v>
          </cell>
          <cell r="H1705" t="str">
            <v>ITALIA</v>
          </cell>
          <cell r="M1705" t="str">
            <v>UFFICIO ACQUISTI</v>
          </cell>
          <cell r="N1705" t="str">
            <v>0481 522588</v>
          </cell>
          <cell r="P1705" t="str">
            <v>milfla@libero.it</v>
          </cell>
          <cell r="R1705" t="str">
            <v>BONIFICO BANCARIO, ALLA DATA DELLA NOSTRA CONFERMA D'ORDINE</v>
          </cell>
          <cell r="X1705">
            <v>0.25</v>
          </cell>
          <cell r="Y1705">
            <v>-0.04</v>
          </cell>
          <cell r="AB1705">
            <v>0.25</v>
          </cell>
          <cell r="AC1705">
            <v>0.25</v>
          </cell>
          <cell r="AD1705">
            <v>0.25</v>
          </cell>
          <cell r="AE1705">
            <v>0.25</v>
          </cell>
          <cell r="AF1705">
            <v>0.25</v>
          </cell>
          <cell r="AG1705">
            <v>0.25</v>
          </cell>
          <cell r="AH1705">
            <v>0.25</v>
          </cell>
          <cell r="AI1705">
            <v>0.25</v>
          </cell>
          <cell r="AJ1705">
            <v>0.25</v>
          </cell>
          <cell r="AK1705">
            <v>0.25</v>
          </cell>
          <cell r="AL1705">
            <v>0.25</v>
          </cell>
          <cell r="AM1705">
            <v>0.25</v>
          </cell>
          <cell r="AN1705">
            <v>0.25</v>
          </cell>
          <cell r="AO1705">
            <v>0.25</v>
          </cell>
          <cell r="AP1705">
            <v>0.25</v>
          </cell>
          <cell r="AQ1705">
            <v>0.25</v>
          </cell>
          <cell r="AR1705">
            <v>0.25</v>
          </cell>
          <cell r="AS1705">
            <v>0.25</v>
          </cell>
          <cell r="AT1705">
            <v>-0.04</v>
          </cell>
          <cell r="AU1705">
            <v>0.92</v>
          </cell>
          <cell r="AV1705">
            <v>20</v>
          </cell>
          <cell r="AY1705" t="str">
            <v/>
          </cell>
          <cell r="AZ1705">
            <v>0.25</v>
          </cell>
          <cell r="BA1705">
            <v>0.25</v>
          </cell>
        </row>
        <row r="1706">
          <cell r="A1706" t="str">
            <v>MICROMATIX SARL</v>
          </cell>
          <cell r="B1706" t="str">
            <v>DISTRIBUTORE JK FLOODING PER LA FRANCIA - PREZZO LANCIO sconto 25% moderna, 20% sugli altri modelli, 35% modi-modu, fino a genn 2022</v>
          </cell>
          <cell r="D1706" t="str">
            <v>2208 ROTE DE GASSE</v>
          </cell>
          <cell r="E1706" t="str">
            <v>06600</v>
          </cell>
          <cell r="F1706" t="str">
            <v>ANTIBES JUAN LES PINS</v>
          </cell>
          <cell r="H1706" t="str">
            <v>FRANCIA</v>
          </cell>
          <cell r="J1706" t="str">
            <v>FR42407533579</v>
          </cell>
          <cell r="K1706" t="str">
            <v>XXXXXXX</v>
          </cell>
          <cell r="M1706" t="str">
            <v>UFFICIO ACQUISTI</v>
          </cell>
          <cell r="N1706" t="str">
            <v>+33 4 92 91 28 68</v>
          </cell>
          <cell r="O1706" t="str">
            <v>+33 609 343628</v>
          </cell>
          <cell r="P1706" t="str">
            <v>g.ronzier@micromatix.fr; s.gasperini@paraflo.fr</v>
          </cell>
          <cell r="R1706" t="str">
            <v>VIREMENT BANCAIRE, À LA DATE DE NOTRE CONFIRMATION DE COMMANDE</v>
          </cell>
          <cell r="X1706">
            <v>0.25</v>
          </cell>
          <cell r="AB1706">
            <v>0.25</v>
          </cell>
          <cell r="AC1706">
            <v>0.25</v>
          </cell>
          <cell r="AD1706">
            <v>0.25</v>
          </cell>
          <cell r="AE1706">
            <v>0.25</v>
          </cell>
          <cell r="AF1706">
            <v>0.25</v>
          </cell>
          <cell r="AG1706">
            <v>0.25</v>
          </cell>
          <cell r="AH1706">
            <v>0.25</v>
          </cell>
          <cell r="AI1706">
            <v>0.25</v>
          </cell>
          <cell r="AJ1706">
            <v>0.25</v>
          </cell>
          <cell r="AK1706">
            <v>0.25</v>
          </cell>
          <cell r="AL1706">
            <v>0.25</v>
          </cell>
          <cell r="AM1706">
            <v>0.25</v>
          </cell>
          <cell r="AN1706">
            <v>0.25</v>
          </cell>
          <cell r="AO1706">
            <v>0.25</v>
          </cell>
          <cell r="AP1706">
            <v>0.25</v>
          </cell>
          <cell r="AQ1706">
            <v>0.25</v>
          </cell>
          <cell r="AR1706">
            <v>0.25</v>
          </cell>
          <cell r="AS1706">
            <v>0.25</v>
          </cell>
          <cell r="AU1706">
            <v>0.86</v>
          </cell>
          <cell r="AV1706">
            <v>20</v>
          </cell>
          <cell r="AZ1706">
            <v>0.25</v>
          </cell>
          <cell r="BA1706">
            <v>0.25</v>
          </cell>
          <cell r="BF1706" t="str">
            <v>CLICK RAPID con espositore 07/09/2022 - MODERNA con espositore 07/09/2022 - MODI con espositore 07/09/2022</v>
          </cell>
        </row>
        <row r="1707">
          <cell r="A1707" t="str">
            <v>MILANI INFISSI DI MILANI MASSIMO</v>
          </cell>
          <cell r="D1707" t="str">
            <v>BORGO SAN GIOVANNI 1161</v>
          </cell>
          <cell r="E1707" t="str">
            <v>30015</v>
          </cell>
          <cell r="F1707" t="str">
            <v>CHIOGGIA</v>
          </cell>
          <cell r="G1707" t="str">
            <v>VE</v>
          </cell>
          <cell r="H1707" t="str">
            <v>ITALIA</v>
          </cell>
          <cell r="J1707" t="str">
            <v>04086750272</v>
          </cell>
          <cell r="M1707" t="str">
            <v>UFFICIO ACQUISTI</v>
          </cell>
          <cell r="N1707" t="str">
            <v>338 3991390</v>
          </cell>
          <cell r="P1707" t="str">
            <v>milani.infissi@gmail.com</v>
          </cell>
          <cell r="R1707" t="str">
            <v>BONIFICO BANCARIO, ALLA DATA DELLA NOSTRA CONFERMA D'ORDINE</v>
          </cell>
          <cell r="X1707">
            <v>0.25</v>
          </cell>
          <cell r="Y1707">
            <v>-0.04</v>
          </cell>
          <cell r="AB1707">
            <v>0.25</v>
          </cell>
          <cell r="AC1707">
            <v>0.25</v>
          </cell>
          <cell r="AD1707">
            <v>0.25</v>
          </cell>
          <cell r="AE1707">
            <v>0.25</v>
          </cell>
          <cell r="AF1707">
            <v>0.25</v>
          </cell>
          <cell r="AG1707">
            <v>0.25</v>
          </cell>
          <cell r="AH1707">
            <v>0.25</v>
          </cell>
          <cell r="AI1707">
            <v>0.25</v>
          </cell>
          <cell r="AJ1707">
            <v>0.25</v>
          </cell>
          <cell r="AK1707">
            <v>0.25</v>
          </cell>
          <cell r="AL1707">
            <v>0.25</v>
          </cell>
          <cell r="AM1707">
            <v>0.25</v>
          </cell>
          <cell r="AN1707">
            <v>0.25</v>
          </cell>
          <cell r="AO1707">
            <v>0.25</v>
          </cell>
          <cell r="AP1707">
            <v>0.25</v>
          </cell>
          <cell r="AQ1707">
            <v>0.25</v>
          </cell>
          <cell r="AR1707">
            <v>0.25</v>
          </cell>
          <cell r="AS1707">
            <v>0.25</v>
          </cell>
          <cell r="AT1707">
            <v>-0.04</v>
          </cell>
          <cell r="AU1707">
            <v>0.92</v>
          </cell>
          <cell r="AV1707">
            <v>20</v>
          </cell>
          <cell r="AY1707" t="str">
            <v/>
          </cell>
          <cell r="AZ1707">
            <v>0.25</v>
          </cell>
          <cell r="BA1707">
            <v>0.25</v>
          </cell>
        </row>
        <row r="1708">
          <cell r="A1708" t="str">
            <v>MILANO RISTRUTTURAZIONE</v>
          </cell>
          <cell r="D1708" t="str">
            <v>VIA ASIAGO 101</v>
          </cell>
          <cell r="F1708" t="str">
            <v>MILANO</v>
          </cell>
          <cell r="G1708" t="str">
            <v>MI</v>
          </cell>
          <cell r="H1708" t="str">
            <v>ITALIA</v>
          </cell>
          <cell r="J1708" t="str">
            <v>09091470964</v>
          </cell>
          <cell r="M1708" t="str">
            <v>UFFICIO ACQUISTI</v>
          </cell>
          <cell r="N1708" t="str">
            <v>02 36558052</v>
          </cell>
          <cell r="O1708" t="str">
            <v>393 8512505 CARLO 392 9045532 DANIELE</v>
          </cell>
          <cell r="R1708" t="str">
            <v>BONIFICO BANCARIO, ALLA DATA DELLA NOSTRA CONFERMA D'ORDINE</v>
          </cell>
          <cell r="X1708">
            <v>0.25</v>
          </cell>
          <cell r="Y1708">
            <v>-0.04</v>
          </cell>
          <cell r="AB1708">
            <v>0.25</v>
          </cell>
          <cell r="AC1708">
            <v>0.25</v>
          </cell>
          <cell r="AD1708">
            <v>0.25</v>
          </cell>
          <cell r="AE1708">
            <v>0.25</v>
          </cell>
          <cell r="AF1708">
            <v>0.25</v>
          </cell>
          <cell r="AG1708">
            <v>0.25</v>
          </cell>
          <cell r="AH1708">
            <v>0.25</v>
          </cell>
          <cell r="AI1708">
            <v>0.25</v>
          </cell>
          <cell r="AJ1708">
            <v>0.25</v>
          </cell>
          <cell r="AK1708">
            <v>0.25</v>
          </cell>
          <cell r="AL1708">
            <v>0.25</v>
          </cell>
          <cell r="AM1708">
            <v>0.25</v>
          </cell>
          <cell r="AN1708">
            <v>0.25</v>
          </cell>
          <cell r="AO1708">
            <v>0.25</v>
          </cell>
          <cell r="AP1708">
            <v>0.25</v>
          </cell>
          <cell r="AQ1708">
            <v>0.25</v>
          </cell>
          <cell r="AR1708">
            <v>0.25</v>
          </cell>
          <cell r="AS1708">
            <v>0.25</v>
          </cell>
          <cell r="AT1708">
            <v>-0.04</v>
          </cell>
          <cell r="AU1708">
            <v>0.92</v>
          </cell>
          <cell r="AV1708">
            <v>20</v>
          </cell>
          <cell r="AY1708" t="str">
            <v/>
          </cell>
          <cell r="AZ1708">
            <v>0.25</v>
          </cell>
          <cell r="BA1708">
            <v>0.25</v>
          </cell>
        </row>
        <row r="1709">
          <cell r="A1709" t="str">
            <v xml:space="preserve">MILGLASS DI DOMENICO ANOBILE E C. SNC </v>
          </cell>
          <cell r="D1709" t="str">
            <v>VIA CAVALLETTO, 2</v>
          </cell>
          <cell r="E1709">
            <v>20161</v>
          </cell>
          <cell r="F1709" t="str">
            <v>MILANO</v>
          </cell>
          <cell r="G1709" t="str">
            <v>MI</v>
          </cell>
          <cell r="H1709" t="str">
            <v>ITALIA</v>
          </cell>
          <cell r="J1709" t="str">
            <v>08813390153</v>
          </cell>
          <cell r="M1709" t="str">
            <v>UFFICIO ACQUISTI</v>
          </cell>
          <cell r="N1709" t="str">
            <v>02 66220627</v>
          </cell>
          <cell r="P1709" t="str">
            <v>milglass.snc@gmail.com</v>
          </cell>
          <cell r="R1709" t="str">
            <v>BONIFICO BANCARIO, ALLA DATA DELLA NOSTRA CONFERMA D'ORDINE</v>
          </cell>
          <cell r="X1709">
            <v>0.25</v>
          </cell>
          <cell r="Y1709">
            <v>-0.04</v>
          </cell>
          <cell r="AB1709">
            <v>0.25</v>
          </cell>
          <cell r="AC1709">
            <v>0.25</v>
          </cell>
          <cell r="AD1709">
            <v>0.25</v>
          </cell>
          <cell r="AE1709">
            <v>0.25</v>
          </cell>
          <cell r="AF1709">
            <v>0.25</v>
          </cell>
          <cell r="AG1709">
            <v>0.25</v>
          </cell>
          <cell r="AH1709">
            <v>0.25</v>
          </cell>
          <cell r="AI1709">
            <v>0.25</v>
          </cell>
          <cell r="AJ1709">
            <v>0.25</v>
          </cell>
          <cell r="AK1709">
            <v>0.25</v>
          </cell>
          <cell r="AL1709">
            <v>0.25</v>
          </cell>
          <cell r="AM1709">
            <v>0.25</v>
          </cell>
          <cell r="AN1709">
            <v>0.25</v>
          </cell>
          <cell r="AO1709">
            <v>0.25</v>
          </cell>
          <cell r="AP1709">
            <v>0.25</v>
          </cell>
          <cell r="AQ1709">
            <v>0.25</v>
          </cell>
          <cell r="AR1709">
            <v>0.25</v>
          </cell>
          <cell r="AS1709">
            <v>0.25</v>
          </cell>
          <cell r="AT1709">
            <v>-0.04</v>
          </cell>
          <cell r="AU1709">
            <v>0.92</v>
          </cell>
          <cell r="AV1709">
            <v>20</v>
          </cell>
          <cell r="AY1709" t="str">
            <v/>
          </cell>
          <cell r="AZ1709">
            <v>0.25</v>
          </cell>
          <cell r="BA1709">
            <v>0.25</v>
          </cell>
        </row>
        <row r="1710">
          <cell r="A1710" t="str">
            <v>MINIREF SRL</v>
          </cell>
          <cell r="D1710" t="str">
            <v>VIA MARTIRI DELLE FOSSE REATINE, 91</v>
          </cell>
          <cell r="E1710" t="str">
            <v>02100</v>
          </cell>
          <cell r="F1710" t="str">
            <v>QUATTROSTRADE</v>
          </cell>
          <cell r="G1710" t="str">
            <v>RI</v>
          </cell>
          <cell r="H1710" t="str">
            <v>ITALIA</v>
          </cell>
          <cell r="J1710" t="str">
            <v>01102400577</v>
          </cell>
          <cell r="M1710" t="str">
            <v>UFFICIO ACQUISTI</v>
          </cell>
          <cell r="R1710" t="str">
            <v>BONIFICO BANCARIO, ALLA DATA DELLA NOSTRA CONFERMA D'ORDINE</v>
          </cell>
          <cell r="Y1710">
            <v>-0.04</v>
          </cell>
          <cell r="AT1710">
            <v>-0.04</v>
          </cell>
          <cell r="AV1710">
            <v>20</v>
          </cell>
          <cell r="AZ1710">
            <v>0</v>
          </cell>
          <cell r="BA1710">
            <v>0</v>
          </cell>
        </row>
        <row r="1711">
          <cell r="A1711" t="str">
            <v>MIONI A. FINESTRE IN P.V.C.</v>
          </cell>
          <cell r="D1711" t="str">
            <v xml:space="preserve">VIA BARSANTI, 56 - Z.I. </v>
          </cell>
          <cell r="E1711">
            <v>36034</v>
          </cell>
          <cell r="F1711" t="str">
            <v>MALO</v>
          </cell>
          <cell r="G1711" t="str">
            <v>VI</v>
          </cell>
          <cell r="H1711" t="str">
            <v>ITALIA</v>
          </cell>
          <cell r="M1711" t="str">
            <v>UFFICIO ACQUISTI</v>
          </cell>
          <cell r="N1711" t="str">
            <v>0445 602731</v>
          </cell>
          <cell r="R1711" t="str">
            <v>BONIFICO BANCARIO, ALLA DATA DELLA NOSTRA CONFERMA D'ORDINE</v>
          </cell>
          <cell r="X1711">
            <v>0.25</v>
          </cell>
          <cell r="Y1711">
            <v>-0.04</v>
          </cell>
          <cell r="AB1711">
            <v>0.25</v>
          </cell>
          <cell r="AC1711">
            <v>0.25</v>
          </cell>
          <cell r="AD1711">
            <v>0.25</v>
          </cell>
          <cell r="AE1711">
            <v>0.25</v>
          </cell>
          <cell r="AF1711">
            <v>0.25</v>
          </cell>
          <cell r="AG1711">
            <v>0.25</v>
          </cell>
          <cell r="AH1711">
            <v>0.25</v>
          </cell>
          <cell r="AI1711">
            <v>0.25</v>
          </cell>
          <cell r="AJ1711">
            <v>0.25</v>
          </cell>
          <cell r="AK1711">
            <v>0.25</v>
          </cell>
          <cell r="AL1711">
            <v>0.25</v>
          </cell>
          <cell r="AM1711">
            <v>0.25</v>
          </cell>
          <cell r="AN1711">
            <v>0.25</v>
          </cell>
          <cell r="AO1711">
            <v>0.25</v>
          </cell>
          <cell r="AP1711">
            <v>0.25</v>
          </cell>
          <cell r="AQ1711">
            <v>0.25</v>
          </cell>
          <cell r="AR1711">
            <v>0.25</v>
          </cell>
          <cell r="AS1711">
            <v>0.25</v>
          </cell>
          <cell r="AT1711">
            <v>-0.04</v>
          </cell>
          <cell r="AU1711">
            <v>0.92</v>
          </cell>
          <cell r="AV1711">
            <v>20</v>
          </cell>
          <cell r="AY1711" t="str">
            <v/>
          </cell>
          <cell r="AZ1711">
            <v>0.25</v>
          </cell>
          <cell r="BA1711">
            <v>0.25</v>
          </cell>
        </row>
        <row r="1712">
          <cell r="A1712" t="str">
            <v>MIRALL DI GANGI GEOM. ANTONIO</v>
          </cell>
          <cell r="D1712" t="str">
            <v>VIA DANTE ALIGHIERI 16</v>
          </cell>
          <cell r="E1712" t="str">
            <v>15048</v>
          </cell>
          <cell r="F1712" t="str">
            <v>VALENZA</v>
          </cell>
          <cell r="G1712" t="str">
            <v>AL</v>
          </cell>
          <cell r="H1712" t="str">
            <v>ITALIA</v>
          </cell>
          <cell r="J1712" t="str">
            <v>01535160061</v>
          </cell>
          <cell r="M1712" t="str">
            <v>UFFICIO ACQUISTI</v>
          </cell>
          <cell r="N1712" t="str">
            <v>0142 64728</v>
          </cell>
          <cell r="O1712" t="str">
            <v>366 4650939</v>
          </cell>
          <cell r="P1712" t="str">
            <v>mir.all@tiscali.it</v>
          </cell>
          <cell r="R1712" t="str">
            <v>BONIFICO BANCARIO, ALLA DATA DELLA NOSTRA CONFERMA D'ORDINE</v>
          </cell>
          <cell r="X1712">
            <v>0.25</v>
          </cell>
          <cell r="Y1712">
            <v>-0.04</v>
          </cell>
          <cell r="AB1712">
            <v>0.25</v>
          </cell>
          <cell r="AC1712">
            <v>0.25</v>
          </cell>
          <cell r="AD1712">
            <v>0.25</v>
          </cell>
          <cell r="AE1712">
            <v>0.25</v>
          </cell>
          <cell r="AF1712">
            <v>0.25</v>
          </cell>
          <cell r="AG1712">
            <v>0.25</v>
          </cell>
          <cell r="AH1712">
            <v>0.25</v>
          </cell>
          <cell r="AI1712">
            <v>0.25</v>
          </cell>
          <cell r="AJ1712">
            <v>0.25</v>
          </cell>
          <cell r="AK1712">
            <v>0.25</v>
          </cell>
          <cell r="AL1712">
            <v>0.25</v>
          </cell>
          <cell r="AM1712">
            <v>0.25</v>
          </cell>
          <cell r="AN1712">
            <v>0.25</v>
          </cell>
          <cell r="AO1712">
            <v>0.25</v>
          </cell>
          <cell r="AP1712">
            <v>0.25</v>
          </cell>
          <cell r="AQ1712">
            <v>0.25</v>
          </cell>
          <cell r="AR1712">
            <v>0.25</v>
          </cell>
          <cell r="AS1712">
            <v>0.25</v>
          </cell>
          <cell r="AT1712">
            <v>-0.04</v>
          </cell>
          <cell r="AU1712">
            <v>0.92</v>
          </cell>
          <cell r="AV1712">
            <v>20</v>
          </cell>
          <cell r="AY1712" t="str">
            <v/>
          </cell>
          <cell r="AZ1712">
            <v>0.25</v>
          </cell>
          <cell r="BA1712">
            <v>0.25</v>
          </cell>
        </row>
        <row r="1713">
          <cell r="A1713" t="str">
            <v>MISTRAL SERRAMENTI</v>
          </cell>
          <cell r="D1713" t="str">
            <v>VIA FLAMINIA SUD, 34</v>
          </cell>
          <cell r="F1713" t="str">
            <v>FOLIGNO</v>
          </cell>
          <cell r="G1713" t="str">
            <v>PG</v>
          </cell>
          <cell r="H1713" t="str">
            <v>ITALIA</v>
          </cell>
          <cell r="M1713" t="str">
            <v>UFFICIO ACQUISTI</v>
          </cell>
          <cell r="O1713" t="str">
            <v>335 6915941</v>
          </cell>
          <cell r="R1713" t="str">
            <v>BONIFICO BANCARIO, ALLA DATA DELLA NOSTRA CONFERMA D'ORDINE</v>
          </cell>
          <cell r="Y1713">
            <v>-0.04</v>
          </cell>
          <cell r="AT1713">
            <v>-0.04</v>
          </cell>
          <cell r="AV1713">
            <v>20</v>
          </cell>
          <cell r="AZ1713">
            <v>0</v>
          </cell>
          <cell r="BA1713">
            <v>0</v>
          </cell>
        </row>
        <row r="1714">
          <cell r="A1714" t="str">
            <v>MM INFISSI DI MAURIZIO MANGANO</v>
          </cell>
          <cell r="B1714" t="str">
            <v>RAGAZZO GIOVANE, PUO' COMPRARE.</v>
          </cell>
          <cell r="D1714" t="str">
            <v>VIALE DEL COMMERCIO 74</v>
          </cell>
          <cell r="F1714" t="str">
            <v>MANFREDONIA</v>
          </cell>
          <cell r="G1714" t="str">
            <v>FG</v>
          </cell>
          <cell r="H1714" t="str">
            <v>ITALIA</v>
          </cell>
          <cell r="J1714" t="str">
            <v>04149950711</v>
          </cell>
          <cell r="M1714" t="str">
            <v>UFFICIO ACQUISTI</v>
          </cell>
          <cell r="O1714" t="str">
            <v>339 1779333</v>
          </cell>
          <cell r="P1714" t="str">
            <v>maurizio.mangano@icloud.com</v>
          </cell>
          <cell r="R1714" t="str">
            <v>BONIFICO BANCARIO, ALLA DATA DELLA NOSTRA CONFERMA D'ORDINE</v>
          </cell>
          <cell r="X1714">
            <v>0.25</v>
          </cell>
          <cell r="Y1714">
            <v>-0.04</v>
          </cell>
          <cell r="AB1714">
            <v>0.25</v>
          </cell>
          <cell r="AC1714">
            <v>0.25</v>
          </cell>
          <cell r="AD1714">
            <v>0.25</v>
          </cell>
          <cell r="AE1714">
            <v>0.25</v>
          </cell>
          <cell r="AF1714">
            <v>0.25</v>
          </cell>
          <cell r="AG1714">
            <v>0.25</v>
          </cell>
          <cell r="AH1714">
            <v>0.25</v>
          </cell>
          <cell r="AI1714">
            <v>0.25</v>
          </cell>
          <cell r="AJ1714">
            <v>0.25</v>
          </cell>
          <cell r="AK1714">
            <v>0.25</v>
          </cell>
          <cell r="AL1714">
            <v>0.25</v>
          </cell>
          <cell r="AM1714">
            <v>0.25</v>
          </cell>
          <cell r="AN1714">
            <v>0.25</v>
          </cell>
          <cell r="AO1714">
            <v>0.25</v>
          </cell>
          <cell r="AP1714">
            <v>0.25</v>
          </cell>
          <cell r="AQ1714">
            <v>0.25</v>
          </cell>
          <cell r="AR1714">
            <v>0.25</v>
          </cell>
          <cell r="AS1714">
            <v>0.25</v>
          </cell>
          <cell r="AT1714">
            <v>-0.04</v>
          </cell>
          <cell r="AU1714">
            <v>0.92</v>
          </cell>
          <cell r="AV1714">
            <v>20</v>
          </cell>
          <cell r="AY1714" t="str">
            <v/>
          </cell>
          <cell r="AZ1714">
            <v>0.25</v>
          </cell>
          <cell r="BA1714">
            <v>0.25</v>
          </cell>
        </row>
        <row r="1715">
          <cell r="A1715" t="str">
            <v>MN SERRAMENTI DI MEGNA NATASHA</v>
          </cell>
          <cell r="D1715" t="str">
            <v>CORSO DELLA VITTORIA 31 D</v>
          </cell>
          <cell r="E1715" t="str">
            <v>28100</v>
          </cell>
          <cell r="F1715" t="str">
            <v>NOVARA</v>
          </cell>
          <cell r="G1715" t="str">
            <v>NO</v>
          </cell>
          <cell r="H1715" t="str">
            <v>ITALIA</v>
          </cell>
          <cell r="J1715" t="str">
            <v>0321474177</v>
          </cell>
          <cell r="M1715" t="str">
            <v>UFFICIO ACQUISTI</v>
          </cell>
          <cell r="O1715" t="str">
            <v>3922891516</v>
          </cell>
          <cell r="P1715" t="str">
            <v xml:space="preserve">mnserramenti1@gmail.com </v>
          </cell>
          <cell r="R1715" t="str">
            <v>BONIFICO BANCARIO, ALLA DATA DELLA NOSTRA CONFERMA D'ORDINE</v>
          </cell>
          <cell r="X1715">
            <v>0.25</v>
          </cell>
          <cell r="Y1715">
            <v>-0.04</v>
          </cell>
          <cell r="AB1715">
            <v>0.25</v>
          </cell>
          <cell r="AC1715">
            <v>0.25</v>
          </cell>
          <cell r="AD1715">
            <v>0.25</v>
          </cell>
          <cell r="AE1715">
            <v>0.25</v>
          </cell>
          <cell r="AF1715">
            <v>0.25</v>
          </cell>
          <cell r="AG1715">
            <v>0.25</v>
          </cell>
          <cell r="AH1715">
            <v>0.25</v>
          </cell>
          <cell r="AI1715">
            <v>0.25</v>
          </cell>
          <cell r="AJ1715">
            <v>0.25</v>
          </cell>
          <cell r="AK1715">
            <v>0.25</v>
          </cell>
          <cell r="AL1715">
            <v>0.25</v>
          </cell>
          <cell r="AM1715">
            <v>0.25</v>
          </cell>
          <cell r="AN1715">
            <v>0.25</v>
          </cell>
          <cell r="AO1715">
            <v>0.25</v>
          </cell>
          <cell r="AP1715">
            <v>0.25</v>
          </cell>
          <cell r="AQ1715">
            <v>0.25</v>
          </cell>
          <cell r="AR1715">
            <v>0.25</v>
          </cell>
          <cell r="AS1715">
            <v>0.25</v>
          </cell>
          <cell r="AT1715">
            <v>-0.04</v>
          </cell>
          <cell r="AU1715">
            <v>0.92</v>
          </cell>
          <cell r="AV1715">
            <v>20</v>
          </cell>
          <cell r="AY1715" t="str">
            <v/>
          </cell>
          <cell r="AZ1715">
            <v>0.25</v>
          </cell>
          <cell r="BA1715">
            <v>0.25</v>
          </cell>
        </row>
        <row r="1716">
          <cell r="A1716" t="str">
            <v>MODAFERRI SRL</v>
          </cell>
          <cell r="D1716" t="str">
            <v>VIA DELLO SPORT, 14</v>
          </cell>
          <cell r="E1716" t="str">
            <v>94100</v>
          </cell>
          <cell r="F1716" t="str">
            <v>ENNA</v>
          </cell>
          <cell r="G1716" t="str">
            <v>EN</v>
          </cell>
          <cell r="H1716" t="str">
            <v>ITALIA</v>
          </cell>
          <cell r="J1716" t="str">
            <v>01088460868</v>
          </cell>
          <cell r="M1716" t="str">
            <v>UFFICIO ACQUISTI</v>
          </cell>
          <cell r="N1716" t="str">
            <v>0935 29228</v>
          </cell>
          <cell r="P1716" t="str">
            <v>info@modaferri.biz</v>
          </cell>
          <cell r="R1716" t="str">
            <v>BONIFICO BANCARIO, ALLA DATA DELLA NOSTRA CONFERMA D'ORDINE</v>
          </cell>
          <cell r="X1716">
            <v>0.25</v>
          </cell>
          <cell r="Y1716">
            <v>-0.04</v>
          </cell>
          <cell r="AB1716">
            <v>0.25</v>
          </cell>
          <cell r="AC1716">
            <v>0.25</v>
          </cell>
          <cell r="AD1716">
            <v>0.25</v>
          </cell>
          <cell r="AE1716">
            <v>0.25</v>
          </cell>
          <cell r="AF1716">
            <v>0.25</v>
          </cell>
          <cell r="AG1716">
            <v>0.25</v>
          </cell>
          <cell r="AH1716">
            <v>0.25</v>
          </cell>
          <cell r="AI1716">
            <v>0.25</v>
          </cell>
          <cell r="AJ1716">
            <v>0.25</v>
          </cell>
          <cell r="AK1716">
            <v>0.25</v>
          </cell>
          <cell r="AL1716">
            <v>0.25</v>
          </cell>
          <cell r="AM1716">
            <v>0.25</v>
          </cell>
          <cell r="AN1716">
            <v>0.25</v>
          </cell>
          <cell r="AO1716">
            <v>0.25</v>
          </cell>
          <cell r="AP1716">
            <v>0.25</v>
          </cell>
          <cell r="AQ1716">
            <v>0.25</v>
          </cell>
          <cell r="AR1716">
            <v>0.25</v>
          </cell>
          <cell r="AS1716">
            <v>0.25</v>
          </cell>
          <cell r="AT1716">
            <v>-0.04</v>
          </cell>
          <cell r="AU1716">
            <v>0.92</v>
          </cell>
          <cell r="AV1716">
            <v>20</v>
          </cell>
          <cell r="AY1716" t="str">
            <v/>
          </cell>
          <cell r="AZ1716">
            <v>0.25</v>
          </cell>
          <cell r="BA1716">
            <v>0.25</v>
          </cell>
        </row>
        <row r="1717">
          <cell r="A1717" t="str">
            <v xml:space="preserve">MODENA FINESTRE </v>
          </cell>
          <cell r="D1717" t="str">
            <v>VIA TACITO, 24</v>
          </cell>
          <cell r="E1717">
            <v>41123</v>
          </cell>
          <cell r="F1717" t="str">
            <v>MODENA</v>
          </cell>
          <cell r="G1717" t="str">
            <v>MO</v>
          </cell>
          <cell r="H1717" t="str">
            <v>ITALIA</v>
          </cell>
          <cell r="I1717" t="str">
            <v>MRRFNC62L11F257U</v>
          </cell>
          <cell r="J1717" t="str">
            <v>03340020365</v>
          </cell>
          <cell r="M1717" t="str">
            <v>UFFICIO ACQUISTI</v>
          </cell>
          <cell r="O1717" t="str">
            <v>392 9851461</v>
          </cell>
          <cell r="P1717" t="str">
            <v>info@modenafinestre.it</v>
          </cell>
          <cell r="R1717" t="str">
            <v>BONIFICO BANCARIO, ALLA DATA DELLA NOSTRA CONFERMA D'ORDINE</v>
          </cell>
          <cell r="X1717">
            <v>0.25</v>
          </cell>
          <cell r="Y1717">
            <v>-0.04</v>
          </cell>
          <cell r="AB1717">
            <v>0.25</v>
          </cell>
          <cell r="AC1717">
            <v>0.25</v>
          </cell>
          <cell r="AD1717">
            <v>0.25</v>
          </cell>
          <cell r="AE1717">
            <v>0.25</v>
          </cell>
          <cell r="AF1717">
            <v>0.25</v>
          </cell>
          <cell r="AG1717">
            <v>0.25</v>
          </cell>
          <cell r="AH1717">
            <v>0.25</v>
          </cell>
          <cell r="AI1717">
            <v>0.25</v>
          </cell>
          <cell r="AJ1717">
            <v>0.25</v>
          </cell>
          <cell r="AK1717">
            <v>0.25</v>
          </cell>
          <cell r="AL1717">
            <v>0.25</v>
          </cell>
          <cell r="AM1717">
            <v>0.25</v>
          </cell>
          <cell r="AN1717">
            <v>0.25</v>
          </cell>
          <cell r="AO1717">
            <v>0.25</v>
          </cell>
          <cell r="AP1717">
            <v>0.25</v>
          </cell>
          <cell r="AQ1717">
            <v>0.25</v>
          </cell>
          <cell r="AR1717">
            <v>0.25</v>
          </cell>
          <cell r="AS1717">
            <v>0.25</v>
          </cell>
          <cell r="AT1717">
            <v>-0.04</v>
          </cell>
          <cell r="AU1717">
            <v>0.92</v>
          </cell>
          <cell r="AV1717">
            <v>20</v>
          </cell>
          <cell r="AY1717" t="str">
            <v/>
          </cell>
          <cell r="AZ1717">
            <v>0.25</v>
          </cell>
          <cell r="BA1717">
            <v>0.25</v>
          </cell>
        </row>
        <row r="1718">
          <cell r="A1718" t="str">
            <v>MODOAL</v>
          </cell>
          <cell r="D1718" t="str">
            <v>VIA MAESTRI DEL LAVORO 2</v>
          </cell>
          <cell r="F1718" t="str">
            <v>PASSO CORESE</v>
          </cell>
          <cell r="G1718" t="str">
            <v>RI</v>
          </cell>
          <cell r="H1718" t="str">
            <v>ITALIA</v>
          </cell>
          <cell r="M1718" t="str">
            <v>UFFICIO ACQUISTI</v>
          </cell>
          <cell r="N1718" t="str">
            <v>0765 487391</v>
          </cell>
          <cell r="O1718" t="str">
            <v>335 6124555</v>
          </cell>
          <cell r="P1718" t="str">
            <v>info@modoal.it</v>
          </cell>
          <cell r="R1718" t="str">
            <v>BONIFICO BANCARIO, ALLA DATA DELLA NOSTRA CONFERMA D'ORDINE</v>
          </cell>
          <cell r="X1718">
            <v>0.25</v>
          </cell>
          <cell r="Y1718">
            <v>-0.04</v>
          </cell>
          <cell r="AB1718">
            <v>0.25</v>
          </cell>
          <cell r="AC1718">
            <v>0.25</v>
          </cell>
          <cell r="AD1718">
            <v>0.25</v>
          </cell>
          <cell r="AE1718">
            <v>0.25</v>
          </cell>
          <cell r="AF1718">
            <v>0.25</v>
          </cell>
          <cell r="AG1718">
            <v>0.25</v>
          </cell>
          <cell r="AH1718">
            <v>0.25</v>
          </cell>
          <cell r="AI1718">
            <v>0.25</v>
          </cell>
          <cell r="AJ1718">
            <v>0.25</v>
          </cell>
          <cell r="AK1718">
            <v>0.25</v>
          </cell>
          <cell r="AL1718">
            <v>0.25</v>
          </cell>
          <cell r="AM1718">
            <v>0.25</v>
          </cell>
          <cell r="AN1718">
            <v>0.25</v>
          </cell>
          <cell r="AO1718">
            <v>0.25</v>
          </cell>
          <cell r="AP1718">
            <v>0.25</v>
          </cell>
          <cell r="AQ1718">
            <v>0.25</v>
          </cell>
          <cell r="AR1718">
            <v>0.25</v>
          </cell>
          <cell r="AS1718">
            <v>0.25</v>
          </cell>
          <cell r="AT1718">
            <v>-0.04</v>
          </cell>
          <cell r="AU1718">
            <v>0.92</v>
          </cell>
          <cell r="AV1718">
            <v>20</v>
          </cell>
          <cell r="AY1718" t="str">
            <v/>
          </cell>
          <cell r="AZ1718">
            <v>0.25</v>
          </cell>
          <cell r="BA1718">
            <v>0.25</v>
          </cell>
        </row>
        <row r="1719">
          <cell r="A1719" t="str">
            <v>MOGA SERRAMENTI DI BUZZI MAURIZIO</v>
          </cell>
          <cell r="D1719" t="str">
            <v>VIA MARINA 80</v>
          </cell>
          <cell r="E1719" t="str">
            <v>44029</v>
          </cell>
          <cell r="F1719" t="str">
            <v>PORTO GARIBALDI</v>
          </cell>
          <cell r="G1719" t="str">
            <v>FE</v>
          </cell>
          <cell r="H1719" t="str">
            <v>ITALIA</v>
          </cell>
          <cell r="M1719" t="str">
            <v>UFFICIO ACQUISTI</v>
          </cell>
          <cell r="N1719" t="str">
            <v>0533 329118</v>
          </cell>
          <cell r="O1719" t="str">
            <v>347 3182003</v>
          </cell>
          <cell r="P1719" t="str">
            <v>mogaserramenti1@gmail.com</v>
          </cell>
          <cell r="R1719" t="str">
            <v>BONIFICO BANCARIO, ALLA DATA DELLA NOSTRA CONFERMA D'ORDINE</v>
          </cell>
          <cell r="X1719">
            <v>0.25</v>
          </cell>
          <cell r="Y1719">
            <v>-0.04</v>
          </cell>
          <cell r="AB1719">
            <v>0.25</v>
          </cell>
          <cell r="AC1719">
            <v>0.25</v>
          </cell>
          <cell r="AD1719">
            <v>0.25</v>
          </cell>
          <cell r="AE1719">
            <v>0.25</v>
          </cell>
          <cell r="AF1719">
            <v>0.25</v>
          </cell>
          <cell r="AG1719">
            <v>0.25</v>
          </cell>
          <cell r="AH1719">
            <v>0.25</v>
          </cell>
          <cell r="AI1719">
            <v>0.25</v>
          </cell>
          <cell r="AJ1719">
            <v>0.25</v>
          </cell>
          <cell r="AK1719">
            <v>0.25</v>
          </cell>
          <cell r="AL1719">
            <v>0.25</v>
          </cell>
          <cell r="AM1719">
            <v>0.25</v>
          </cell>
          <cell r="AN1719">
            <v>0.25</v>
          </cell>
          <cell r="AO1719">
            <v>0.25</v>
          </cell>
          <cell r="AP1719">
            <v>0.25</v>
          </cell>
          <cell r="AQ1719">
            <v>0.25</v>
          </cell>
          <cell r="AR1719">
            <v>0.25</v>
          </cell>
          <cell r="AS1719">
            <v>0.25</v>
          </cell>
          <cell r="AT1719">
            <v>-0.04</v>
          </cell>
          <cell r="AU1719">
            <v>0.92</v>
          </cell>
          <cell r="AV1719">
            <v>20</v>
          </cell>
          <cell r="AY1719" t="str">
            <v/>
          </cell>
          <cell r="AZ1719">
            <v>0.25</v>
          </cell>
          <cell r="BA1719">
            <v>0.25</v>
          </cell>
        </row>
        <row r="1720">
          <cell r="A1720" t="str">
            <v>MOLARO ALDO SERRAMENTI SRL</v>
          </cell>
          <cell r="D1720" t="str">
            <v>VIA DELL'ARTIGIANATO 9</v>
          </cell>
          <cell r="E1720" t="str">
            <v>33017</v>
          </cell>
          <cell r="F1720" t="str">
            <v>TARCENTO</v>
          </cell>
          <cell r="G1720" t="str">
            <v>UD</v>
          </cell>
          <cell r="H1720" t="str">
            <v>ITALIA</v>
          </cell>
          <cell r="J1720" t="str">
            <v>02156270304</v>
          </cell>
          <cell r="M1720" t="str">
            <v>UFFICIO ACQUISTI</v>
          </cell>
          <cell r="N1720" t="str">
            <v>0432 189111</v>
          </cell>
          <cell r="P1720" t="str">
            <v>info@molaro.it</v>
          </cell>
          <cell r="R1720" t="str">
            <v>BONIFICO BANCARIO, ALLA DATA DELLA NOSTRA CONFERMA D'ORDINE</v>
          </cell>
          <cell r="X1720">
            <v>0.25</v>
          </cell>
          <cell r="Y1720">
            <v>-0.04</v>
          </cell>
          <cell r="AB1720">
            <v>0.25</v>
          </cell>
          <cell r="AC1720">
            <v>0.25</v>
          </cell>
          <cell r="AD1720">
            <v>0.25</v>
          </cell>
          <cell r="AE1720">
            <v>0.25</v>
          </cell>
          <cell r="AF1720">
            <v>0.25</v>
          </cell>
          <cell r="AG1720">
            <v>0.25</v>
          </cell>
          <cell r="AH1720">
            <v>0.25</v>
          </cell>
          <cell r="AI1720">
            <v>0.25</v>
          </cell>
          <cell r="AJ1720">
            <v>0.25</v>
          </cell>
          <cell r="AK1720">
            <v>0.25</v>
          </cell>
          <cell r="AL1720">
            <v>0.25</v>
          </cell>
          <cell r="AM1720">
            <v>0.25</v>
          </cell>
          <cell r="AN1720">
            <v>0.25</v>
          </cell>
          <cell r="AO1720">
            <v>0.25</v>
          </cell>
          <cell r="AP1720">
            <v>0.25</v>
          </cell>
          <cell r="AQ1720">
            <v>0.25</v>
          </cell>
          <cell r="AR1720">
            <v>0.25</v>
          </cell>
          <cell r="AS1720">
            <v>0.25</v>
          </cell>
          <cell r="AT1720">
            <v>-0.04</v>
          </cell>
          <cell r="AU1720">
            <v>0.92</v>
          </cell>
          <cell r="AV1720">
            <v>20</v>
          </cell>
          <cell r="AY1720" t="str">
            <v/>
          </cell>
          <cell r="AZ1720">
            <v>0.25</v>
          </cell>
          <cell r="BA1720">
            <v>0.25</v>
          </cell>
        </row>
        <row r="1721">
          <cell r="A1721" t="str">
            <v>MOLLICA SERRAMENTI</v>
          </cell>
          <cell r="D1721" t="str">
            <v>VIA BELLATALLA</v>
          </cell>
          <cell r="E1721">
            <v>56121</v>
          </cell>
          <cell r="F1721" t="str">
            <v>OSPEDALETTO PISA</v>
          </cell>
          <cell r="G1721" t="str">
            <v>PI</v>
          </cell>
          <cell r="H1721" t="str">
            <v>ITALIA</v>
          </cell>
          <cell r="M1721" t="str">
            <v>UFFICIO ACQUISTI</v>
          </cell>
          <cell r="N1721" t="str">
            <v>050 983804</v>
          </cell>
          <cell r="O1721" t="str">
            <v>Giovanni 348 3421707   Alessio 347 9837859</v>
          </cell>
          <cell r="P1721" t="str">
            <v>mollicaserramenti@alice.it</v>
          </cell>
          <cell r="R1721" t="str">
            <v>BONIFICO BANCARIO, ALLA DATA DELLA NOSTRA CONFERMA D'ORDINE</v>
          </cell>
          <cell r="X1721">
            <v>0.25</v>
          </cell>
          <cell r="Y1721">
            <v>-0.04</v>
          </cell>
          <cell r="AB1721">
            <v>0.25</v>
          </cell>
          <cell r="AC1721">
            <v>0.25</v>
          </cell>
          <cell r="AD1721">
            <v>0.25</v>
          </cell>
          <cell r="AE1721">
            <v>0.25</v>
          </cell>
          <cell r="AF1721">
            <v>0.25</v>
          </cell>
          <cell r="AG1721">
            <v>0.25</v>
          </cell>
          <cell r="AH1721">
            <v>0.25</v>
          </cell>
          <cell r="AI1721">
            <v>0.25</v>
          </cell>
          <cell r="AJ1721">
            <v>0.25</v>
          </cell>
          <cell r="AK1721">
            <v>0.25</v>
          </cell>
          <cell r="AL1721">
            <v>0.25</v>
          </cell>
          <cell r="AM1721">
            <v>0.25</v>
          </cell>
          <cell r="AN1721">
            <v>0.25</v>
          </cell>
          <cell r="AO1721">
            <v>0.25</v>
          </cell>
          <cell r="AP1721">
            <v>0.25</v>
          </cell>
          <cell r="AQ1721">
            <v>0.25</v>
          </cell>
          <cell r="AR1721">
            <v>0.25</v>
          </cell>
          <cell r="AS1721">
            <v>0.25</v>
          </cell>
          <cell r="AT1721">
            <v>-0.04</v>
          </cell>
          <cell r="AU1721">
            <v>0.92</v>
          </cell>
          <cell r="AV1721">
            <v>20</v>
          </cell>
          <cell r="AY1721" t="str">
            <v/>
          </cell>
          <cell r="AZ1721">
            <v>0.25</v>
          </cell>
          <cell r="BA1721">
            <v>0.25</v>
          </cell>
        </row>
        <row r="1722">
          <cell r="A1722" t="str">
            <v>MONCINI SNC</v>
          </cell>
          <cell r="M1722" t="str">
            <v>UFFICIO ACQUISTI</v>
          </cell>
          <cell r="O1722" t="str">
            <v>335 6544532</v>
          </cell>
          <cell r="R1722" t="str">
            <v>BONIFICO BANCARIO, ALLA DATA DELLA NOSTRA CONFERMA D'ORDINE</v>
          </cell>
          <cell r="Y1722">
            <v>-0.04</v>
          </cell>
          <cell r="AT1722">
            <v>-0.04</v>
          </cell>
          <cell r="AV1722">
            <v>20</v>
          </cell>
          <cell r="AZ1722">
            <v>0</v>
          </cell>
          <cell r="BA1722">
            <v>0</v>
          </cell>
        </row>
        <row r="1723">
          <cell r="A1723" t="str">
            <v>MONDIAL INFISSI GROUP</v>
          </cell>
          <cell r="B1723" t="str">
            <v>ALESSANDRO MOGHETTI RESP.COMM.LE</v>
          </cell>
          <cell r="D1723" t="str">
            <v>VIA CANCELLIERA, 11/B</v>
          </cell>
          <cell r="E1723" t="str">
            <v>00041</v>
          </cell>
          <cell r="F1723" t="str">
            <v>ALBANO LAZIALE</v>
          </cell>
          <cell r="G1723" t="str">
            <v>RM</v>
          </cell>
          <cell r="H1723" t="str">
            <v>ITALIA</v>
          </cell>
          <cell r="J1723" t="str">
            <v>13596421001</v>
          </cell>
          <cell r="M1723" t="str">
            <v>UFFICIO ACQUISTI</v>
          </cell>
          <cell r="N1723" t="str">
            <v>06 9303242</v>
          </cell>
          <cell r="O1723" t="str">
            <v>366 1227179 MOGHETTI ALESSANDRO</v>
          </cell>
          <cell r="P1723" t="str">
            <v>commerciale@mondialinfissi.net</v>
          </cell>
          <cell r="R1723" t="str">
            <v>BONIFICO BANCARIO, ALLA DATA DELLA NOSTRA CONFERMA D'ORDINE</v>
          </cell>
          <cell r="X1723">
            <v>0.2</v>
          </cell>
          <cell r="Y1723">
            <v>-0.04</v>
          </cell>
          <cell r="AB1723">
            <v>0.2</v>
          </cell>
          <cell r="AC1723">
            <v>0.2</v>
          </cell>
          <cell r="AD1723">
            <v>0.2</v>
          </cell>
          <cell r="AE1723">
            <v>0.2</v>
          </cell>
          <cell r="AF1723">
            <v>0.2</v>
          </cell>
          <cell r="AG1723">
            <v>0.2</v>
          </cell>
          <cell r="AH1723">
            <v>0.2</v>
          </cell>
          <cell r="AI1723">
            <v>0.2</v>
          </cell>
          <cell r="AJ1723">
            <v>0.2</v>
          </cell>
          <cell r="AK1723">
            <v>0.2</v>
          </cell>
          <cell r="AL1723">
            <v>0.2</v>
          </cell>
          <cell r="AM1723">
            <v>0.2</v>
          </cell>
          <cell r="AN1723">
            <v>0.2</v>
          </cell>
          <cell r="AO1723">
            <v>0.2</v>
          </cell>
          <cell r="AP1723">
            <v>0.2</v>
          </cell>
          <cell r="AQ1723">
            <v>0.2</v>
          </cell>
          <cell r="AR1723">
            <v>0.2</v>
          </cell>
          <cell r="AS1723">
            <v>0.2</v>
          </cell>
          <cell r="AT1723">
            <v>-0.04</v>
          </cell>
          <cell r="AU1723">
            <v>0.92</v>
          </cell>
          <cell r="AV1723">
            <v>20</v>
          </cell>
          <cell r="AZ1723">
            <v>0.2</v>
          </cell>
          <cell r="BA1723">
            <v>0.2</v>
          </cell>
        </row>
        <row r="1724">
          <cell r="A1724" t="str">
            <v xml:space="preserve">MONDO FINESTRE E PORTE </v>
          </cell>
          <cell r="D1724" t="str">
            <v>VIALE POSTUMIA, 25</v>
          </cell>
          <cell r="E1724">
            <v>37069</v>
          </cell>
          <cell r="F1724" t="str">
            <v>VILLAFR. DI VERONA</v>
          </cell>
          <cell r="G1724" t="str">
            <v>VR</v>
          </cell>
          <cell r="H1724" t="str">
            <v>ITALIA</v>
          </cell>
          <cell r="I1724" t="str">
            <v>TBLGLR67R24ED78P</v>
          </cell>
          <cell r="J1724" t="str">
            <v>02768310233</v>
          </cell>
          <cell r="M1724" t="str">
            <v>UFFICIO ACQUISTI</v>
          </cell>
          <cell r="N1724" t="str">
            <v>045 6301517</v>
          </cell>
          <cell r="O1724" t="str">
            <v>348 7299170</v>
          </cell>
          <cell r="P1724" t="str">
            <v>tibaldigiancarlo@gmail.com</v>
          </cell>
          <cell r="R1724" t="str">
            <v>BONIFICO BANCARIO, ALLA DATA DELLA NOSTRA CONFERMA D'ORDINE</v>
          </cell>
          <cell r="X1724">
            <v>0.25</v>
          </cell>
          <cell r="Y1724">
            <v>-0.04</v>
          </cell>
          <cell r="AB1724">
            <v>0.25</v>
          </cell>
          <cell r="AC1724">
            <v>0.25</v>
          </cell>
          <cell r="AD1724">
            <v>0.25</v>
          </cell>
          <cell r="AE1724">
            <v>0.25</v>
          </cell>
          <cell r="AF1724">
            <v>0.25</v>
          </cell>
          <cell r="AG1724">
            <v>0.25</v>
          </cell>
          <cell r="AH1724">
            <v>0.25</v>
          </cell>
          <cell r="AI1724">
            <v>0.25</v>
          </cell>
          <cell r="AJ1724">
            <v>0.25</v>
          </cell>
          <cell r="AK1724">
            <v>0.25</v>
          </cell>
          <cell r="AL1724">
            <v>0.25</v>
          </cell>
          <cell r="AM1724">
            <v>0.25</v>
          </cell>
          <cell r="AN1724">
            <v>0.25</v>
          </cell>
          <cell r="AO1724">
            <v>0.25</v>
          </cell>
          <cell r="AP1724">
            <v>0.25</v>
          </cell>
          <cell r="AQ1724">
            <v>0.25</v>
          </cell>
          <cell r="AR1724">
            <v>0.25</v>
          </cell>
          <cell r="AS1724">
            <v>0.25</v>
          </cell>
          <cell r="AT1724">
            <v>-0.04</v>
          </cell>
          <cell r="AU1724">
            <v>0.92</v>
          </cell>
          <cell r="AV1724">
            <v>20</v>
          </cell>
          <cell r="AY1724" t="str">
            <v/>
          </cell>
          <cell r="AZ1724">
            <v>0.25</v>
          </cell>
          <cell r="BA1724">
            <v>0.25</v>
          </cell>
        </row>
        <row r="1725">
          <cell r="A1725" t="str">
            <v>MONDO PORTE E INFISSI SRL</v>
          </cell>
          <cell r="B1725" t="str">
            <v>ENRICO PALOMBO</v>
          </cell>
          <cell r="D1725" t="str">
            <v>VIA DEI ROVERI 3</v>
          </cell>
          <cell r="E1725" t="str">
            <v>86039</v>
          </cell>
          <cell r="F1725" t="str">
            <v>TERMOLI</v>
          </cell>
          <cell r="G1725" t="str">
            <v>CB</v>
          </cell>
          <cell r="H1725" t="str">
            <v>ITALIA</v>
          </cell>
          <cell r="J1725" t="str">
            <v>01731590707</v>
          </cell>
          <cell r="M1725" t="str">
            <v>UFFICIO ACQUISTI</v>
          </cell>
          <cell r="N1725" t="str">
            <v>0875 751290</v>
          </cell>
          <cell r="P1725" t="str">
            <v>mondoporteeinfissisrl@hotmail.com</v>
          </cell>
          <cell r="R1725" t="str">
            <v>BONIFICO BANCARIO, ALLA DATA DELLA NOSTRA CONFERMA D'ORDINE</v>
          </cell>
          <cell r="X1725">
            <v>0.25</v>
          </cell>
          <cell r="Y1725">
            <v>-0.04</v>
          </cell>
          <cell r="AB1725">
            <v>0.25</v>
          </cell>
          <cell r="AC1725">
            <v>0.25</v>
          </cell>
          <cell r="AD1725">
            <v>0.25</v>
          </cell>
          <cell r="AE1725">
            <v>0.25</v>
          </cell>
          <cell r="AF1725">
            <v>0.25</v>
          </cell>
          <cell r="AG1725">
            <v>0.25</v>
          </cell>
          <cell r="AH1725">
            <v>0.25</v>
          </cell>
          <cell r="AI1725">
            <v>0.25</v>
          </cell>
          <cell r="AJ1725">
            <v>0.25</v>
          </cell>
          <cell r="AK1725">
            <v>0.25</v>
          </cell>
          <cell r="AL1725">
            <v>0.25</v>
          </cell>
          <cell r="AM1725">
            <v>0.25</v>
          </cell>
          <cell r="AN1725">
            <v>0.25</v>
          </cell>
          <cell r="AO1725">
            <v>0.25</v>
          </cell>
          <cell r="AP1725">
            <v>0.25</v>
          </cell>
          <cell r="AQ1725">
            <v>0.25</v>
          </cell>
          <cell r="AR1725">
            <v>0.25</v>
          </cell>
          <cell r="AS1725">
            <v>0.25</v>
          </cell>
          <cell r="AT1725">
            <v>-0.04</v>
          </cell>
          <cell r="AU1725">
            <v>0.92</v>
          </cell>
          <cell r="AV1725">
            <v>20</v>
          </cell>
          <cell r="AY1725" t="str">
            <v/>
          </cell>
          <cell r="AZ1725">
            <v>0.25</v>
          </cell>
          <cell r="BA1725">
            <v>0.25</v>
          </cell>
        </row>
        <row r="1726">
          <cell r="A1726" t="str">
            <v>MONDOLFO INFISSI SNC</v>
          </cell>
          <cell r="D1726" t="str">
            <v>VIA VETERANA, 1</v>
          </cell>
          <cell r="E1726" t="str">
            <v>61037</v>
          </cell>
          <cell r="F1726" t="str">
            <v>CENTOCROCI</v>
          </cell>
          <cell r="G1726" t="str">
            <v>PU</v>
          </cell>
          <cell r="H1726" t="str">
            <v>ITALIA</v>
          </cell>
          <cell r="M1726" t="str">
            <v>UFFICIO ACQUISTI</v>
          </cell>
          <cell r="N1726" t="str">
            <v>0721 930037</v>
          </cell>
          <cell r="P1726" t="str">
            <v>mondolfoinfissi@mondolfoinfissidiporfiri.191.it</v>
          </cell>
          <cell r="R1726" t="str">
            <v>BONIFICO BANCARIO, ALLA DATA DELLA NOSTRA CONFERMA D'ORDINE</v>
          </cell>
          <cell r="X1726">
            <v>0.25</v>
          </cell>
          <cell r="Y1726">
            <v>-0.04</v>
          </cell>
          <cell r="AB1726">
            <v>0.25</v>
          </cell>
          <cell r="AC1726">
            <v>0.25</v>
          </cell>
          <cell r="AD1726">
            <v>0.25</v>
          </cell>
          <cell r="AE1726">
            <v>0.25</v>
          </cell>
          <cell r="AF1726">
            <v>0.25</v>
          </cell>
          <cell r="AG1726">
            <v>0.25</v>
          </cell>
          <cell r="AH1726">
            <v>0.25</v>
          </cell>
          <cell r="AI1726">
            <v>0.25</v>
          </cell>
          <cell r="AJ1726">
            <v>0.25</v>
          </cell>
          <cell r="AK1726">
            <v>0.25</v>
          </cell>
          <cell r="AL1726">
            <v>0.25</v>
          </cell>
          <cell r="AM1726">
            <v>0.25</v>
          </cell>
          <cell r="AN1726">
            <v>0.25</v>
          </cell>
          <cell r="AO1726">
            <v>0.25</v>
          </cell>
          <cell r="AP1726">
            <v>0.25</v>
          </cell>
          <cell r="AQ1726">
            <v>0.25</v>
          </cell>
          <cell r="AR1726">
            <v>0.25</v>
          </cell>
          <cell r="AS1726">
            <v>0.25</v>
          </cell>
          <cell r="AT1726">
            <v>-0.04</v>
          </cell>
          <cell r="AU1726">
            <v>0.9</v>
          </cell>
          <cell r="AV1726">
            <v>20</v>
          </cell>
          <cell r="AZ1726">
            <v>0.25</v>
          </cell>
          <cell r="BA1726">
            <v>0.25</v>
          </cell>
        </row>
        <row r="1727">
          <cell r="A1727" t="str">
            <v>MONTAGNA LUIGI SRL</v>
          </cell>
          <cell r="D1727" t="str">
            <v>VIA PIACENZA 145</v>
          </cell>
          <cell r="E1727" t="str">
            <v>27158</v>
          </cell>
          <cell r="F1727" t="str">
            <v>VOGHERA</v>
          </cell>
          <cell r="G1727" t="str">
            <v>PV</v>
          </cell>
          <cell r="H1727" t="str">
            <v>ITALIA</v>
          </cell>
          <cell r="M1727" t="str">
            <v>UFFICIO ACQUISTI</v>
          </cell>
          <cell r="N1727" t="str">
            <v>0383 42135</v>
          </cell>
          <cell r="O1727" t="str">
            <v xml:space="preserve">335 1290545 PAOLO CERRI </v>
          </cell>
          <cell r="R1727" t="str">
            <v>BONIFICO BANCARIO, ALLA DATA DELLA NOSTRA CONFERMA D'ORDINE</v>
          </cell>
          <cell r="X1727">
            <v>0.25</v>
          </cell>
          <cell r="Y1727">
            <v>-0.04</v>
          </cell>
          <cell r="AB1727">
            <v>0.25</v>
          </cell>
          <cell r="AC1727">
            <v>0.25</v>
          </cell>
          <cell r="AD1727">
            <v>0.25</v>
          </cell>
          <cell r="AE1727">
            <v>0.25</v>
          </cell>
          <cell r="AF1727">
            <v>0.25</v>
          </cell>
          <cell r="AG1727">
            <v>0.25</v>
          </cell>
          <cell r="AH1727">
            <v>0.25</v>
          </cell>
          <cell r="AI1727">
            <v>0.25</v>
          </cell>
          <cell r="AJ1727">
            <v>0.25</v>
          </cell>
          <cell r="AK1727">
            <v>0.25</v>
          </cell>
          <cell r="AL1727">
            <v>0.25</v>
          </cell>
          <cell r="AM1727">
            <v>0.25</v>
          </cell>
          <cell r="AN1727">
            <v>0.25</v>
          </cell>
          <cell r="AO1727">
            <v>0.25</v>
          </cell>
          <cell r="AP1727">
            <v>0.25</v>
          </cell>
          <cell r="AQ1727">
            <v>0.25</v>
          </cell>
          <cell r="AR1727">
            <v>0.25</v>
          </cell>
          <cell r="AS1727">
            <v>0.25</v>
          </cell>
          <cell r="AT1727">
            <v>-0.04</v>
          </cell>
          <cell r="AU1727">
            <v>0.92</v>
          </cell>
          <cell r="AV1727">
            <v>20</v>
          </cell>
          <cell r="AY1727" t="str">
            <v/>
          </cell>
          <cell r="AZ1727">
            <v>0.25</v>
          </cell>
          <cell r="BA1727">
            <v>0.25</v>
          </cell>
        </row>
        <row r="1728">
          <cell r="A1728" t="str">
            <v>MONTANELLI SAS DI MONTANELLI S.E C.</v>
          </cell>
          <cell r="D1728" t="str">
            <v>VIA GUIDO ROSSA 27</v>
          </cell>
          <cell r="E1728" t="str">
            <v>55051</v>
          </cell>
          <cell r="F1728" t="str">
            <v xml:space="preserve"> FORNACI DI BARGA</v>
          </cell>
          <cell r="G1728" t="str">
            <v>LU</v>
          </cell>
          <cell r="H1728" t="str">
            <v>ITALIA</v>
          </cell>
          <cell r="M1728" t="str">
            <v>UFFICIO ACQUISTI</v>
          </cell>
          <cell r="N1728" t="str">
            <v>0583 75558</v>
          </cell>
          <cell r="P1728" t="str">
            <v>info@montanelliserramenti.com</v>
          </cell>
          <cell r="R1728" t="str">
            <v>BONIFICO BANCARIO, ALLA DATA DELLA NOSTRA CONFERMA D'ORDINE</v>
          </cell>
          <cell r="X1728">
            <v>0.25</v>
          </cell>
          <cell r="Y1728">
            <v>-0.04</v>
          </cell>
          <cell r="AB1728">
            <v>0.25</v>
          </cell>
          <cell r="AC1728">
            <v>0.25</v>
          </cell>
          <cell r="AD1728">
            <v>0.25</v>
          </cell>
          <cell r="AE1728">
            <v>0.25</v>
          </cell>
          <cell r="AF1728">
            <v>0.25</v>
          </cell>
          <cell r="AG1728">
            <v>0.25</v>
          </cell>
          <cell r="AH1728">
            <v>0.25</v>
          </cell>
          <cell r="AI1728">
            <v>0.25</v>
          </cell>
          <cell r="AJ1728">
            <v>0.25</v>
          </cell>
          <cell r="AK1728">
            <v>0.25</v>
          </cell>
          <cell r="AL1728">
            <v>0.25</v>
          </cell>
          <cell r="AM1728">
            <v>0.25</v>
          </cell>
          <cell r="AN1728">
            <v>0.25</v>
          </cell>
          <cell r="AO1728">
            <v>0.25</v>
          </cell>
          <cell r="AP1728">
            <v>0.25</v>
          </cell>
          <cell r="AQ1728">
            <v>0.25</v>
          </cell>
          <cell r="AR1728">
            <v>0.25</v>
          </cell>
          <cell r="AS1728">
            <v>0.25</v>
          </cell>
          <cell r="AT1728">
            <v>-0.04</v>
          </cell>
          <cell r="AU1728">
            <v>0.92</v>
          </cell>
          <cell r="AV1728">
            <v>20</v>
          </cell>
          <cell r="AY1728" t="str">
            <v/>
          </cell>
          <cell r="AZ1728">
            <v>0.25</v>
          </cell>
          <cell r="BA1728">
            <v>0.25</v>
          </cell>
        </row>
        <row r="1729">
          <cell r="A1729" t="str">
            <v>MONTEFERRARIO</v>
          </cell>
          <cell r="D1729" t="str">
            <v>VIA SPOLINA, 18B</v>
          </cell>
          <cell r="E1729">
            <v>13836</v>
          </cell>
          <cell r="F1729" t="str">
            <v>COSSATO</v>
          </cell>
          <cell r="G1729" t="str">
            <v>BI</v>
          </cell>
          <cell r="H1729" t="str">
            <v>ITALIA</v>
          </cell>
          <cell r="I1729" t="str">
            <v>01655630026</v>
          </cell>
          <cell r="J1729" t="str">
            <v>01655630026</v>
          </cell>
          <cell r="M1729" t="str">
            <v>UFFICIO ACQUISTI</v>
          </cell>
          <cell r="N1729" t="str">
            <v>015 927347</v>
          </cell>
          <cell r="P1729" t="str">
            <v>ebanisteria@monteferrario.it</v>
          </cell>
          <cell r="R1729" t="str">
            <v>BONIFICO BANCARIO, ALLA DATA DELLA NOSTRA CONFERMA D'ORDINE</v>
          </cell>
          <cell r="X1729">
            <v>0.25</v>
          </cell>
          <cell r="Y1729">
            <v>-0.04</v>
          </cell>
          <cell r="AB1729">
            <v>0.25</v>
          </cell>
          <cell r="AC1729">
            <v>0.25</v>
          </cell>
          <cell r="AD1729">
            <v>0.25</v>
          </cell>
          <cell r="AE1729">
            <v>0.25</v>
          </cell>
          <cell r="AF1729">
            <v>0.25</v>
          </cell>
          <cell r="AG1729">
            <v>0.25</v>
          </cell>
          <cell r="AH1729">
            <v>0.25</v>
          </cell>
          <cell r="AI1729">
            <v>0.25</v>
          </cell>
          <cell r="AJ1729">
            <v>0.25</v>
          </cell>
          <cell r="AK1729">
            <v>0.25</v>
          </cell>
          <cell r="AL1729">
            <v>0.25</v>
          </cell>
          <cell r="AM1729">
            <v>0.25</v>
          </cell>
          <cell r="AN1729">
            <v>0.25</v>
          </cell>
          <cell r="AO1729">
            <v>0.25</v>
          </cell>
          <cell r="AP1729">
            <v>0.25</v>
          </cell>
          <cell r="AQ1729">
            <v>0.25</v>
          </cell>
          <cell r="AR1729">
            <v>0.25</v>
          </cell>
          <cell r="AS1729">
            <v>0.25</v>
          </cell>
          <cell r="AT1729">
            <v>-0.04</v>
          </cell>
          <cell r="AU1729">
            <v>0.92</v>
          </cell>
          <cell r="AV1729">
            <v>20</v>
          </cell>
          <cell r="AY1729" t="str">
            <v/>
          </cell>
          <cell r="AZ1729">
            <v>0.25</v>
          </cell>
          <cell r="BA1729">
            <v>0.25</v>
          </cell>
        </row>
        <row r="1730">
          <cell r="A1730" t="str">
            <v>MONZA SERRAMENTI</v>
          </cell>
          <cell r="D1730" t="str">
            <v>VIA BORGAZZI 144</v>
          </cell>
          <cell r="E1730" t="str">
            <v>20900</v>
          </cell>
          <cell r="F1730" t="str">
            <v>MONZA</v>
          </cell>
          <cell r="G1730" t="str">
            <v>MB</v>
          </cell>
          <cell r="H1730" t="str">
            <v>ITALIA</v>
          </cell>
          <cell r="M1730" t="str">
            <v>UFFICIO ACQUISTI</v>
          </cell>
          <cell r="N1730" t="str">
            <v>039 9167229</v>
          </cell>
          <cell r="R1730" t="str">
            <v>BONIFICO BANCARIO, ALLA DATA DELLA NOSTRA CONFERMA D'ORDINE</v>
          </cell>
          <cell r="X1730">
            <v>0.25</v>
          </cell>
          <cell r="Y1730">
            <v>-0.04</v>
          </cell>
          <cell r="AB1730">
            <v>0.25</v>
          </cell>
          <cell r="AC1730">
            <v>0.25</v>
          </cell>
          <cell r="AD1730">
            <v>0.25</v>
          </cell>
          <cell r="AE1730">
            <v>0.25</v>
          </cell>
          <cell r="AF1730">
            <v>0.25</v>
          </cell>
          <cell r="AG1730">
            <v>0.25</v>
          </cell>
          <cell r="AH1730">
            <v>0.25</v>
          </cell>
          <cell r="AI1730">
            <v>0.25</v>
          </cell>
          <cell r="AJ1730">
            <v>0.25</v>
          </cell>
          <cell r="AK1730">
            <v>0.25</v>
          </cell>
          <cell r="AL1730">
            <v>0.25</v>
          </cell>
          <cell r="AM1730">
            <v>0.25</v>
          </cell>
          <cell r="AN1730">
            <v>0.25</v>
          </cell>
          <cell r="AO1730">
            <v>0.25</v>
          </cell>
          <cell r="AP1730">
            <v>0.25</v>
          </cell>
          <cell r="AQ1730">
            <v>0.25</v>
          </cell>
          <cell r="AR1730">
            <v>0.25</v>
          </cell>
          <cell r="AS1730">
            <v>0.25</v>
          </cell>
          <cell r="AT1730">
            <v>-0.04</v>
          </cell>
          <cell r="AU1730">
            <v>0.92</v>
          </cell>
          <cell r="AV1730">
            <v>20</v>
          </cell>
          <cell r="AY1730" t="str">
            <v/>
          </cell>
          <cell r="AZ1730">
            <v>0.25</v>
          </cell>
          <cell r="BA1730">
            <v>0.25</v>
          </cell>
        </row>
        <row r="1731">
          <cell r="A1731" t="str">
            <v xml:space="preserve">MORANDI WAINER &amp; C. </v>
          </cell>
          <cell r="B1731" t="str">
            <v>QUESTO COMPRA</v>
          </cell>
          <cell r="D1731" t="str">
            <v>VIA C.BATTISTI, 3D</v>
          </cell>
          <cell r="E1731">
            <v>41058</v>
          </cell>
          <cell r="F1731" t="str">
            <v>VIGNOLA</v>
          </cell>
          <cell r="G1731" t="str">
            <v>MO</v>
          </cell>
          <cell r="H1731" t="str">
            <v>ITALIA</v>
          </cell>
          <cell r="M1731" t="str">
            <v>UFFICIO ACQUISTI</v>
          </cell>
          <cell r="N1731" t="str">
            <v>059 771331</v>
          </cell>
          <cell r="O1731" t="str">
            <v>347 8469199</v>
          </cell>
          <cell r="P1731" t="str">
            <v>info@morandiwainer.it</v>
          </cell>
          <cell r="R1731" t="str">
            <v>BONIFICO BANCARIO, ALLA DATA DELLA NOSTRA CONFERMA D'ORDINE</v>
          </cell>
          <cell r="X1731">
            <v>0.25</v>
          </cell>
          <cell r="Y1731">
            <v>-0.04</v>
          </cell>
          <cell r="AB1731">
            <v>0.25</v>
          </cell>
          <cell r="AC1731">
            <v>0.25</v>
          </cell>
          <cell r="AD1731">
            <v>0.25</v>
          </cell>
          <cell r="AE1731">
            <v>0.25</v>
          </cell>
          <cell r="AF1731">
            <v>0.25</v>
          </cell>
          <cell r="AG1731">
            <v>0.25</v>
          </cell>
          <cell r="AH1731">
            <v>0.25</v>
          </cell>
          <cell r="AI1731">
            <v>0.25</v>
          </cell>
          <cell r="AJ1731">
            <v>0.25</v>
          </cell>
          <cell r="AK1731">
            <v>0.25</v>
          </cell>
          <cell r="AL1731">
            <v>0.25</v>
          </cell>
          <cell r="AM1731">
            <v>0.25</v>
          </cell>
          <cell r="AN1731">
            <v>0.25</v>
          </cell>
          <cell r="AO1731">
            <v>0.25</v>
          </cell>
          <cell r="AP1731">
            <v>0.25</v>
          </cell>
          <cell r="AQ1731">
            <v>0.25</v>
          </cell>
          <cell r="AR1731">
            <v>0.25</v>
          </cell>
          <cell r="AS1731">
            <v>0.25</v>
          </cell>
          <cell r="AT1731">
            <v>-0.04</v>
          </cell>
          <cell r="AU1731">
            <v>0.92</v>
          </cell>
          <cell r="AV1731">
            <v>20</v>
          </cell>
          <cell r="AZ1731">
            <v>0.25</v>
          </cell>
          <cell r="BA1731">
            <v>0.25</v>
          </cell>
        </row>
        <row r="1732">
          <cell r="A1732" t="str">
            <v>MORGAVI SERRAMENTI</v>
          </cell>
          <cell r="D1732" t="str">
            <v xml:space="preserve">STRADA STATALE PER ALESSANDRIA  LOC. FORNACE CASCINOTTI </v>
          </cell>
          <cell r="E1732" t="str">
            <v>15057</v>
          </cell>
          <cell r="F1732" t="str">
            <v>TORTONA</v>
          </cell>
          <cell r="G1732" t="str">
            <v>AL</v>
          </cell>
          <cell r="H1732" t="str">
            <v>ITALIA</v>
          </cell>
          <cell r="M1732" t="str">
            <v>UFFICIO ACQUISTI</v>
          </cell>
          <cell r="N1732" t="str">
            <v>0131 813843</v>
          </cell>
          <cell r="R1732" t="str">
            <v>BONIFICO BANCARIO, ALLA DATA DELLA NOSTRA CONFERMA D'ORDINE</v>
          </cell>
          <cell r="X1732">
            <v>0.25</v>
          </cell>
          <cell r="Y1732">
            <v>-0.04</v>
          </cell>
          <cell r="AB1732">
            <v>0.25</v>
          </cell>
          <cell r="AC1732">
            <v>0.25</v>
          </cell>
          <cell r="AD1732">
            <v>0.25</v>
          </cell>
          <cell r="AE1732">
            <v>0.25</v>
          </cell>
          <cell r="AF1732">
            <v>0.25</v>
          </cell>
          <cell r="AG1732">
            <v>0.25</v>
          </cell>
          <cell r="AH1732">
            <v>0.25</v>
          </cell>
          <cell r="AI1732">
            <v>0.25</v>
          </cell>
          <cell r="AJ1732">
            <v>0.25</v>
          </cell>
          <cell r="AK1732">
            <v>0.25</v>
          </cell>
          <cell r="AL1732">
            <v>0.25</v>
          </cell>
          <cell r="AM1732">
            <v>0.25</v>
          </cell>
          <cell r="AN1732">
            <v>0.25</v>
          </cell>
          <cell r="AO1732">
            <v>0.25</v>
          </cell>
          <cell r="AP1732">
            <v>0.25</v>
          </cell>
          <cell r="AQ1732">
            <v>0.25</v>
          </cell>
          <cell r="AR1732">
            <v>0.25</v>
          </cell>
          <cell r="AS1732">
            <v>0.25</v>
          </cell>
          <cell r="AT1732">
            <v>-0.04</v>
          </cell>
          <cell r="AU1732">
            <v>0.92</v>
          </cell>
          <cell r="AV1732">
            <v>20</v>
          </cell>
          <cell r="AZ1732">
            <v>0.25</v>
          </cell>
          <cell r="BA1732">
            <v>0.25</v>
          </cell>
        </row>
        <row r="1733">
          <cell r="A1733" t="str">
            <v>MORIN MATTEO E FIGLIO MARCO</v>
          </cell>
          <cell r="B1733" t="str">
            <v>INTERESSATO</v>
          </cell>
          <cell r="D1733" t="str">
            <v>VIA ALESSANDRIA, 44</v>
          </cell>
          <cell r="E1733">
            <v>17100</v>
          </cell>
          <cell r="F1733" t="str">
            <v>ALBISOLA SUPERIORE</v>
          </cell>
          <cell r="G1733" t="str">
            <v>SV</v>
          </cell>
          <cell r="H1733" t="str">
            <v>ITALIA</v>
          </cell>
          <cell r="M1733" t="str">
            <v>UFFICIO ACQUISTI</v>
          </cell>
          <cell r="N1733" t="str">
            <v>019 489870</v>
          </cell>
          <cell r="R1733" t="str">
            <v>BONIFICO BANCARIO, ALLA DATA DELLA NOSTRA CONFERMA D'ORDINE</v>
          </cell>
          <cell r="X1733">
            <v>0.25</v>
          </cell>
          <cell r="Y1733">
            <v>-0.04</v>
          </cell>
          <cell r="AB1733">
            <v>0.25</v>
          </cell>
          <cell r="AC1733">
            <v>0.25</v>
          </cell>
          <cell r="AD1733">
            <v>0.25</v>
          </cell>
          <cell r="AE1733">
            <v>0.25</v>
          </cell>
          <cell r="AF1733">
            <v>0.25</v>
          </cell>
          <cell r="AG1733">
            <v>0.25</v>
          </cell>
          <cell r="AH1733">
            <v>0.25</v>
          </cell>
          <cell r="AI1733">
            <v>0.25</v>
          </cell>
          <cell r="AJ1733">
            <v>0.25</v>
          </cell>
          <cell r="AK1733">
            <v>0.25</v>
          </cell>
          <cell r="AL1733">
            <v>0.25</v>
          </cell>
          <cell r="AM1733">
            <v>0.25</v>
          </cell>
          <cell r="AN1733">
            <v>0.25</v>
          </cell>
          <cell r="AO1733">
            <v>0.25</v>
          </cell>
          <cell r="AP1733">
            <v>0.25</v>
          </cell>
          <cell r="AQ1733">
            <v>0.25</v>
          </cell>
          <cell r="AR1733">
            <v>0.25</v>
          </cell>
          <cell r="AS1733">
            <v>0.25</v>
          </cell>
          <cell r="AT1733">
            <v>-0.04</v>
          </cell>
          <cell r="AU1733">
            <v>0.92</v>
          </cell>
          <cell r="AV1733">
            <v>20</v>
          </cell>
          <cell r="AY1733" t="str">
            <v/>
          </cell>
          <cell r="AZ1733">
            <v>0.25</v>
          </cell>
          <cell r="BA1733">
            <v>0.25</v>
          </cell>
        </row>
        <row r="1734">
          <cell r="A1734" t="str">
            <v>MOSSA ADRIANO SERRAMENTI</v>
          </cell>
          <cell r="D1734" t="str">
            <v>VIA DEL CIGNO, 12</v>
          </cell>
          <cell r="E1734">
            <v>17024</v>
          </cell>
          <cell r="F1734" t="str">
            <v>FINALE LIGURE</v>
          </cell>
          <cell r="G1734" t="str">
            <v>SV</v>
          </cell>
          <cell r="H1734" t="str">
            <v>ITALIA</v>
          </cell>
          <cell r="I1734" t="str">
            <v>MSSDRN59S11I565R</v>
          </cell>
          <cell r="J1734" t="str">
            <v>01070370091</v>
          </cell>
          <cell r="M1734" t="str">
            <v>UFFICIO ACQUISTI</v>
          </cell>
          <cell r="N1734" t="str">
            <v>019 680617</v>
          </cell>
          <cell r="R1734" t="str">
            <v>BONIFICO BANCARIO, ALLA DATA DELLA NOSTRA CONFERMA D'ORDINE</v>
          </cell>
          <cell r="X1734">
            <v>0.25</v>
          </cell>
          <cell r="Y1734">
            <v>-0.04</v>
          </cell>
          <cell r="AB1734">
            <v>0.25</v>
          </cell>
          <cell r="AC1734">
            <v>0.25</v>
          </cell>
          <cell r="AD1734">
            <v>0.25</v>
          </cell>
          <cell r="AE1734">
            <v>0.25</v>
          </cell>
          <cell r="AF1734">
            <v>0.25</v>
          </cell>
          <cell r="AG1734">
            <v>0.25</v>
          </cell>
          <cell r="AH1734">
            <v>0.25</v>
          </cell>
          <cell r="AI1734">
            <v>0.25</v>
          </cell>
          <cell r="AJ1734">
            <v>0.25</v>
          </cell>
          <cell r="AK1734">
            <v>0.25</v>
          </cell>
          <cell r="AL1734">
            <v>0.25</v>
          </cell>
          <cell r="AM1734">
            <v>0.25</v>
          </cell>
          <cell r="AN1734">
            <v>0.25</v>
          </cell>
          <cell r="AO1734">
            <v>0.25</v>
          </cell>
          <cell r="AP1734">
            <v>0.25</v>
          </cell>
          <cell r="AQ1734">
            <v>0.25</v>
          </cell>
          <cell r="AR1734">
            <v>0.25</v>
          </cell>
          <cell r="AS1734">
            <v>0.25</v>
          </cell>
          <cell r="AT1734">
            <v>-0.04</v>
          </cell>
          <cell r="AU1734">
            <v>0.92</v>
          </cell>
          <cell r="AV1734">
            <v>20</v>
          </cell>
          <cell r="AY1734" t="str">
            <v/>
          </cell>
          <cell r="AZ1734">
            <v>0.25</v>
          </cell>
          <cell r="BA1734">
            <v>0.25</v>
          </cell>
        </row>
        <row r="1735">
          <cell r="A1735" t="str">
            <v>MOTTA</v>
          </cell>
          <cell r="D1735" t="str">
            <v>VIA D'UCA D'ESTE, 16  18</v>
          </cell>
          <cell r="E1735" t="str">
            <v>41036</v>
          </cell>
          <cell r="F1735" t="str">
            <v>MEDOLLA</v>
          </cell>
          <cell r="G1735" t="str">
            <v>MO</v>
          </cell>
          <cell r="H1735" t="str">
            <v>ITALIA</v>
          </cell>
          <cell r="M1735" t="str">
            <v>UFFICIO ACQUISTI</v>
          </cell>
          <cell r="N1735" t="str">
            <v>0535 46974</v>
          </cell>
          <cell r="P1735" t="str">
            <v>info@serramentimotta.it</v>
          </cell>
          <cell r="R1735" t="str">
            <v>BONIFICO BANCARIO, ALLA DATA DELLA NOSTRA CONFERMA D'ORDINE</v>
          </cell>
          <cell r="X1735">
            <v>0.25</v>
          </cell>
          <cell r="Y1735">
            <v>-0.04</v>
          </cell>
          <cell r="AB1735">
            <v>0.25</v>
          </cell>
          <cell r="AC1735">
            <v>0.25</v>
          </cell>
          <cell r="AD1735">
            <v>0.25</v>
          </cell>
          <cell r="AE1735">
            <v>0.25</v>
          </cell>
          <cell r="AF1735">
            <v>0.25</v>
          </cell>
          <cell r="AG1735">
            <v>0.25</v>
          </cell>
          <cell r="AH1735">
            <v>0.25</v>
          </cell>
          <cell r="AI1735">
            <v>0.25</v>
          </cell>
          <cell r="AJ1735">
            <v>0.25</v>
          </cell>
          <cell r="AK1735">
            <v>0.25</v>
          </cell>
          <cell r="AL1735">
            <v>0.25</v>
          </cell>
          <cell r="AM1735">
            <v>0.25</v>
          </cell>
          <cell r="AN1735">
            <v>0.25</v>
          </cell>
          <cell r="AO1735">
            <v>0.25</v>
          </cell>
          <cell r="AP1735">
            <v>0.25</v>
          </cell>
          <cell r="AQ1735">
            <v>0.25</v>
          </cell>
          <cell r="AR1735">
            <v>0.25</v>
          </cell>
          <cell r="AS1735">
            <v>0.25</v>
          </cell>
          <cell r="AT1735">
            <v>-0.04</v>
          </cell>
          <cell r="AU1735">
            <v>0.92</v>
          </cell>
          <cell r="AV1735">
            <v>20</v>
          </cell>
          <cell r="AY1735" t="str">
            <v/>
          </cell>
          <cell r="AZ1735">
            <v>0.25</v>
          </cell>
          <cell r="BA1735">
            <v>0.25</v>
          </cell>
        </row>
        <row r="1736">
          <cell r="A1736" t="str">
            <v>MOTTURA IDEA</v>
          </cell>
          <cell r="B1736" t="str">
            <v>LE COMPRA QUALCHEDUNA DI CORONA ZANZARIERE</v>
          </cell>
          <cell r="D1736" t="str">
            <v>V.ARGINE DESTRO , 559</v>
          </cell>
          <cell r="E1736">
            <v>18100</v>
          </cell>
          <cell r="F1736" t="str">
            <v>IMPERIA</v>
          </cell>
          <cell r="G1736" t="str">
            <v>IM</v>
          </cell>
          <cell r="H1736" t="str">
            <v>ITALIA</v>
          </cell>
          <cell r="I1736" t="str">
            <v>MTTLNZ56H30E290K</v>
          </cell>
          <cell r="J1736" t="str">
            <v>01509280085</v>
          </cell>
          <cell r="M1736" t="str">
            <v>UFFICIO ACQUISTI</v>
          </cell>
          <cell r="N1736" t="str">
            <v>0183 752963</v>
          </cell>
          <cell r="O1736" t="str">
            <v>328 0093844 - 348 8052329</v>
          </cell>
          <cell r="P1736" t="str">
            <v>info@motturaidea.it</v>
          </cell>
          <cell r="R1736" t="str">
            <v>BONIFICO BANCARIO, ALLA DATA DELLA NOSTRA CONFERMA D'ORDINE</v>
          </cell>
          <cell r="X1736">
            <v>0.25</v>
          </cell>
          <cell r="Y1736">
            <v>-0.04</v>
          </cell>
          <cell r="AB1736">
            <v>0.25</v>
          </cell>
          <cell r="AC1736">
            <v>0.25</v>
          </cell>
          <cell r="AD1736">
            <v>0.25</v>
          </cell>
          <cell r="AE1736">
            <v>0.25</v>
          </cell>
          <cell r="AF1736">
            <v>0.25</v>
          </cell>
          <cell r="AG1736">
            <v>0.25</v>
          </cell>
          <cell r="AH1736">
            <v>0.25</v>
          </cell>
          <cell r="AI1736">
            <v>0.25</v>
          </cell>
          <cell r="AJ1736">
            <v>0.25</v>
          </cell>
          <cell r="AK1736">
            <v>0.25</v>
          </cell>
          <cell r="AL1736">
            <v>0.25</v>
          </cell>
          <cell r="AM1736">
            <v>0.25</v>
          </cell>
          <cell r="AN1736">
            <v>0.25</v>
          </cell>
          <cell r="AO1736">
            <v>0.25</v>
          </cell>
          <cell r="AP1736">
            <v>0.25</v>
          </cell>
          <cell r="AQ1736">
            <v>0.25</v>
          </cell>
          <cell r="AR1736">
            <v>0.25</v>
          </cell>
          <cell r="AS1736">
            <v>0.25</v>
          </cell>
          <cell r="AT1736">
            <v>-0.04</v>
          </cell>
          <cell r="AU1736">
            <v>0.92</v>
          </cell>
          <cell r="AV1736">
            <v>20</v>
          </cell>
          <cell r="AY1736" t="str">
            <v/>
          </cell>
          <cell r="AZ1736">
            <v>0.25</v>
          </cell>
          <cell r="BA1736">
            <v>0.25</v>
          </cell>
        </row>
        <row r="1737">
          <cell r="A1737" t="str">
            <v>MOZZO SNC DI MOZZO GIAMPIETRO E SANTI SERGIO</v>
          </cell>
          <cell r="D1737" t="str">
            <v>VIA DELLA CONSORTIA, 23/A</v>
          </cell>
          <cell r="E1737">
            <v>37127</v>
          </cell>
          <cell r="F1737" t="str">
            <v>AVESA</v>
          </cell>
          <cell r="G1737" t="str">
            <v>VR</v>
          </cell>
          <cell r="H1737" t="str">
            <v>ITALIA</v>
          </cell>
          <cell r="J1737" t="str">
            <v>02567250234</v>
          </cell>
          <cell r="K1737" t="str">
            <v>SUBM70N</v>
          </cell>
          <cell r="M1737" t="str">
            <v>UFFICIO ACQUISTI</v>
          </cell>
          <cell r="N1737" t="str">
            <v>045 915393</v>
          </cell>
          <cell r="P1737" t="str">
            <v>info@mozzoserramenti.it</v>
          </cell>
          <cell r="R1737" t="str">
            <v>BONIFICO BANCARIO, ALLA DATA DELLA NOSTRA CONFERMA D'ORDINE</v>
          </cell>
          <cell r="X1737">
            <v>0.25</v>
          </cell>
          <cell r="Y1737">
            <v>-0.04</v>
          </cell>
          <cell r="AB1737">
            <v>0.25</v>
          </cell>
          <cell r="AC1737">
            <v>0.25</v>
          </cell>
          <cell r="AD1737">
            <v>0.25</v>
          </cell>
          <cell r="AE1737">
            <v>0.25</v>
          </cell>
          <cell r="AF1737">
            <v>0.25</v>
          </cell>
          <cell r="AG1737">
            <v>0.25</v>
          </cell>
          <cell r="AH1737">
            <v>0.25</v>
          </cell>
          <cell r="AI1737">
            <v>0.25</v>
          </cell>
          <cell r="AJ1737">
            <v>0.25</v>
          </cell>
          <cell r="AK1737">
            <v>0.25</v>
          </cell>
          <cell r="AL1737">
            <v>0.25</v>
          </cell>
          <cell r="AM1737">
            <v>0.25</v>
          </cell>
          <cell r="AN1737">
            <v>0.25</v>
          </cell>
          <cell r="AO1737">
            <v>0.25</v>
          </cell>
          <cell r="AP1737">
            <v>0.25</v>
          </cell>
          <cell r="AQ1737">
            <v>0.25</v>
          </cell>
          <cell r="AR1737">
            <v>0.25</v>
          </cell>
          <cell r="AS1737">
            <v>0.25</v>
          </cell>
          <cell r="AT1737">
            <v>-0.04</v>
          </cell>
          <cell r="AU1737">
            <v>0.92</v>
          </cell>
          <cell r="AV1737">
            <v>20</v>
          </cell>
          <cell r="AY1737" t="str">
            <v/>
          </cell>
          <cell r="AZ1737">
            <v>0.25</v>
          </cell>
          <cell r="BA1737">
            <v>0.25</v>
          </cell>
        </row>
        <row r="1738">
          <cell r="A1738" t="str">
            <v>MP ESCO SRL</v>
          </cell>
          <cell r="D1738" t="str">
            <v>VIA DEL SALICE 13/A</v>
          </cell>
          <cell r="E1738" t="str">
            <v>57025</v>
          </cell>
          <cell r="F1738" t="str">
            <v>PIOMBINO</v>
          </cell>
          <cell r="G1738" t="str">
            <v>GR</v>
          </cell>
          <cell r="H1738" t="str">
            <v>ITALIA</v>
          </cell>
          <cell r="J1738" t="str">
            <v>06055240482</v>
          </cell>
          <cell r="M1738" t="str">
            <v>UFFICIO ACQUISTI</v>
          </cell>
          <cell r="N1738" t="str">
            <v>0565 260507</v>
          </cell>
          <cell r="O1738" t="str">
            <v>334 9820151</v>
          </cell>
          <cell r="R1738" t="str">
            <v>BONIFICO BANCARIO, ALLA DATA DELLA NOSTRA CONFERMA D'ORDINE</v>
          </cell>
          <cell r="X1738">
            <v>0.25</v>
          </cell>
          <cell r="Y1738">
            <v>-0.04</v>
          </cell>
          <cell r="AB1738">
            <v>0.25</v>
          </cell>
          <cell r="AC1738">
            <v>0.25</v>
          </cell>
          <cell r="AD1738">
            <v>0.25</v>
          </cell>
          <cell r="AE1738">
            <v>0.25</v>
          </cell>
          <cell r="AF1738">
            <v>0.25</v>
          </cell>
          <cell r="AG1738">
            <v>0.25</v>
          </cell>
          <cell r="AH1738">
            <v>0.25</v>
          </cell>
          <cell r="AI1738">
            <v>0.25</v>
          </cell>
          <cell r="AJ1738">
            <v>0.25</v>
          </cell>
          <cell r="AK1738">
            <v>0.25</v>
          </cell>
          <cell r="AL1738">
            <v>0.25</v>
          </cell>
          <cell r="AM1738">
            <v>0.25</v>
          </cell>
          <cell r="AN1738">
            <v>0.25</v>
          </cell>
          <cell r="AO1738">
            <v>0.25</v>
          </cell>
          <cell r="AP1738">
            <v>0.25</v>
          </cell>
          <cell r="AQ1738">
            <v>0.25</v>
          </cell>
          <cell r="AR1738">
            <v>0.25</v>
          </cell>
          <cell r="AS1738">
            <v>0.25</v>
          </cell>
          <cell r="AT1738">
            <v>-0.04</v>
          </cell>
          <cell r="AU1738">
            <v>0.92</v>
          </cell>
          <cell r="AV1738">
            <v>20</v>
          </cell>
          <cell r="AY1738" t="str">
            <v/>
          </cell>
          <cell r="AZ1738">
            <v>0.25</v>
          </cell>
          <cell r="BA1738">
            <v>0.25</v>
          </cell>
        </row>
        <row r="1739">
          <cell r="A1739" t="str">
            <v>MPR SERVICE SNC</v>
          </cell>
          <cell r="D1739" t="str">
            <v>VIA UDINE 110</v>
          </cell>
          <cell r="E1739" t="str">
            <v>33170</v>
          </cell>
          <cell r="F1739" t="str">
            <v>PORDENONE</v>
          </cell>
          <cell r="G1739" t="str">
            <v>PN</v>
          </cell>
          <cell r="H1739" t="str">
            <v>ITALIA</v>
          </cell>
          <cell r="J1739" t="str">
            <v>01282780939</v>
          </cell>
          <cell r="M1739" t="str">
            <v>UFFICIO ACQUISTI</v>
          </cell>
          <cell r="N1739" t="str">
            <v>0434 21368</v>
          </cell>
          <cell r="O1739" t="str">
            <v>335 5992931</v>
          </cell>
          <cell r="P1739" t="str">
            <v>info@mprinfissi.it</v>
          </cell>
          <cell r="R1739" t="str">
            <v>BONIFICO BANCARIO, ALLA DATA DELLA NOSTRA CONFERMA D'ORDINE</v>
          </cell>
          <cell r="X1739">
            <v>0.25</v>
          </cell>
          <cell r="Y1739">
            <v>-0.04</v>
          </cell>
          <cell r="AB1739">
            <v>0.25</v>
          </cell>
          <cell r="AC1739">
            <v>0.25</v>
          </cell>
          <cell r="AD1739">
            <v>0.25</v>
          </cell>
          <cell r="AE1739">
            <v>0.25</v>
          </cell>
          <cell r="AF1739">
            <v>0.25</v>
          </cell>
          <cell r="AG1739">
            <v>0.25</v>
          </cell>
          <cell r="AH1739">
            <v>0.25</v>
          </cell>
          <cell r="AI1739">
            <v>0.25</v>
          </cell>
          <cell r="AJ1739">
            <v>0.25</v>
          </cell>
          <cell r="AK1739">
            <v>0.25</v>
          </cell>
          <cell r="AL1739">
            <v>0.25</v>
          </cell>
          <cell r="AM1739">
            <v>0.25</v>
          </cell>
          <cell r="AN1739">
            <v>0.25</v>
          </cell>
          <cell r="AO1739">
            <v>0.25</v>
          </cell>
          <cell r="AP1739">
            <v>0.25</v>
          </cell>
          <cell r="AQ1739">
            <v>0.25</v>
          </cell>
          <cell r="AR1739">
            <v>0.25</v>
          </cell>
          <cell r="AS1739">
            <v>0.25</v>
          </cell>
          <cell r="AT1739">
            <v>-0.04</v>
          </cell>
          <cell r="AU1739">
            <v>0.92</v>
          </cell>
          <cell r="AV1739">
            <v>20</v>
          </cell>
          <cell r="AY1739" t="str">
            <v/>
          </cell>
          <cell r="AZ1739">
            <v>0.25</v>
          </cell>
          <cell r="BA1739">
            <v>0.25</v>
          </cell>
        </row>
        <row r="1740">
          <cell r="A1740" t="str">
            <v>MSA SERRAMENTI</v>
          </cell>
          <cell r="B1740" t="str">
            <v>IL GENERO E' INTERESSATO MA IL SUOCERO COMANDA.</v>
          </cell>
          <cell r="D1740" t="str">
            <v>VIA ROSSINI, 59 R</v>
          </cell>
          <cell r="E1740">
            <v>16159</v>
          </cell>
          <cell r="F1740" t="str">
            <v>GE-RIVAROLO</v>
          </cell>
          <cell r="G1740" t="str">
            <v>GE</v>
          </cell>
          <cell r="H1740" t="str">
            <v>ITALIA</v>
          </cell>
          <cell r="M1740" t="str">
            <v>UFFICIO ACQUISTI</v>
          </cell>
          <cell r="N1740" t="str">
            <v>010 7411116</v>
          </cell>
          <cell r="R1740" t="str">
            <v>BONIFICO BANCARIO, ALLA DATA DELLA NOSTRA CONFERMA D'ORDINE</v>
          </cell>
          <cell r="X1740">
            <v>0.25</v>
          </cell>
          <cell r="Y1740">
            <v>-0.04</v>
          </cell>
          <cell r="AB1740">
            <v>0.25</v>
          </cell>
          <cell r="AC1740">
            <v>0.25</v>
          </cell>
          <cell r="AD1740">
            <v>0.25</v>
          </cell>
          <cell r="AE1740">
            <v>0.25</v>
          </cell>
          <cell r="AF1740">
            <v>0.25</v>
          </cell>
          <cell r="AG1740">
            <v>0.25</v>
          </cell>
          <cell r="AH1740">
            <v>0.25</v>
          </cell>
          <cell r="AI1740">
            <v>0.25</v>
          </cell>
          <cell r="AJ1740">
            <v>0.25</v>
          </cell>
          <cell r="AK1740">
            <v>0.25</v>
          </cell>
          <cell r="AL1740">
            <v>0.25</v>
          </cell>
          <cell r="AM1740">
            <v>0.25</v>
          </cell>
          <cell r="AN1740">
            <v>0.25</v>
          </cell>
          <cell r="AO1740">
            <v>0.25</v>
          </cell>
          <cell r="AP1740">
            <v>0.25</v>
          </cell>
          <cell r="AQ1740">
            <v>0.25</v>
          </cell>
          <cell r="AR1740">
            <v>0.25</v>
          </cell>
          <cell r="AS1740">
            <v>0.25</v>
          </cell>
          <cell r="AT1740">
            <v>-0.04</v>
          </cell>
          <cell r="AU1740">
            <v>0.92</v>
          </cell>
          <cell r="AV1740">
            <v>20</v>
          </cell>
          <cell r="AZ1740">
            <v>0.25</v>
          </cell>
          <cell r="BA1740">
            <v>0.25</v>
          </cell>
        </row>
        <row r="1741">
          <cell r="A1741" t="str">
            <v>MT INFISSI</v>
          </cell>
          <cell r="F1741" t="str">
            <v>CAPO D'ORLANDO</v>
          </cell>
          <cell r="G1741" t="str">
            <v>ME</v>
          </cell>
          <cell r="H1741" t="str">
            <v>ITALIA</v>
          </cell>
          <cell r="J1741" t="str">
            <v>03221640836</v>
          </cell>
          <cell r="M1741" t="str">
            <v>UFFICIO ACQUISTI</v>
          </cell>
          <cell r="O1741" t="str">
            <v>328 4139492 MIRKO MASTRANTONIO</v>
          </cell>
          <cell r="P1741" t="str">
            <v>mtinfissi@hotmail.it</v>
          </cell>
          <cell r="R1741" t="str">
            <v>BONIFICO BANCARIO, ALLA DATA DELLA NOSTRA CONFERMA D'ORDINE</v>
          </cell>
          <cell r="X1741">
            <v>0.25</v>
          </cell>
          <cell r="Y1741">
            <v>-0.04</v>
          </cell>
          <cell r="AB1741">
            <v>0.25</v>
          </cell>
          <cell r="AC1741">
            <v>0.25</v>
          </cell>
          <cell r="AD1741">
            <v>0.25</v>
          </cell>
          <cell r="AE1741">
            <v>0.25</v>
          </cell>
          <cell r="AF1741">
            <v>0.25</v>
          </cell>
          <cell r="AG1741">
            <v>0.25</v>
          </cell>
          <cell r="AH1741">
            <v>0.25</v>
          </cell>
          <cell r="AI1741">
            <v>0.25</v>
          </cell>
          <cell r="AJ1741">
            <v>0.25</v>
          </cell>
          <cell r="AK1741">
            <v>0.25</v>
          </cell>
          <cell r="AL1741">
            <v>0.25</v>
          </cell>
          <cell r="AM1741">
            <v>0.25</v>
          </cell>
          <cell r="AN1741">
            <v>0.25</v>
          </cell>
          <cell r="AO1741">
            <v>0.25</v>
          </cell>
          <cell r="AP1741">
            <v>0.25</v>
          </cell>
          <cell r="AQ1741">
            <v>0.25</v>
          </cell>
          <cell r="AR1741">
            <v>0.25</v>
          </cell>
          <cell r="AS1741">
            <v>0.25</v>
          </cell>
          <cell r="AT1741">
            <v>-0.04</v>
          </cell>
          <cell r="AU1741">
            <v>0.92</v>
          </cell>
          <cell r="AV1741">
            <v>20</v>
          </cell>
          <cell r="AY1741" t="str">
            <v/>
          </cell>
          <cell r="AZ1741">
            <v>0.25</v>
          </cell>
          <cell r="BA1741">
            <v>0.25</v>
          </cell>
        </row>
        <row r="1742">
          <cell r="A1742" t="str">
            <v>MUCELLI E INCOLLU SNC</v>
          </cell>
          <cell r="B1742" t="str">
            <v>NICOLA MUCELLI RESP.CARPENTERIA/GIAMPIERO INCOLLU RESP.INFISSI</v>
          </cell>
          <cell r="D1742" t="str">
            <v>ZONA IND.LE BACCASARA</v>
          </cell>
          <cell r="E1742" t="str">
            <v>08048</v>
          </cell>
          <cell r="F1742" t="str">
            <v>TORTOLI'</v>
          </cell>
          <cell r="G1742" t="str">
            <v>NU</v>
          </cell>
          <cell r="H1742" t="str">
            <v>ITALIA</v>
          </cell>
          <cell r="M1742" t="str">
            <v>UFFICIO ACQUISTI</v>
          </cell>
          <cell r="N1742" t="str">
            <v>0782 622501</v>
          </cell>
          <cell r="O1742" t="str">
            <v>339 317168 INCOLLU   347 7679075 MUCELLI</v>
          </cell>
          <cell r="P1742" t="str">
            <v>info@mucellieincollu.it</v>
          </cell>
          <cell r="R1742" t="str">
            <v>BONIFICO BANCARIO, ALLA DATA DELLA NOSTRA CONFERMA D'ORDINE</v>
          </cell>
          <cell r="X1742">
            <v>0.2</v>
          </cell>
          <cell r="Y1742">
            <v>-0.04</v>
          </cell>
          <cell r="AB1742">
            <v>0.2</v>
          </cell>
          <cell r="AC1742">
            <v>0.2</v>
          </cell>
          <cell r="AD1742">
            <v>0.2</v>
          </cell>
          <cell r="AE1742">
            <v>0.2</v>
          </cell>
          <cell r="AF1742">
            <v>0.2</v>
          </cell>
          <cell r="AG1742">
            <v>0.2</v>
          </cell>
          <cell r="AH1742">
            <v>0.2</v>
          </cell>
          <cell r="AI1742">
            <v>0.2</v>
          </cell>
          <cell r="AJ1742">
            <v>0.2</v>
          </cell>
          <cell r="AK1742">
            <v>0.2</v>
          </cell>
          <cell r="AL1742">
            <v>0.2</v>
          </cell>
          <cell r="AM1742">
            <v>0.2</v>
          </cell>
          <cell r="AN1742">
            <v>0.2</v>
          </cell>
          <cell r="AO1742">
            <v>0.2</v>
          </cell>
          <cell r="AP1742">
            <v>0.2</v>
          </cell>
          <cell r="AQ1742">
            <v>0.2</v>
          </cell>
          <cell r="AR1742">
            <v>0.2</v>
          </cell>
          <cell r="AS1742">
            <v>0.2</v>
          </cell>
          <cell r="AT1742">
            <v>-0.04</v>
          </cell>
          <cell r="AU1742">
            <v>0.92</v>
          </cell>
          <cell r="AV1742">
            <v>20</v>
          </cell>
          <cell r="AZ1742">
            <v>0.2</v>
          </cell>
          <cell r="BA1742">
            <v>0.2</v>
          </cell>
        </row>
        <row r="1743">
          <cell r="A1743" t="str">
            <v>MULATTIERI HOME</v>
          </cell>
          <cell r="D1743" t="str">
            <v>VIA PALLODOLA 46 E</v>
          </cell>
          <cell r="E1743" t="str">
            <v>19038</v>
          </cell>
          <cell r="F1743" t="str">
            <v>SARZANA</v>
          </cell>
          <cell r="G1743" t="str">
            <v>SP</v>
          </cell>
          <cell r="H1743" t="str">
            <v>ITALIA</v>
          </cell>
          <cell r="J1743" t="str">
            <v>00975380114</v>
          </cell>
          <cell r="M1743" t="str">
            <v>UFFICIO ACQUISTI</v>
          </cell>
          <cell r="N1743" t="str">
            <v>0187 987 099 </v>
          </cell>
          <cell r="O1743" t="str">
            <v>351 5146200</v>
          </cell>
          <cell r="R1743" t="str">
            <v>BONIFICO BANCARIO, ALLA DATA DELLA NOSTRA CONFERMA D'ORDINE</v>
          </cell>
          <cell r="X1743">
            <v>0.2</v>
          </cell>
          <cell r="Y1743">
            <v>-0.04</v>
          </cell>
          <cell r="AB1743">
            <v>0.2</v>
          </cell>
          <cell r="AC1743">
            <v>0.2</v>
          </cell>
          <cell r="AD1743">
            <v>0.2</v>
          </cell>
          <cell r="AE1743">
            <v>0.2</v>
          </cell>
          <cell r="AF1743">
            <v>0.2</v>
          </cell>
          <cell r="AG1743">
            <v>0.2</v>
          </cell>
          <cell r="AH1743">
            <v>0.2</v>
          </cell>
          <cell r="AI1743">
            <v>0.2</v>
          </cell>
          <cell r="AJ1743">
            <v>0.2</v>
          </cell>
          <cell r="AK1743">
            <v>0.2</v>
          </cell>
          <cell r="AL1743">
            <v>0.2</v>
          </cell>
          <cell r="AM1743">
            <v>0.2</v>
          </cell>
          <cell r="AN1743">
            <v>0.2</v>
          </cell>
          <cell r="AO1743">
            <v>0.2</v>
          </cell>
          <cell r="AP1743">
            <v>0.2</v>
          </cell>
          <cell r="AQ1743">
            <v>0.2</v>
          </cell>
          <cell r="AR1743">
            <v>0.2</v>
          </cell>
          <cell r="AS1743">
            <v>0.2</v>
          </cell>
          <cell r="AT1743">
            <v>-0.04</v>
          </cell>
          <cell r="AU1743">
            <v>0.92</v>
          </cell>
          <cell r="AV1743">
            <v>20</v>
          </cell>
        </row>
        <row r="1744">
          <cell r="A1744" t="str">
            <v>MULSER SRL</v>
          </cell>
          <cell r="D1744" t="str">
            <v>VIA DR. J. KOLLENSPERGER STR, 12</v>
          </cell>
          <cell r="E1744" t="str">
            <v>39011</v>
          </cell>
          <cell r="F1744" t="str">
            <v>LANA</v>
          </cell>
          <cell r="G1744" t="str">
            <v>BZ</v>
          </cell>
          <cell r="H1744" t="str">
            <v>ITALIA</v>
          </cell>
          <cell r="J1744" t="str">
            <v>01171350216</v>
          </cell>
          <cell r="M1744" t="str">
            <v>UFFICIO ACQUISTI</v>
          </cell>
          <cell r="N1744" t="str">
            <v>0473 550528</v>
          </cell>
          <cell r="P1744" t="str">
            <v>info@mulser.com</v>
          </cell>
          <cell r="R1744" t="str">
            <v>BONIFICO BANCARIO, ALLA DATA DELLA NOSTRA CONFERMA D'ORDINE</v>
          </cell>
          <cell r="X1744">
            <v>0</v>
          </cell>
          <cell r="Y1744">
            <v>-0.04</v>
          </cell>
          <cell r="AB1744">
            <v>0</v>
          </cell>
          <cell r="AC1744">
            <v>0</v>
          </cell>
          <cell r="AD1744">
            <v>0</v>
          </cell>
          <cell r="AE1744">
            <v>0</v>
          </cell>
          <cell r="AF1744">
            <v>0</v>
          </cell>
          <cell r="AG1744">
            <v>0</v>
          </cell>
          <cell r="AH1744">
            <v>0</v>
          </cell>
          <cell r="AI1744">
            <v>0</v>
          </cell>
          <cell r="AJ1744">
            <v>0</v>
          </cell>
          <cell r="AK1744">
            <v>0</v>
          </cell>
          <cell r="AL1744">
            <v>0</v>
          </cell>
          <cell r="AM1744">
            <v>0</v>
          </cell>
          <cell r="AN1744">
            <v>0</v>
          </cell>
          <cell r="AO1744">
            <v>0</v>
          </cell>
          <cell r="AP1744">
            <v>0</v>
          </cell>
          <cell r="AQ1744">
            <v>0</v>
          </cell>
          <cell r="AR1744">
            <v>0</v>
          </cell>
          <cell r="AS1744">
            <v>0</v>
          </cell>
          <cell r="AT1744">
            <v>-0.04</v>
          </cell>
          <cell r="AU1744">
            <v>0.92</v>
          </cell>
          <cell r="AV1744">
            <v>20</v>
          </cell>
          <cell r="AZ1744">
            <v>0</v>
          </cell>
          <cell r="BA1744">
            <v>0</v>
          </cell>
        </row>
        <row r="1745">
          <cell r="A1745" t="str">
            <v>MURANO INFISSI DI ANTONIO CARMINE</v>
          </cell>
          <cell r="B1745" t="str">
            <v>130 X 60 07/12 PARLATO SIA CON PADRE CHE CON FIGLIO. DICONO CHE LE PERSONE LI NON SPENDONO SOLDI E SI ARRANGIANO. E COMUNQUE NEL LORO PAESINO NON CI SONO RICHIESTE. INUTILE INSISTERE.</v>
          </cell>
          <cell r="D1745" t="str">
            <v>VIA A. MAGNO, SNC</v>
          </cell>
          <cell r="E1745" t="str">
            <v>88811</v>
          </cell>
          <cell r="F1745" t="str">
            <v>CIRO' MARINA</v>
          </cell>
          <cell r="G1745" t="str">
            <v>KR</v>
          </cell>
          <cell r="H1745" t="str">
            <v>ITALIA</v>
          </cell>
          <cell r="I1745" t="str">
            <v>MNRNNNC99L14B774M</v>
          </cell>
          <cell r="J1745" t="str">
            <v>03622690794</v>
          </cell>
          <cell r="M1745" t="str">
            <v>UFFICIO ACQUISTI</v>
          </cell>
          <cell r="N1745" t="str">
            <v>0962 36363</v>
          </cell>
          <cell r="O1745" t="str">
            <v>347 5908118</v>
          </cell>
          <cell r="P1745" t="str">
            <v xml:space="preserve">muranoinfissi@gmail.com </v>
          </cell>
          <cell r="R1745" t="str">
            <v>BONIFICO BANCARIO, ALLA DATA DELLA NOSTRA CONFERMA D'ORDINE</v>
          </cell>
          <cell r="X1745">
            <v>0.25</v>
          </cell>
          <cell r="Y1745">
            <v>-0.04</v>
          </cell>
          <cell r="AB1745">
            <v>0.25</v>
          </cell>
          <cell r="AC1745">
            <v>0.25</v>
          </cell>
          <cell r="AD1745">
            <v>0.25</v>
          </cell>
          <cell r="AE1745">
            <v>0.25</v>
          </cell>
          <cell r="AF1745">
            <v>0.25</v>
          </cell>
          <cell r="AG1745">
            <v>0.25</v>
          </cell>
          <cell r="AH1745">
            <v>0.25</v>
          </cell>
          <cell r="AI1745">
            <v>0.25</v>
          </cell>
          <cell r="AJ1745">
            <v>0.25</v>
          </cell>
          <cell r="AK1745">
            <v>0.25</v>
          </cell>
          <cell r="AL1745">
            <v>0.25</v>
          </cell>
          <cell r="AM1745">
            <v>0.25</v>
          </cell>
          <cell r="AN1745">
            <v>0.25</v>
          </cell>
          <cell r="AO1745">
            <v>0.25</v>
          </cell>
          <cell r="AP1745">
            <v>0.25</v>
          </cell>
          <cell r="AQ1745">
            <v>0.25</v>
          </cell>
          <cell r="AR1745">
            <v>0.25</v>
          </cell>
          <cell r="AS1745">
            <v>0.25</v>
          </cell>
          <cell r="AT1745">
            <v>-0.04</v>
          </cell>
          <cell r="AU1745">
            <v>0.92</v>
          </cell>
          <cell r="AV1745">
            <v>20</v>
          </cell>
          <cell r="AW1745" t="str">
            <v>PIETRO OLIVADOTI</v>
          </cell>
          <cell r="AX1745">
            <v>0.95</v>
          </cell>
          <cell r="AY1745" t="str">
            <v/>
          </cell>
          <cell r="AZ1745">
            <v>0.25</v>
          </cell>
          <cell r="BA1745">
            <v>0.25</v>
          </cell>
        </row>
        <row r="1746">
          <cell r="A1746" t="str">
            <v>MURONI INSTALLAZIONI DI MURONI ANTONIO</v>
          </cell>
          <cell r="D1746" t="str">
            <v>VIALE TRIESTE, 75</v>
          </cell>
          <cell r="E1746" t="str">
            <v>09123</v>
          </cell>
          <cell r="F1746" t="str">
            <v>CAGLIARI</v>
          </cell>
          <cell r="G1746" t="str">
            <v>CA</v>
          </cell>
          <cell r="H1746" t="str">
            <v>ITALIA</v>
          </cell>
          <cell r="J1746" t="str">
            <v>01191250925</v>
          </cell>
          <cell r="K1746" t="str">
            <v>OG6TBBX</v>
          </cell>
          <cell r="M1746" t="str">
            <v>UFFICIO ACQUISTI</v>
          </cell>
          <cell r="N1746" t="str">
            <v>070 292333</v>
          </cell>
          <cell r="O1746" t="str">
            <v>360 962352 - 389 8005930 ANTONIO</v>
          </cell>
          <cell r="P1746" t="str">
            <v>muroni1950@tiscali.it</v>
          </cell>
          <cell r="R1746" t="str">
            <v>BONIFICO BANCARIO, ALLA DATA DELLA NOSTRA CONFERMA D'ORDINE</v>
          </cell>
          <cell r="X1746">
            <v>0.25</v>
          </cell>
          <cell r="Y1746">
            <v>-0.04</v>
          </cell>
          <cell r="AB1746">
            <v>0.25</v>
          </cell>
          <cell r="AC1746">
            <v>0.25</v>
          </cell>
          <cell r="AD1746">
            <v>0.25</v>
          </cell>
          <cell r="AE1746">
            <v>0.25</v>
          </cell>
          <cell r="AF1746">
            <v>0.25</v>
          </cell>
          <cell r="AG1746">
            <v>0.25</v>
          </cell>
          <cell r="AH1746">
            <v>0.25</v>
          </cell>
          <cell r="AI1746">
            <v>0.25</v>
          </cell>
          <cell r="AJ1746">
            <v>0.25</v>
          </cell>
          <cell r="AK1746">
            <v>0.25</v>
          </cell>
          <cell r="AL1746">
            <v>0.25</v>
          </cell>
          <cell r="AM1746">
            <v>0.25</v>
          </cell>
          <cell r="AN1746">
            <v>0.25</v>
          </cell>
          <cell r="AO1746">
            <v>0.25</v>
          </cell>
          <cell r="AP1746">
            <v>0.25</v>
          </cell>
          <cell r="AQ1746">
            <v>0.25</v>
          </cell>
          <cell r="AR1746">
            <v>0.25</v>
          </cell>
          <cell r="AS1746">
            <v>0.25</v>
          </cell>
          <cell r="AT1746">
            <v>-0.04</v>
          </cell>
          <cell r="AU1746">
            <v>0.92</v>
          </cell>
          <cell r="AV1746">
            <v>20</v>
          </cell>
          <cell r="AZ1746">
            <v>0.25</v>
          </cell>
          <cell r="BA1746">
            <v>0.25</v>
          </cell>
          <cell r="BF1746" t="str">
            <v xml:space="preserve"> CLICK RAPID con carpenteria 14/04/2021</v>
          </cell>
        </row>
        <row r="1747">
          <cell r="A1747" t="str">
            <v>MURRO ARMANDO</v>
          </cell>
          <cell r="D1747" t="str">
            <v>VIA VALONA, 3</v>
          </cell>
          <cell r="E1747" t="str">
            <v>70121</v>
          </cell>
          <cell r="F1747" t="str">
            <v>BARI</v>
          </cell>
          <cell r="G1747" t="str">
            <v>BA</v>
          </cell>
          <cell r="H1747" t="str">
            <v>ITALIA</v>
          </cell>
          <cell r="J1747" t="str">
            <v>01084840725</v>
          </cell>
          <cell r="M1747" t="str">
            <v>UFFICIO ACQUISTI</v>
          </cell>
          <cell r="N1747" t="str">
            <v>080 5537737</v>
          </cell>
          <cell r="R1747" t="str">
            <v>BONIFICO BANCARIO, ALLA DATA DELLA NOSTRA CONFERMA D'ORDINE</v>
          </cell>
          <cell r="X1747">
            <v>0.2</v>
          </cell>
          <cell r="Y1747">
            <v>-0.04</v>
          </cell>
          <cell r="AB1747">
            <v>0.2</v>
          </cell>
          <cell r="AC1747">
            <v>0.2</v>
          </cell>
          <cell r="AD1747">
            <v>0.2</v>
          </cell>
          <cell r="AE1747">
            <v>0.2</v>
          </cell>
          <cell r="AF1747">
            <v>0.2</v>
          </cell>
          <cell r="AG1747">
            <v>0.2</v>
          </cell>
          <cell r="AH1747">
            <v>0.2</v>
          </cell>
          <cell r="AI1747">
            <v>0.2</v>
          </cell>
          <cell r="AJ1747">
            <v>0.2</v>
          </cell>
          <cell r="AK1747">
            <v>0.2</v>
          </cell>
          <cell r="AL1747">
            <v>0.2</v>
          </cell>
          <cell r="AM1747">
            <v>0.2</v>
          </cell>
          <cell r="AN1747">
            <v>0.2</v>
          </cell>
          <cell r="AO1747">
            <v>0.2</v>
          </cell>
          <cell r="AP1747">
            <v>0.2</v>
          </cell>
          <cell r="AQ1747">
            <v>0.2</v>
          </cell>
          <cell r="AR1747">
            <v>0.2</v>
          </cell>
          <cell r="AS1747">
            <v>0.2</v>
          </cell>
          <cell r="AT1747">
            <v>-0.04</v>
          </cell>
          <cell r="AU1747">
            <v>0.92</v>
          </cell>
          <cell r="AV1747">
            <v>20</v>
          </cell>
          <cell r="AZ1747">
            <v>0.2</v>
          </cell>
          <cell r="BA1747">
            <v>0.2</v>
          </cell>
        </row>
        <row r="1748">
          <cell r="A1748" t="str">
            <v xml:space="preserve">MUSIZZANO </v>
          </cell>
          <cell r="D1748" t="str">
            <v>VIA TORRE, 2</v>
          </cell>
          <cell r="E1748">
            <v>12080</v>
          </cell>
          <cell r="F1748" t="str">
            <v>S.MICHELE MONDOVI'</v>
          </cell>
          <cell r="G1748" t="str">
            <v>CN</v>
          </cell>
          <cell r="H1748" t="str">
            <v>ITALIA</v>
          </cell>
          <cell r="I1748" t="str">
            <v>MSZGNN34S05Z110F</v>
          </cell>
          <cell r="J1748" t="str">
            <v>00071980049</v>
          </cell>
          <cell r="M1748" t="str">
            <v>UFFICIO ACQUISTI</v>
          </cell>
          <cell r="N1748" t="str">
            <v>0174 222069</v>
          </cell>
          <cell r="P1748" t="str">
            <v>claudio.mgserr@tin.it</v>
          </cell>
          <cell r="R1748" t="str">
            <v>BONIFICO BANCARIO, ALLA DATA DELLA NOSTRA CONFERMA D'ORDINE</v>
          </cell>
          <cell r="X1748">
            <v>0.25</v>
          </cell>
          <cell r="Y1748">
            <v>-0.04</v>
          </cell>
          <cell r="AB1748">
            <v>0.25</v>
          </cell>
          <cell r="AC1748">
            <v>0.25</v>
          </cell>
          <cell r="AD1748">
            <v>0.25</v>
          </cell>
          <cell r="AE1748">
            <v>0.25</v>
          </cell>
          <cell r="AF1748">
            <v>0.25</v>
          </cell>
          <cell r="AG1748">
            <v>0.25</v>
          </cell>
          <cell r="AH1748">
            <v>0.25</v>
          </cell>
          <cell r="AI1748">
            <v>0.25</v>
          </cell>
          <cell r="AJ1748">
            <v>0.25</v>
          </cell>
          <cell r="AK1748">
            <v>0.25</v>
          </cell>
          <cell r="AL1748">
            <v>0.25</v>
          </cell>
          <cell r="AM1748">
            <v>0.25</v>
          </cell>
          <cell r="AN1748">
            <v>0.25</v>
          </cell>
          <cell r="AO1748">
            <v>0.25</v>
          </cell>
          <cell r="AP1748">
            <v>0.25</v>
          </cell>
          <cell r="AQ1748">
            <v>0.25</v>
          </cell>
          <cell r="AR1748">
            <v>0.25</v>
          </cell>
          <cell r="AS1748">
            <v>0.25</v>
          </cell>
          <cell r="AT1748">
            <v>-0.04</v>
          </cell>
          <cell r="AU1748">
            <v>0.92</v>
          </cell>
          <cell r="AV1748">
            <v>20</v>
          </cell>
          <cell r="AY1748" t="str">
            <v/>
          </cell>
          <cell r="AZ1748">
            <v>0.25</v>
          </cell>
          <cell r="BA1748">
            <v>0.25</v>
          </cell>
        </row>
        <row r="1749">
          <cell r="A1749" t="str">
            <v>MV ARTS</v>
          </cell>
          <cell r="B1749" t="str">
            <v>ACQUASTOP  GLI STA ANTIPATICO  DA TENERE IN CONSIDERAZIONE 05/12 MAI RICHIESTE. LI IN ZONA C'E' DITTA CHE LE PRODUCE. IL MERCATO SE LO PRENDONO LORO E LUI HA ALTRO DI CUI OCCUPARSI</v>
          </cell>
          <cell r="D1749" t="str">
            <v>VIA FIORENTINA , 18</v>
          </cell>
          <cell r="E1749" t="str">
            <v>56025</v>
          </cell>
          <cell r="F1749" t="str">
            <v>PONTEDERA</v>
          </cell>
          <cell r="G1749" t="str">
            <v>PI</v>
          </cell>
          <cell r="H1749" t="str">
            <v>ITALIA</v>
          </cell>
          <cell r="I1749" t="str">
            <v>LVFNC881MO4G843N</v>
          </cell>
          <cell r="J1749" t="str">
            <v>02288840503</v>
          </cell>
          <cell r="M1749" t="str">
            <v>UFFICIO ACQUISTI</v>
          </cell>
          <cell r="O1749" t="str">
            <v>391 7195506</v>
          </cell>
          <cell r="P1749" t="str">
            <v>info@mvarts.it</v>
          </cell>
          <cell r="R1749" t="str">
            <v>BONIFICO BANCARIO, ALLA DATA DELLA NOSTRA CONFERMA D'ORDINE</v>
          </cell>
          <cell r="X1749">
            <v>0.25</v>
          </cell>
          <cell r="Y1749">
            <v>-0.04</v>
          </cell>
          <cell r="AB1749">
            <v>0.25</v>
          </cell>
          <cell r="AC1749">
            <v>0.25</v>
          </cell>
          <cell r="AD1749">
            <v>0.25</v>
          </cell>
          <cell r="AE1749">
            <v>0.25</v>
          </cell>
          <cell r="AF1749">
            <v>0.25</v>
          </cell>
          <cell r="AG1749">
            <v>0.25</v>
          </cell>
          <cell r="AH1749">
            <v>0.25</v>
          </cell>
          <cell r="AI1749">
            <v>0.25</v>
          </cell>
          <cell r="AJ1749">
            <v>0.25</v>
          </cell>
          <cell r="AK1749">
            <v>0.25</v>
          </cell>
          <cell r="AL1749">
            <v>0.25</v>
          </cell>
          <cell r="AM1749">
            <v>0.25</v>
          </cell>
          <cell r="AN1749">
            <v>0.25</v>
          </cell>
          <cell r="AO1749">
            <v>0.25</v>
          </cell>
          <cell r="AP1749">
            <v>0.25</v>
          </cell>
          <cell r="AQ1749">
            <v>0.25</v>
          </cell>
          <cell r="AR1749">
            <v>0.25</v>
          </cell>
          <cell r="AS1749">
            <v>0.25</v>
          </cell>
          <cell r="AT1749">
            <v>-0.04</v>
          </cell>
          <cell r="AU1749">
            <v>0.92</v>
          </cell>
          <cell r="AV1749">
            <v>20</v>
          </cell>
          <cell r="AY1749" t="str">
            <v/>
          </cell>
          <cell r="AZ1749">
            <v>0.25</v>
          </cell>
          <cell r="BA1749">
            <v>0.25</v>
          </cell>
        </row>
        <row r="1750">
          <cell r="A1750" t="str">
            <v xml:space="preserve">MY HOUSE </v>
          </cell>
          <cell r="D1750" t="str">
            <v>VIA LEONE PANCALDO, 1</v>
          </cell>
          <cell r="E1750">
            <v>37138</v>
          </cell>
          <cell r="F1750" t="str">
            <v>VERONA</v>
          </cell>
          <cell r="G1750" t="str">
            <v>VR</v>
          </cell>
          <cell r="H1750" t="str">
            <v>ITALIA</v>
          </cell>
          <cell r="M1750" t="str">
            <v>UFFICIO ACQUISTI</v>
          </cell>
          <cell r="N1750" t="str">
            <v>393 9823443</v>
          </cell>
          <cell r="P1750" t="str">
            <v>commerciale1@myhousevr.it</v>
          </cell>
          <cell r="R1750" t="str">
            <v>BONIFICO BANCARIO, ALLA DATA DELLA NOSTRA CONFERMA D'ORDINE</v>
          </cell>
          <cell r="X1750">
            <v>0.25</v>
          </cell>
          <cell r="Y1750">
            <v>-0.04</v>
          </cell>
          <cell r="AB1750">
            <v>0.25</v>
          </cell>
          <cell r="AC1750">
            <v>0.25</v>
          </cell>
          <cell r="AD1750">
            <v>0.25</v>
          </cell>
          <cell r="AE1750">
            <v>0.25</v>
          </cell>
          <cell r="AF1750">
            <v>0.25</v>
          </cell>
          <cell r="AG1750">
            <v>0.25</v>
          </cell>
          <cell r="AH1750">
            <v>0.25</v>
          </cell>
          <cell r="AI1750">
            <v>0.25</v>
          </cell>
          <cell r="AJ1750">
            <v>0.25</v>
          </cell>
          <cell r="AK1750">
            <v>0.25</v>
          </cell>
          <cell r="AL1750">
            <v>0.25</v>
          </cell>
          <cell r="AM1750">
            <v>0.25</v>
          </cell>
          <cell r="AN1750">
            <v>0.25</v>
          </cell>
          <cell r="AO1750">
            <v>0.25</v>
          </cell>
          <cell r="AP1750">
            <v>0.25</v>
          </cell>
          <cell r="AQ1750">
            <v>0.25</v>
          </cell>
          <cell r="AR1750">
            <v>0.25</v>
          </cell>
          <cell r="AS1750">
            <v>0.25</v>
          </cell>
          <cell r="AT1750">
            <v>-0.04</v>
          </cell>
          <cell r="AU1750">
            <v>0.92</v>
          </cell>
          <cell r="AV1750">
            <v>20</v>
          </cell>
          <cell r="AZ1750">
            <v>0.25</v>
          </cell>
          <cell r="BA1750">
            <v>0.25</v>
          </cell>
        </row>
        <row r="1751">
          <cell r="A1751" t="str">
            <v>MZ SISTEMI SRL SOCIO UNICO</v>
          </cell>
          <cell r="D1751" t="str">
            <v>VIA PONTINA KM 72,300</v>
          </cell>
          <cell r="E1751" t="str">
            <v>04100</v>
          </cell>
          <cell r="F1751" t="str">
            <v>LATINA</v>
          </cell>
          <cell r="G1751" t="str">
            <v>LT</v>
          </cell>
          <cell r="H1751" t="str">
            <v>ITALIA</v>
          </cell>
          <cell r="J1751" t="str">
            <v>02865010595</v>
          </cell>
          <cell r="M1751" t="str">
            <v>UFFICIO ACQUISTI</v>
          </cell>
          <cell r="N1751" t="str">
            <v>0773 628076</v>
          </cell>
          <cell r="P1751" t="str">
            <v>mzsistemisrl@libero.it</v>
          </cell>
          <cell r="R1751" t="str">
            <v>BONIFICO BANCARIO, ALLA DATA DELLA NOSTRA CONFERMA D'ORDINE</v>
          </cell>
          <cell r="X1751">
            <v>0.25</v>
          </cell>
          <cell r="Y1751">
            <v>-0.04</v>
          </cell>
          <cell r="AB1751">
            <v>0.25</v>
          </cell>
          <cell r="AC1751">
            <v>0.25</v>
          </cell>
          <cell r="AD1751">
            <v>0.25</v>
          </cell>
          <cell r="AE1751">
            <v>0.25</v>
          </cell>
          <cell r="AF1751">
            <v>0.25</v>
          </cell>
          <cell r="AG1751">
            <v>0.25</v>
          </cell>
          <cell r="AH1751">
            <v>0.25</v>
          </cell>
          <cell r="AI1751">
            <v>0.25</v>
          </cell>
          <cell r="AJ1751">
            <v>0.25</v>
          </cell>
          <cell r="AK1751">
            <v>0.25</v>
          </cell>
          <cell r="AL1751">
            <v>0.25</v>
          </cell>
          <cell r="AM1751">
            <v>0.25</v>
          </cell>
          <cell r="AN1751">
            <v>0.25</v>
          </cell>
          <cell r="AO1751">
            <v>0.25</v>
          </cell>
          <cell r="AP1751">
            <v>0.25</v>
          </cell>
          <cell r="AQ1751">
            <v>0.25</v>
          </cell>
          <cell r="AR1751">
            <v>0.25</v>
          </cell>
          <cell r="AS1751">
            <v>0.25</v>
          </cell>
          <cell r="AT1751">
            <v>-0.04</v>
          </cell>
          <cell r="AU1751">
            <v>0.92</v>
          </cell>
          <cell r="AV1751">
            <v>20</v>
          </cell>
          <cell r="AY1751" t="str">
            <v/>
          </cell>
          <cell r="AZ1751">
            <v>0.25</v>
          </cell>
          <cell r="BA1751">
            <v>0.25</v>
          </cell>
        </row>
        <row r="1752">
          <cell r="A1752" t="str">
            <v>N.O.V.E.I.</v>
          </cell>
          <cell r="D1752" t="str">
            <v>VIA D. MANIN, 5</v>
          </cell>
          <cell r="E1752" t="str">
            <v>08013</v>
          </cell>
          <cell r="F1752" t="str">
            <v>BOSA</v>
          </cell>
          <cell r="G1752" t="str">
            <v>OR</v>
          </cell>
          <cell r="H1752" t="str">
            <v>ITALIA</v>
          </cell>
          <cell r="I1752" t="str">
            <v>NDDGNN76R14B068H</v>
          </cell>
          <cell r="J1752" t="str">
            <v>01257670917</v>
          </cell>
          <cell r="K1752" t="str">
            <v>KRRH6B9</v>
          </cell>
          <cell r="M1752" t="str">
            <v>UFFICIO ACQUISTI</v>
          </cell>
          <cell r="O1752" t="str">
            <v>328 9227568 GIANNI</v>
          </cell>
          <cell r="P1752" t="str">
            <v>9i@tiscali.it</v>
          </cell>
          <cell r="R1752" t="str">
            <v>BONIFICO BANCARIO, ALLA DATA DELLA NOSTRA CONFERMA D'ORDINE</v>
          </cell>
          <cell r="X1752">
            <v>0.25</v>
          </cell>
          <cell r="Y1752">
            <v>-0.04</v>
          </cell>
          <cell r="AB1752">
            <v>0.25</v>
          </cell>
          <cell r="AC1752">
            <v>0.25</v>
          </cell>
          <cell r="AD1752">
            <v>0.25</v>
          </cell>
          <cell r="AE1752">
            <v>0.25</v>
          </cell>
          <cell r="AF1752">
            <v>0.25</v>
          </cell>
          <cell r="AG1752">
            <v>0.25</v>
          </cell>
          <cell r="AH1752">
            <v>0.25</v>
          </cell>
          <cell r="AI1752">
            <v>0.25</v>
          </cell>
          <cell r="AJ1752">
            <v>0.25</v>
          </cell>
          <cell r="AK1752">
            <v>0.25</v>
          </cell>
          <cell r="AL1752">
            <v>0.25</v>
          </cell>
          <cell r="AM1752">
            <v>0.25</v>
          </cell>
          <cell r="AN1752">
            <v>0.25</v>
          </cell>
          <cell r="AO1752">
            <v>0.25</v>
          </cell>
          <cell r="AP1752">
            <v>0.25</v>
          </cell>
          <cell r="AQ1752">
            <v>0.25</v>
          </cell>
          <cell r="AR1752">
            <v>0.25</v>
          </cell>
          <cell r="AS1752">
            <v>0.25</v>
          </cell>
          <cell r="AT1752">
            <v>-0.04</v>
          </cell>
          <cell r="AU1752">
            <v>0.92</v>
          </cell>
          <cell r="AV1752">
            <v>20</v>
          </cell>
          <cell r="AZ1752">
            <v>0.25</v>
          </cell>
          <cell r="BA1752">
            <v>0.25</v>
          </cell>
          <cell r="BF1752" t="str">
            <v xml:space="preserve"> CLICK RAPID con carpenteria 27/04/2021</v>
          </cell>
        </row>
        <row r="1753">
          <cell r="A1753" t="str">
            <v>N.O.V.E.I. DI GIANNI NIEDDU</v>
          </cell>
          <cell r="D1753" t="str">
            <v>VIALE GIOVANNI XXII, 16 PALAZZO CHELO</v>
          </cell>
          <cell r="E1753" t="str">
            <v>08013</v>
          </cell>
          <cell r="F1753" t="str">
            <v>BOSA</v>
          </cell>
          <cell r="G1753" t="str">
            <v>OR</v>
          </cell>
          <cell r="H1753" t="str">
            <v>ITALIA</v>
          </cell>
          <cell r="J1753" t="str">
            <v>01257670917</v>
          </cell>
          <cell r="M1753" t="str">
            <v>UFFICIO ACQUISTI</v>
          </cell>
          <cell r="O1753" t="str">
            <v>328 9227586 GIANNI</v>
          </cell>
          <cell r="P1753" t="str">
            <v>9i@tiscali.it</v>
          </cell>
          <cell r="R1753" t="str">
            <v>BONIFICO BANCARIO, ALLA DATA DELLA NOSTRA CONFERMA D'ORDINE</v>
          </cell>
          <cell r="X1753">
            <v>0.2</v>
          </cell>
          <cell r="Y1753">
            <v>-0.04</v>
          </cell>
          <cell r="AB1753">
            <v>0.2</v>
          </cell>
          <cell r="AC1753">
            <v>0.2</v>
          </cell>
          <cell r="AD1753">
            <v>0.2</v>
          </cell>
          <cell r="AE1753">
            <v>0.2</v>
          </cell>
          <cell r="AF1753">
            <v>0.2</v>
          </cell>
          <cell r="AG1753">
            <v>0.2</v>
          </cell>
          <cell r="AH1753">
            <v>0.2</v>
          </cell>
          <cell r="AI1753">
            <v>0.2</v>
          </cell>
          <cell r="AJ1753">
            <v>0.2</v>
          </cell>
          <cell r="AK1753">
            <v>0.2</v>
          </cell>
          <cell r="AL1753">
            <v>0.2</v>
          </cell>
          <cell r="AM1753">
            <v>0.2</v>
          </cell>
          <cell r="AN1753">
            <v>0.2</v>
          </cell>
          <cell r="AO1753">
            <v>0.2</v>
          </cell>
          <cell r="AP1753">
            <v>0.2</v>
          </cell>
          <cell r="AQ1753">
            <v>0.2</v>
          </cell>
          <cell r="AR1753">
            <v>0.2</v>
          </cell>
          <cell r="AS1753">
            <v>0.2</v>
          </cell>
          <cell r="AT1753">
            <v>-0.04</v>
          </cell>
          <cell r="AU1753">
            <v>0.92</v>
          </cell>
          <cell r="AV1753">
            <v>20</v>
          </cell>
          <cell r="AZ1753">
            <v>0.2</v>
          </cell>
          <cell r="BA1753">
            <v>0.2</v>
          </cell>
        </row>
        <row r="1754">
          <cell r="A1754" t="str">
            <v>NP.METAL S.N.C.</v>
          </cell>
          <cell r="B1754" t="str">
            <v>LE FANNO ARTIGIANALMENTE</v>
          </cell>
          <cell r="D1754" t="str">
            <v>VIA DON PRIMO MAZZOLARI, 14</v>
          </cell>
          <cell r="E1754">
            <v>91026</v>
          </cell>
          <cell r="F1754" t="str">
            <v>MAZARA DEL VALLO</v>
          </cell>
          <cell r="G1754" t="str">
            <v>TP</v>
          </cell>
          <cell r="H1754" t="str">
            <v>ITALIA</v>
          </cell>
          <cell r="I1754" t="str">
            <v>01924600818</v>
          </cell>
          <cell r="J1754" t="str">
            <v>01924600818</v>
          </cell>
          <cell r="K1754" t="str">
            <v>QULXG4S</v>
          </cell>
          <cell r="M1754" t="str">
            <v>UFFICIO ACQUISTI</v>
          </cell>
          <cell r="O1754" t="str">
            <v>338 6730758 SG. NICOLOSI</v>
          </cell>
          <cell r="P1754" t="str">
            <v>npmetal@libero.it</v>
          </cell>
          <cell r="R1754" t="str">
            <v>BONIFICO BANCARIO, ALLA DATA DELLA NOSTRA CONFERMA D'ORDINE</v>
          </cell>
          <cell r="X1754">
            <v>0.25</v>
          </cell>
          <cell r="Y1754">
            <v>-0.04</v>
          </cell>
          <cell r="AB1754">
            <v>0.25</v>
          </cell>
          <cell r="AC1754">
            <v>0.25</v>
          </cell>
          <cell r="AD1754">
            <v>0.25</v>
          </cell>
          <cell r="AE1754">
            <v>0.25</v>
          </cell>
          <cell r="AF1754">
            <v>0.25</v>
          </cell>
          <cell r="AG1754">
            <v>0.25</v>
          </cell>
          <cell r="AH1754">
            <v>0.25</v>
          </cell>
          <cell r="AI1754">
            <v>0.25</v>
          </cell>
          <cell r="AJ1754">
            <v>0.25</v>
          </cell>
          <cell r="AK1754">
            <v>0.25</v>
          </cell>
          <cell r="AL1754">
            <v>0.25</v>
          </cell>
          <cell r="AM1754">
            <v>0.25</v>
          </cell>
          <cell r="AN1754">
            <v>0.25</v>
          </cell>
          <cell r="AO1754">
            <v>0.25</v>
          </cell>
          <cell r="AP1754">
            <v>0.25</v>
          </cell>
          <cell r="AQ1754">
            <v>0.25</v>
          </cell>
          <cell r="AR1754">
            <v>0.25</v>
          </cell>
          <cell r="AS1754">
            <v>0.25</v>
          </cell>
          <cell r="AT1754">
            <v>-0.04</v>
          </cell>
          <cell r="AU1754">
            <v>0.92</v>
          </cell>
          <cell r="AV1754">
            <v>20</v>
          </cell>
          <cell r="AY1754" t="str">
            <v/>
          </cell>
          <cell r="AZ1754">
            <v>0.25</v>
          </cell>
          <cell r="BA1754">
            <v>0.25</v>
          </cell>
        </row>
        <row r="1755">
          <cell r="A1755" t="str">
            <v>NARDIN DEL GEOM DAMIANO NARDIN &amp; C SAS</v>
          </cell>
          <cell r="D1755" t="str">
            <v>VIA DELLE CAPE 17</v>
          </cell>
          <cell r="E1755" t="str">
            <v>30013</v>
          </cell>
          <cell r="F1755" t="str">
            <v>CAVALLINO-TREPORTI</v>
          </cell>
          <cell r="G1755" t="str">
            <v>VE</v>
          </cell>
          <cell r="H1755" t="str">
            <v>ITALIA</v>
          </cell>
          <cell r="J1755" t="str">
            <v>04310090271</v>
          </cell>
          <cell r="M1755" t="str">
            <v>UFFICIO ACQUISTI</v>
          </cell>
          <cell r="N1755" t="str">
            <v>041 966409</v>
          </cell>
          <cell r="R1755" t="str">
            <v>BONIFICO BANCARIO, ALLA DATA DELLA NOSTRA CONFERMA D'ORDINE</v>
          </cell>
          <cell r="X1755">
            <v>0.25</v>
          </cell>
          <cell r="Y1755">
            <v>-0.04</v>
          </cell>
          <cell r="AB1755">
            <v>0.25</v>
          </cell>
          <cell r="AC1755">
            <v>0.25</v>
          </cell>
          <cell r="AD1755">
            <v>0.25</v>
          </cell>
          <cell r="AE1755">
            <v>0.25</v>
          </cell>
          <cell r="AF1755">
            <v>0.25</v>
          </cell>
          <cell r="AG1755">
            <v>0.25</v>
          </cell>
          <cell r="AH1755">
            <v>0.25</v>
          </cell>
          <cell r="AI1755">
            <v>0.25</v>
          </cell>
          <cell r="AJ1755">
            <v>0.25</v>
          </cell>
          <cell r="AK1755">
            <v>0.25</v>
          </cell>
          <cell r="AL1755">
            <v>0.25</v>
          </cell>
          <cell r="AM1755">
            <v>0.25</v>
          </cell>
          <cell r="AN1755">
            <v>0.25</v>
          </cell>
          <cell r="AO1755">
            <v>0.25</v>
          </cell>
          <cell r="AP1755">
            <v>0.25</v>
          </cell>
          <cell r="AQ1755">
            <v>0.25</v>
          </cell>
          <cell r="AR1755">
            <v>0.25</v>
          </cell>
          <cell r="AS1755">
            <v>0.25</v>
          </cell>
          <cell r="AT1755">
            <v>-0.04</v>
          </cell>
          <cell r="AU1755">
            <v>0.92</v>
          </cell>
          <cell r="AV1755">
            <v>20</v>
          </cell>
          <cell r="AY1755" t="str">
            <v/>
          </cell>
          <cell r="AZ1755">
            <v>0.25</v>
          </cell>
          <cell r="BA1755">
            <v>0.25</v>
          </cell>
        </row>
        <row r="1756">
          <cell r="A1756" t="str">
            <v>NARI DI NANNINI ARRIGO E C SNC</v>
          </cell>
          <cell r="D1756" t="str">
            <v>VIA F.LLI BANDIERA 5</v>
          </cell>
          <cell r="E1756" t="str">
            <v>44042</v>
          </cell>
          <cell r="F1756" t="str">
            <v>CENTO</v>
          </cell>
          <cell r="G1756" t="str">
            <v>FE</v>
          </cell>
          <cell r="H1756" t="str">
            <v>ITALIA</v>
          </cell>
          <cell r="J1756" t="str">
            <v>00874030380</v>
          </cell>
          <cell r="K1756" t="str">
            <v>W7YVJK9</v>
          </cell>
          <cell r="M1756" t="str">
            <v>UFFICIO ACQUISTI</v>
          </cell>
          <cell r="N1756" t="str">
            <v>051 6835236</v>
          </cell>
          <cell r="P1756" t="str">
            <v>nari_serramenti@libero.it</v>
          </cell>
          <cell r="R1756" t="str">
            <v>BONIFICO BANCARIO, ALLA DATA DELLA NOSTRA CONFERMA D'ORDINE</v>
          </cell>
          <cell r="X1756">
            <v>0.25</v>
          </cell>
          <cell r="Y1756">
            <v>-0.04</v>
          </cell>
          <cell r="AB1756">
            <v>0.25</v>
          </cell>
          <cell r="AC1756">
            <v>0.25</v>
          </cell>
          <cell r="AD1756">
            <v>0.25</v>
          </cell>
          <cell r="AE1756">
            <v>0.25</v>
          </cell>
          <cell r="AF1756">
            <v>0.25</v>
          </cell>
          <cell r="AG1756">
            <v>0.25</v>
          </cell>
          <cell r="AH1756">
            <v>0.25</v>
          </cell>
          <cell r="AI1756">
            <v>0.25</v>
          </cell>
          <cell r="AJ1756">
            <v>0.25</v>
          </cell>
          <cell r="AK1756">
            <v>0.25</v>
          </cell>
          <cell r="AL1756">
            <v>0.25</v>
          </cell>
          <cell r="AM1756">
            <v>0.25</v>
          </cell>
          <cell r="AN1756">
            <v>0.25</v>
          </cell>
          <cell r="AO1756">
            <v>0.25</v>
          </cell>
          <cell r="AP1756">
            <v>0.25</v>
          </cell>
          <cell r="AQ1756">
            <v>0.25</v>
          </cell>
          <cell r="AR1756">
            <v>0.25</v>
          </cell>
          <cell r="AS1756">
            <v>0.25</v>
          </cell>
          <cell r="AT1756">
            <v>-0.04</v>
          </cell>
          <cell r="AU1756">
            <v>0.87</v>
          </cell>
          <cell r="AV1756">
            <v>20</v>
          </cell>
          <cell r="AY1756" t="str">
            <v/>
          </cell>
          <cell r="AZ1756">
            <v>0.25</v>
          </cell>
          <cell r="BA1756">
            <v>0.25</v>
          </cell>
        </row>
        <row r="1757">
          <cell r="A1757" t="str">
            <v>NARI INFISSI SRL</v>
          </cell>
          <cell r="D1757" t="str">
            <v>VIA ACQUALA 29</v>
          </cell>
          <cell r="E1757" t="str">
            <v>54038</v>
          </cell>
          <cell r="F1757" t="str">
            <v>MONTIGNOSO</v>
          </cell>
          <cell r="G1757" t="str">
            <v>MS</v>
          </cell>
          <cell r="H1757" t="str">
            <v>ITALIA</v>
          </cell>
          <cell r="J1757" t="str">
            <v>01345740458</v>
          </cell>
          <cell r="K1757" t="str">
            <v>M5UXCR1</v>
          </cell>
          <cell r="M1757" t="str">
            <v>UFFICIO ACQUISTI</v>
          </cell>
          <cell r="N1757" t="str">
            <v>338 6437484</v>
          </cell>
          <cell r="P1757" t="str">
            <v>attilio.nari@gmail.com</v>
          </cell>
          <cell r="R1757" t="str">
            <v>BONIFICO BANCARIO, ALLA DATA DELLA NOSTRA CONFERMA D'ORDINE</v>
          </cell>
          <cell r="X1757">
            <v>0.25</v>
          </cell>
          <cell r="Y1757">
            <v>-0.04</v>
          </cell>
          <cell r="AB1757">
            <v>0.25</v>
          </cell>
          <cell r="AC1757">
            <v>0.25</v>
          </cell>
          <cell r="AD1757">
            <v>0.25</v>
          </cell>
          <cell r="AE1757">
            <v>0.25</v>
          </cell>
          <cell r="AF1757">
            <v>0.25</v>
          </cell>
          <cell r="AG1757">
            <v>0.25</v>
          </cell>
          <cell r="AH1757">
            <v>0.25</v>
          </cell>
          <cell r="AI1757">
            <v>0.25</v>
          </cell>
          <cell r="AJ1757">
            <v>0.25</v>
          </cell>
          <cell r="AK1757">
            <v>0.25</v>
          </cell>
          <cell r="AL1757">
            <v>0.25</v>
          </cell>
          <cell r="AM1757">
            <v>0.25</v>
          </cell>
          <cell r="AN1757">
            <v>0.25</v>
          </cell>
          <cell r="AO1757">
            <v>0.25</v>
          </cell>
          <cell r="AP1757">
            <v>0.25</v>
          </cell>
          <cell r="AQ1757">
            <v>0.25</v>
          </cell>
          <cell r="AR1757">
            <v>0.25</v>
          </cell>
          <cell r="AS1757">
            <v>0.25</v>
          </cell>
          <cell r="AT1757">
            <v>-0.04</v>
          </cell>
          <cell r="AU1757">
            <v>0.92</v>
          </cell>
          <cell r="AV1757">
            <v>20</v>
          </cell>
          <cell r="AY1757" t="str">
            <v/>
          </cell>
          <cell r="AZ1757">
            <v>0.25</v>
          </cell>
          <cell r="BA1757">
            <v>0.25</v>
          </cell>
        </row>
        <row r="1758">
          <cell r="A1758" t="str">
            <v>NAVACCHI INFISSI</v>
          </cell>
          <cell r="B1758" t="str">
            <v>IVENDITORE ACQUASTOP E TRITONE. 05/12 DICE CHE LUI E' FATTO A MODO SUO, CHE CI METTE DEL TEMPO PER CAMBIARE LE ABITUDINI. INVITATO IN AZIENDA PER VEDERE E TOCCARE CON MANO PRODOTTI</v>
          </cell>
          <cell r="D1758" t="str">
            <v>VIA DELL'ARTE 15</v>
          </cell>
          <cell r="E1758" t="str">
            <v>47822</v>
          </cell>
          <cell r="F1758" t="str">
            <v>SANTARCANGELO DI ROMAGNA</v>
          </cell>
          <cell r="G1758" t="str">
            <v>RN</v>
          </cell>
          <cell r="H1758" t="str">
            <v>ITALIA</v>
          </cell>
          <cell r="M1758" t="str">
            <v>UFFICIO ACQUISTI</v>
          </cell>
          <cell r="N1758" t="str">
            <v>0541 622880</v>
          </cell>
          <cell r="O1758" t="str">
            <v>348 9113551 MAURO NAVACCHI</v>
          </cell>
          <cell r="P1758" t="str">
            <v>info@navacchi.it</v>
          </cell>
          <cell r="R1758" t="str">
            <v>BONIFICO BANCARIO, ALLA DATA DELLA NOSTRA CONFERMA D'ORDINE</v>
          </cell>
          <cell r="X1758">
            <v>0.25</v>
          </cell>
          <cell r="Y1758">
            <v>-0.04</v>
          </cell>
          <cell r="AB1758">
            <v>0.25</v>
          </cell>
          <cell r="AC1758">
            <v>0.25</v>
          </cell>
          <cell r="AD1758">
            <v>0.25</v>
          </cell>
          <cell r="AE1758">
            <v>0.25</v>
          </cell>
          <cell r="AF1758">
            <v>0.25</v>
          </cell>
          <cell r="AG1758">
            <v>0.25</v>
          </cell>
          <cell r="AH1758">
            <v>0.25</v>
          </cell>
          <cell r="AI1758">
            <v>0.25</v>
          </cell>
          <cell r="AJ1758">
            <v>0.25</v>
          </cell>
          <cell r="AK1758">
            <v>0.25</v>
          </cell>
          <cell r="AL1758">
            <v>0.25</v>
          </cell>
          <cell r="AM1758">
            <v>0.25</v>
          </cell>
          <cell r="AN1758">
            <v>0.25</v>
          </cell>
          <cell r="AO1758">
            <v>0.25</v>
          </cell>
          <cell r="AP1758">
            <v>0.25</v>
          </cell>
          <cell r="AQ1758">
            <v>0.25</v>
          </cell>
          <cell r="AR1758">
            <v>0.25</v>
          </cell>
          <cell r="AS1758">
            <v>0.25</v>
          </cell>
          <cell r="AT1758">
            <v>-0.04</v>
          </cell>
          <cell r="AU1758">
            <v>0.92</v>
          </cell>
          <cell r="AV1758">
            <v>20</v>
          </cell>
          <cell r="AY1758" t="str">
            <v/>
          </cell>
          <cell r="AZ1758">
            <v>0.25</v>
          </cell>
          <cell r="BA1758">
            <v>0.25</v>
          </cell>
        </row>
        <row r="1759">
          <cell r="A1759" t="str">
            <v>NAZZI INFISSI SRL</v>
          </cell>
          <cell r="D1759" t="str">
            <v>VIA MAZZINI, 1A</v>
          </cell>
          <cell r="E1759">
            <v>13836</v>
          </cell>
          <cell r="F1759" t="str">
            <v>COSSATO</v>
          </cell>
          <cell r="G1759" t="str">
            <v>BI</v>
          </cell>
          <cell r="H1759" t="str">
            <v>ITALIA</v>
          </cell>
          <cell r="J1759" t="str">
            <v>00153750021</v>
          </cell>
          <cell r="M1759" t="str">
            <v>UFFICIO ACQUISTI</v>
          </cell>
          <cell r="N1759" t="str">
            <v>015 93705</v>
          </cell>
          <cell r="P1759" t="str">
            <v>nazziinfissi@alice.it</v>
          </cell>
          <cell r="R1759" t="str">
            <v>BONIFICO BANCARIO, ALLA DATA DELLA NOSTRA CONFERMA D'ORDINE</v>
          </cell>
          <cell r="X1759">
            <v>0.25</v>
          </cell>
          <cell r="Y1759">
            <v>-0.04</v>
          </cell>
          <cell r="AB1759">
            <v>0.25</v>
          </cell>
          <cell r="AC1759">
            <v>0.25</v>
          </cell>
          <cell r="AD1759">
            <v>0.25</v>
          </cell>
          <cell r="AE1759">
            <v>0.25</v>
          </cell>
          <cell r="AF1759">
            <v>0.25</v>
          </cell>
          <cell r="AG1759">
            <v>0.25</v>
          </cell>
          <cell r="AH1759">
            <v>0.25</v>
          </cell>
          <cell r="AI1759">
            <v>0.25</v>
          </cell>
          <cell r="AJ1759">
            <v>0.25</v>
          </cell>
          <cell r="AK1759">
            <v>0.25</v>
          </cell>
          <cell r="AL1759">
            <v>0.25</v>
          </cell>
          <cell r="AM1759">
            <v>0.25</v>
          </cell>
          <cell r="AN1759">
            <v>0.25</v>
          </cell>
          <cell r="AO1759">
            <v>0.25</v>
          </cell>
          <cell r="AP1759">
            <v>0.25</v>
          </cell>
          <cell r="AQ1759">
            <v>0.25</v>
          </cell>
          <cell r="AR1759">
            <v>0.25</v>
          </cell>
          <cell r="AS1759">
            <v>0.25</v>
          </cell>
          <cell r="AT1759">
            <v>-0.04</v>
          </cell>
          <cell r="AU1759">
            <v>0.92</v>
          </cell>
          <cell r="AV1759">
            <v>20</v>
          </cell>
          <cell r="AY1759" t="str">
            <v/>
          </cell>
          <cell r="AZ1759">
            <v>0.25</v>
          </cell>
          <cell r="BA1759">
            <v>0.25</v>
          </cell>
        </row>
        <row r="1760">
          <cell r="A1760" t="str">
            <v>NC PORTE E FINESTRE DI NINNI CONIGLIARO</v>
          </cell>
          <cell r="D1760" t="str">
            <v>VIA EMPEDOCLE RESTIVO, 158 160</v>
          </cell>
          <cell r="E1760" t="str">
            <v>90144</v>
          </cell>
          <cell r="F1760" t="str">
            <v>PALERMO</v>
          </cell>
          <cell r="G1760" t="str">
            <v>PA</v>
          </cell>
          <cell r="H1760" t="str">
            <v>ITALIA</v>
          </cell>
          <cell r="M1760" t="str">
            <v>UFFICIO ACQUISTI</v>
          </cell>
          <cell r="N1760" t="str">
            <v>091 515270</v>
          </cell>
          <cell r="O1760" t="str">
            <v>348 3966876</v>
          </cell>
          <cell r="P1760" t="str">
            <v>info@ncporteefinestre.it</v>
          </cell>
          <cell r="R1760" t="str">
            <v>BONIFICO BANCARIO, ALLA DATA DELLA NOSTRA CONFERMA D'ORDINE</v>
          </cell>
          <cell r="X1760">
            <v>0.25</v>
          </cell>
          <cell r="Y1760">
            <v>-0.04</v>
          </cell>
          <cell r="AB1760">
            <v>0.25</v>
          </cell>
          <cell r="AC1760">
            <v>0.25</v>
          </cell>
          <cell r="AD1760">
            <v>0.25</v>
          </cell>
          <cell r="AE1760">
            <v>0.25</v>
          </cell>
          <cell r="AF1760">
            <v>0.25</v>
          </cell>
          <cell r="AG1760">
            <v>0.25</v>
          </cell>
          <cell r="AH1760">
            <v>0.25</v>
          </cell>
          <cell r="AI1760">
            <v>0.25</v>
          </cell>
          <cell r="AJ1760">
            <v>0.25</v>
          </cell>
          <cell r="AK1760">
            <v>0.25</v>
          </cell>
          <cell r="AL1760">
            <v>0.25</v>
          </cell>
          <cell r="AM1760">
            <v>0.25</v>
          </cell>
          <cell r="AN1760">
            <v>0.25</v>
          </cell>
          <cell r="AO1760">
            <v>0.25</v>
          </cell>
          <cell r="AP1760">
            <v>0.25</v>
          </cell>
          <cell r="AQ1760">
            <v>0.25</v>
          </cell>
          <cell r="AR1760">
            <v>0.25</v>
          </cell>
          <cell r="AS1760">
            <v>0.25</v>
          </cell>
          <cell r="AT1760">
            <v>-0.04</v>
          </cell>
          <cell r="AU1760">
            <v>0.92</v>
          </cell>
          <cell r="AV1760">
            <v>20</v>
          </cell>
          <cell r="AY1760" t="str">
            <v/>
          </cell>
          <cell r="AZ1760">
            <v>0.25</v>
          </cell>
          <cell r="BA1760">
            <v>0.25</v>
          </cell>
        </row>
        <row r="1761">
          <cell r="A1761" t="str">
            <v>NEGRO PORTE E FINESTRE</v>
          </cell>
          <cell r="D1761" t="str">
            <v>VIA MARTIRI DELLA LIBERTA', 39</v>
          </cell>
          <cell r="E1761">
            <v>18100</v>
          </cell>
          <cell r="F1761" t="str">
            <v>IMPERIA</v>
          </cell>
          <cell r="G1761" t="str">
            <v>IM</v>
          </cell>
          <cell r="H1761" t="str">
            <v>ITALIA</v>
          </cell>
          <cell r="M1761" t="str">
            <v>UFFICIO ACQUISTI</v>
          </cell>
          <cell r="N1761" t="str">
            <v>0183 880852</v>
          </cell>
          <cell r="P1761" t="str">
            <v>negroserramentisnc@libero.it</v>
          </cell>
          <cell r="R1761" t="str">
            <v>BONIFICO BANCARIO, ALLA DATA DELLA NOSTRA CONFERMA D'ORDINE</v>
          </cell>
          <cell r="X1761">
            <v>0.25</v>
          </cell>
          <cell r="Y1761">
            <v>-0.04</v>
          </cell>
          <cell r="AB1761">
            <v>0.25</v>
          </cell>
          <cell r="AC1761">
            <v>0.25</v>
          </cell>
          <cell r="AD1761">
            <v>0.25</v>
          </cell>
          <cell r="AE1761">
            <v>0.25</v>
          </cell>
          <cell r="AF1761">
            <v>0.25</v>
          </cell>
          <cell r="AG1761">
            <v>0.25</v>
          </cell>
          <cell r="AH1761">
            <v>0.25</v>
          </cell>
          <cell r="AI1761">
            <v>0.25</v>
          </cell>
          <cell r="AJ1761">
            <v>0.25</v>
          </cell>
          <cell r="AK1761">
            <v>0.25</v>
          </cell>
          <cell r="AL1761">
            <v>0.25</v>
          </cell>
          <cell r="AM1761">
            <v>0.25</v>
          </cell>
          <cell r="AN1761">
            <v>0.25</v>
          </cell>
          <cell r="AO1761">
            <v>0.25</v>
          </cell>
          <cell r="AP1761">
            <v>0.25</v>
          </cell>
          <cell r="AQ1761">
            <v>0.25</v>
          </cell>
          <cell r="AR1761">
            <v>0.25</v>
          </cell>
          <cell r="AS1761">
            <v>0.25</v>
          </cell>
          <cell r="AT1761">
            <v>-0.04</v>
          </cell>
          <cell r="AU1761">
            <v>0.92</v>
          </cell>
          <cell r="AV1761">
            <v>20</v>
          </cell>
          <cell r="AY1761" t="str">
            <v/>
          </cell>
          <cell r="AZ1761">
            <v>0.25</v>
          </cell>
          <cell r="BA1761">
            <v>0.25</v>
          </cell>
        </row>
        <row r="1762">
          <cell r="A1762" t="str">
            <v>NEIMAR</v>
          </cell>
          <cell r="B1762" t="str">
            <v>GEOMETRA GABRIELE PIAZZA</v>
          </cell>
          <cell r="H1762" t="str">
            <v>ITALIA</v>
          </cell>
          <cell r="M1762" t="str">
            <v>UFFICIO ACQUISTI</v>
          </cell>
          <cell r="O1762" t="str">
            <v>329 6988943</v>
          </cell>
          <cell r="R1762" t="str">
            <v>BONIFICO BANCARIO, ALLA DATA DELLA NOSTRA CONFERMA D'ORDINE</v>
          </cell>
          <cell r="X1762">
            <v>0.25</v>
          </cell>
          <cell r="Y1762">
            <v>-0.04</v>
          </cell>
          <cell r="AB1762">
            <v>0.25</v>
          </cell>
          <cell r="AC1762">
            <v>0.25</v>
          </cell>
          <cell r="AD1762">
            <v>0.25</v>
          </cell>
          <cell r="AE1762">
            <v>0.25</v>
          </cell>
          <cell r="AF1762">
            <v>0.25</v>
          </cell>
          <cell r="AG1762">
            <v>0.25</v>
          </cell>
          <cell r="AH1762">
            <v>0.25</v>
          </cell>
          <cell r="AI1762">
            <v>0.25</v>
          </cell>
          <cell r="AJ1762">
            <v>0.25</v>
          </cell>
          <cell r="AK1762">
            <v>0.25</v>
          </cell>
          <cell r="AL1762">
            <v>0.25</v>
          </cell>
          <cell r="AM1762">
            <v>0.25</v>
          </cell>
          <cell r="AN1762">
            <v>0.25</v>
          </cell>
          <cell r="AO1762">
            <v>0.25</v>
          </cell>
          <cell r="AP1762">
            <v>0.25</v>
          </cell>
          <cell r="AQ1762">
            <v>0.25</v>
          </cell>
          <cell r="AR1762">
            <v>0.25</v>
          </cell>
          <cell r="AS1762">
            <v>0.25</v>
          </cell>
          <cell r="AT1762">
            <v>-0.04</v>
          </cell>
          <cell r="AU1762">
            <v>0.92</v>
          </cell>
          <cell r="AV1762">
            <v>20</v>
          </cell>
          <cell r="AY1762" t="str">
            <v/>
          </cell>
          <cell r="AZ1762">
            <v>0.25</v>
          </cell>
          <cell r="BA1762">
            <v>0.25</v>
          </cell>
        </row>
        <row r="1763">
          <cell r="A1763" t="str">
            <v>NEW BARTOLINI DI MARTELLI MARIO</v>
          </cell>
          <cell r="B1763" t="str">
            <v>MARTELLI MARCELLO</v>
          </cell>
          <cell r="D1763" t="str">
            <v>VIA PER MONTALBODDO 18 B</v>
          </cell>
          <cell r="E1763" t="str">
            <v>60013</v>
          </cell>
          <cell r="F1763" t="str">
            <v>CORINALDO</v>
          </cell>
          <cell r="G1763" t="str">
            <v>AN</v>
          </cell>
          <cell r="H1763" t="str">
            <v>ITALIA</v>
          </cell>
          <cell r="J1763" t="str">
            <v>02659370429</v>
          </cell>
          <cell r="M1763" t="str">
            <v>UFFICIO ACQUISTI</v>
          </cell>
          <cell r="N1763" t="str">
            <v>071 679074</v>
          </cell>
          <cell r="P1763" t="str">
            <v>info@ferramentabartolini.net</v>
          </cell>
          <cell r="R1763" t="str">
            <v>BONIFICO BANCARIO, ALLA DATA DELLA NOSTRA CONFERMA D'ORDINE</v>
          </cell>
          <cell r="X1763">
            <v>0.25</v>
          </cell>
          <cell r="Y1763">
            <v>-0.04</v>
          </cell>
          <cell r="AB1763">
            <v>0.25</v>
          </cell>
          <cell r="AC1763">
            <v>0.25</v>
          </cell>
          <cell r="AD1763">
            <v>0.25</v>
          </cell>
          <cell r="AE1763">
            <v>0.25</v>
          </cell>
          <cell r="AF1763">
            <v>0.25</v>
          </cell>
          <cell r="AG1763">
            <v>0.25</v>
          </cell>
          <cell r="AH1763">
            <v>0.25</v>
          </cell>
          <cell r="AI1763">
            <v>0.25</v>
          </cell>
          <cell r="AJ1763">
            <v>0.25</v>
          </cell>
          <cell r="AK1763">
            <v>0.25</v>
          </cell>
          <cell r="AL1763">
            <v>0.25</v>
          </cell>
          <cell r="AM1763">
            <v>0.25</v>
          </cell>
          <cell r="AN1763">
            <v>0.25</v>
          </cell>
          <cell r="AO1763">
            <v>0.25</v>
          </cell>
          <cell r="AP1763">
            <v>0.25</v>
          </cell>
          <cell r="AQ1763">
            <v>0.25</v>
          </cell>
          <cell r="AR1763">
            <v>0.25</v>
          </cell>
          <cell r="AS1763">
            <v>0.25</v>
          </cell>
          <cell r="AT1763">
            <v>-0.04</v>
          </cell>
          <cell r="AU1763">
            <v>0.92</v>
          </cell>
          <cell r="AV1763">
            <v>20</v>
          </cell>
          <cell r="AY1763" t="str">
            <v/>
          </cell>
          <cell r="AZ1763">
            <v>0.25</v>
          </cell>
          <cell r="BA1763">
            <v>0.25</v>
          </cell>
        </row>
        <row r="1764">
          <cell r="A1764" t="str">
            <v>NEW LORAL</v>
          </cell>
          <cell r="D1764" t="str">
            <v>VIA BRUNACCI 3/A</v>
          </cell>
          <cell r="E1764" t="str">
            <v>30175</v>
          </cell>
          <cell r="F1764" t="str">
            <v>MARGHERA</v>
          </cell>
          <cell r="G1764" t="str">
            <v>VE</v>
          </cell>
          <cell r="H1764" t="str">
            <v>ITALIA</v>
          </cell>
          <cell r="J1764" t="str">
            <v>04316560277</v>
          </cell>
          <cell r="M1764" t="str">
            <v>UFFICIO ACQUISTI</v>
          </cell>
          <cell r="N1764" t="str">
            <v>041 928091</v>
          </cell>
          <cell r="P1764" t="str">
            <v>newloral@gmail.com</v>
          </cell>
          <cell r="R1764" t="str">
            <v>BONIFICO BANCARIO, ALLA DATA DELLA NOSTRA CONFERMA D'ORDINE</v>
          </cell>
          <cell r="X1764">
            <v>0.25</v>
          </cell>
          <cell r="Y1764">
            <v>-0.04</v>
          </cell>
          <cell r="AB1764">
            <v>0.25</v>
          </cell>
          <cell r="AC1764">
            <v>0.25</v>
          </cell>
          <cell r="AD1764">
            <v>0.25</v>
          </cell>
          <cell r="AE1764">
            <v>0.25</v>
          </cell>
          <cell r="AF1764">
            <v>0.25</v>
          </cell>
          <cell r="AG1764">
            <v>0.25</v>
          </cell>
          <cell r="AH1764">
            <v>0.25</v>
          </cell>
          <cell r="AI1764">
            <v>0.25</v>
          </cell>
          <cell r="AJ1764">
            <v>0.25</v>
          </cell>
          <cell r="AK1764">
            <v>0.25</v>
          </cell>
          <cell r="AL1764">
            <v>0.25</v>
          </cell>
          <cell r="AM1764">
            <v>0.25</v>
          </cell>
          <cell r="AN1764">
            <v>0.25</v>
          </cell>
          <cell r="AO1764">
            <v>0.25</v>
          </cell>
          <cell r="AP1764">
            <v>0.25</v>
          </cell>
          <cell r="AQ1764">
            <v>0.25</v>
          </cell>
          <cell r="AR1764">
            <v>0.25</v>
          </cell>
          <cell r="AS1764">
            <v>0.25</v>
          </cell>
          <cell r="AT1764">
            <v>-0.04</v>
          </cell>
          <cell r="AU1764">
            <v>0.92</v>
          </cell>
          <cell r="AV1764">
            <v>20</v>
          </cell>
          <cell r="AY1764" t="str">
            <v/>
          </cell>
          <cell r="AZ1764">
            <v>0.25</v>
          </cell>
          <cell r="BA1764">
            <v>0.25</v>
          </cell>
        </row>
        <row r="1765">
          <cell r="A1765" t="str">
            <v>NEW SERMIFER SRL</v>
          </cell>
          <cell r="D1765" t="str">
            <v>VIA TUTTO GHEDI, 21 F</v>
          </cell>
          <cell r="E1765" t="str">
            <v>25016</v>
          </cell>
          <cell r="F1765" t="str">
            <v xml:space="preserve">GHEDI </v>
          </cell>
          <cell r="G1765" t="str">
            <v>BS</v>
          </cell>
          <cell r="H1765" t="str">
            <v>ITALIA</v>
          </cell>
          <cell r="J1765" t="str">
            <v>03591760172</v>
          </cell>
          <cell r="M1765" t="str">
            <v>UFFICIO ACQUISTI</v>
          </cell>
          <cell r="N1765" t="str">
            <v>030 9035791</v>
          </cell>
          <cell r="P1765" t="str">
            <v>info@newsermifer.it</v>
          </cell>
          <cell r="R1765" t="str">
            <v>BONIFICO BANCARIO, ALLA DATA DELLA NOSTRA CONFERMA D'ORDINE</v>
          </cell>
          <cell r="Y1765">
            <v>-0.04</v>
          </cell>
          <cell r="AT1765">
            <v>-0.04</v>
          </cell>
          <cell r="AV1765">
            <v>20</v>
          </cell>
          <cell r="AZ1765">
            <v>0</v>
          </cell>
          <cell r="BA1765">
            <v>0</v>
          </cell>
        </row>
        <row r="1766">
          <cell r="A1766" t="str">
            <v>NEW SYSTEM GLASS SRL</v>
          </cell>
          <cell r="D1766" t="str">
            <v>VIA CORVI 10</v>
          </cell>
          <cell r="E1766" t="str">
            <v>60019</v>
          </cell>
          <cell r="F1766" t="str">
            <v>SENIGALLIA</v>
          </cell>
          <cell r="G1766" t="str">
            <v>AN</v>
          </cell>
          <cell r="H1766" t="str">
            <v>ITALIA</v>
          </cell>
          <cell r="J1766" t="str">
            <v>02678640422</v>
          </cell>
          <cell r="M1766" t="str">
            <v>UFFICIO ACQUISTI</v>
          </cell>
          <cell r="R1766" t="str">
            <v>BONIFICO BANCARIO, ALLA DATA DELLA NOSTRA CONFERMA D'ORDINE</v>
          </cell>
          <cell r="X1766">
            <v>0.25</v>
          </cell>
          <cell r="Y1766">
            <v>-0.04</v>
          </cell>
          <cell r="AB1766">
            <v>0.25</v>
          </cell>
          <cell r="AC1766">
            <v>0.25</v>
          </cell>
          <cell r="AD1766">
            <v>0.25</v>
          </cell>
          <cell r="AE1766">
            <v>0.25</v>
          </cell>
          <cell r="AF1766">
            <v>0.25</v>
          </cell>
          <cell r="AG1766">
            <v>0.25</v>
          </cell>
          <cell r="AH1766">
            <v>0.25</v>
          </cell>
          <cell r="AI1766">
            <v>0.25</v>
          </cell>
          <cell r="AJ1766">
            <v>0.25</v>
          </cell>
          <cell r="AK1766">
            <v>0.25</v>
          </cell>
          <cell r="AL1766">
            <v>0.25</v>
          </cell>
          <cell r="AM1766">
            <v>0.25</v>
          </cell>
          <cell r="AN1766">
            <v>0.25</v>
          </cell>
          <cell r="AO1766">
            <v>0.25</v>
          </cell>
          <cell r="AP1766">
            <v>0.25</v>
          </cell>
          <cell r="AQ1766">
            <v>0.25</v>
          </cell>
          <cell r="AR1766">
            <v>0.25</v>
          </cell>
          <cell r="AS1766">
            <v>0.25</v>
          </cell>
          <cell r="AT1766">
            <v>-0.04</v>
          </cell>
          <cell r="AU1766">
            <v>0.92</v>
          </cell>
          <cell r="AV1766">
            <v>20</v>
          </cell>
          <cell r="AY1766" t="str">
            <v/>
          </cell>
          <cell r="AZ1766">
            <v>0.25</v>
          </cell>
          <cell r="BA1766">
            <v>0.25</v>
          </cell>
        </row>
        <row r="1767">
          <cell r="A1767" t="str">
            <v xml:space="preserve">NEWPORT INFISSI SRL </v>
          </cell>
          <cell r="D1767" t="str">
            <v>VIA ROMANA 542/546</v>
          </cell>
          <cell r="E1767" t="str">
            <v>55100</v>
          </cell>
          <cell r="F1767" t="str">
            <v>LUCCA</v>
          </cell>
          <cell r="G1767" t="str">
            <v>LU</v>
          </cell>
          <cell r="H1767" t="str">
            <v>ITALIA</v>
          </cell>
          <cell r="J1767" t="str">
            <v>02431020466</v>
          </cell>
          <cell r="M1767" t="str">
            <v>UFFICIO ACQUISTI</v>
          </cell>
          <cell r="N1767" t="str">
            <v>0583 440588</v>
          </cell>
          <cell r="O1767" t="str">
            <v>335 6364985 MIRCO</v>
          </cell>
          <cell r="R1767" t="str">
            <v>BONIFICO BANCARIO, ALLA DATA DELLA NOSTRA CONFERMA D'ORDINE</v>
          </cell>
          <cell r="X1767">
            <v>0.25</v>
          </cell>
          <cell r="Y1767">
            <v>-0.04</v>
          </cell>
          <cell r="AB1767">
            <v>0.25</v>
          </cell>
          <cell r="AC1767">
            <v>0.25</v>
          </cell>
          <cell r="AD1767">
            <v>0.25</v>
          </cell>
          <cell r="AE1767">
            <v>0.25</v>
          </cell>
          <cell r="AF1767">
            <v>0.25</v>
          </cell>
          <cell r="AG1767">
            <v>0.25</v>
          </cell>
          <cell r="AH1767">
            <v>0.25</v>
          </cell>
          <cell r="AI1767">
            <v>0.25</v>
          </cell>
          <cell r="AJ1767">
            <v>0.25</v>
          </cell>
          <cell r="AK1767">
            <v>0.25</v>
          </cell>
          <cell r="AL1767">
            <v>0.25</v>
          </cell>
          <cell r="AM1767">
            <v>0.25</v>
          </cell>
          <cell r="AN1767">
            <v>0.25</v>
          </cell>
          <cell r="AO1767">
            <v>0.25</v>
          </cell>
          <cell r="AP1767">
            <v>0.25</v>
          </cell>
          <cell r="AQ1767">
            <v>0.25</v>
          </cell>
          <cell r="AR1767">
            <v>0.25</v>
          </cell>
          <cell r="AS1767">
            <v>0.25</v>
          </cell>
          <cell r="AT1767">
            <v>-0.04</v>
          </cell>
          <cell r="AU1767">
            <v>0.92</v>
          </cell>
          <cell r="AV1767">
            <v>20</v>
          </cell>
          <cell r="AY1767" t="str">
            <v/>
          </cell>
          <cell r="AZ1767">
            <v>0.25</v>
          </cell>
          <cell r="BA1767">
            <v>0.25</v>
          </cell>
        </row>
        <row r="1768">
          <cell r="A1768" t="str">
            <v>NG INFISSI SRL</v>
          </cell>
          <cell r="D1768" t="str">
            <v>VIA S GIORGIO SNC</v>
          </cell>
          <cell r="E1768" t="str">
            <v>00040</v>
          </cell>
          <cell r="F1768" t="str">
            <v>ARDEA</v>
          </cell>
          <cell r="G1768" t="str">
            <v>RM</v>
          </cell>
          <cell r="H1768" t="str">
            <v>ITALIA</v>
          </cell>
          <cell r="J1768" t="str">
            <v>14367811008</v>
          </cell>
          <cell r="M1768" t="str">
            <v>UFFICIO ACQUISTI</v>
          </cell>
          <cell r="N1768" t="str">
            <v>328 7512769</v>
          </cell>
          <cell r="P1768" t="str">
            <v>nginfissiks@gmail.com</v>
          </cell>
          <cell r="R1768" t="str">
            <v>BONIFICO BANCARIO, ALLA DATA DELLA NOSTRA CONFERMA D'ORDINE</v>
          </cell>
          <cell r="X1768">
            <v>0.25</v>
          </cell>
          <cell r="Y1768">
            <v>-0.04</v>
          </cell>
          <cell r="AB1768">
            <v>0.25</v>
          </cell>
          <cell r="AC1768">
            <v>0.25</v>
          </cell>
          <cell r="AD1768">
            <v>0.25</v>
          </cell>
          <cell r="AE1768">
            <v>0.25</v>
          </cell>
          <cell r="AF1768">
            <v>0.25</v>
          </cell>
          <cell r="AG1768">
            <v>0.25</v>
          </cell>
          <cell r="AH1768">
            <v>0.25</v>
          </cell>
          <cell r="AI1768">
            <v>0.25</v>
          </cell>
          <cell r="AJ1768">
            <v>0.25</v>
          </cell>
          <cell r="AK1768">
            <v>0.25</v>
          </cell>
          <cell r="AL1768">
            <v>0.25</v>
          </cell>
          <cell r="AM1768">
            <v>0.25</v>
          </cell>
          <cell r="AN1768">
            <v>0.25</v>
          </cell>
          <cell r="AO1768">
            <v>0.25</v>
          </cell>
          <cell r="AP1768">
            <v>0.25</v>
          </cell>
          <cell r="AQ1768">
            <v>0.25</v>
          </cell>
          <cell r="AR1768">
            <v>0.25</v>
          </cell>
          <cell r="AS1768">
            <v>0.25</v>
          </cell>
          <cell r="AT1768">
            <v>-0.04</v>
          </cell>
          <cell r="AU1768">
            <v>0.92</v>
          </cell>
          <cell r="AV1768">
            <v>20</v>
          </cell>
          <cell r="AY1768" t="str">
            <v/>
          </cell>
          <cell r="AZ1768">
            <v>0.25</v>
          </cell>
          <cell r="BA1768">
            <v>0.25</v>
          </cell>
        </row>
        <row r="1769">
          <cell r="A1769" t="str">
            <v>NGL SRL</v>
          </cell>
          <cell r="D1769" t="str">
            <v>VIA DEGLI SCHIAVETTI, 11</v>
          </cell>
          <cell r="E1769" t="str">
            <v>34074</v>
          </cell>
          <cell r="F1769" t="str">
            <v>MONFALCONE</v>
          </cell>
          <cell r="G1769" t="str">
            <v>GO</v>
          </cell>
          <cell r="H1769" t="str">
            <v>ITALIA</v>
          </cell>
          <cell r="J1769" t="str">
            <v>01180060319</v>
          </cell>
          <cell r="M1769" t="str">
            <v>UFFICIO ACQUISTI</v>
          </cell>
          <cell r="N1769" t="str">
            <v>0481 095525</v>
          </cell>
          <cell r="P1769" t="str">
            <v>ngl.srl@libero.it</v>
          </cell>
          <cell r="R1769" t="str">
            <v>BONIFICO BANCARIO, ALLA DATA DELLA NOSTRA CONFERMA D'ORDINE</v>
          </cell>
          <cell r="X1769">
            <v>0.2</v>
          </cell>
          <cell r="Y1769">
            <v>-0.04</v>
          </cell>
          <cell r="AB1769">
            <v>0.2</v>
          </cell>
          <cell r="AC1769">
            <v>0.2</v>
          </cell>
          <cell r="AD1769">
            <v>0.2</v>
          </cell>
          <cell r="AE1769">
            <v>0.2</v>
          </cell>
          <cell r="AF1769">
            <v>0.2</v>
          </cell>
          <cell r="AG1769">
            <v>0.2</v>
          </cell>
          <cell r="AH1769">
            <v>0.2</v>
          </cell>
          <cell r="AI1769">
            <v>0.2</v>
          </cell>
          <cell r="AJ1769">
            <v>0.2</v>
          </cell>
          <cell r="AK1769">
            <v>0.2</v>
          </cell>
          <cell r="AL1769">
            <v>0.2</v>
          </cell>
          <cell r="AM1769">
            <v>0.2</v>
          </cell>
          <cell r="AN1769">
            <v>0.2</v>
          </cell>
          <cell r="AO1769">
            <v>0.2</v>
          </cell>
          <cell r="AP1769">
            <v>0.2</v>
          </cell>
          <cell r="AQ1769">
            <v>0.2</v>
          </cell>
          <cell r="AR1769">
            <v>0.2</v>
          </cell>
          <cell r="AS1769">
            <v>0.2</v>
          </cell>
          <cell r="AT1769">
            <v>-0.04</v>
          </cell>
          <cell r="AU1769">
            <v>0.92</v>
          </cell>
          <cell r="AV1769">
            <v>20</v>
          </cell>
          <cell r="AZ1769">
            <v>0.2</v>
          </cell>
          <cell r="BA1769">
            <v>0.2</v>
          </cell>
        </row>
        <row r="1770">
          <cell r="A1770" t="str">
            <v>NI.PA.MA. S.A.S. DI VINCENZO CAPASSO E C.</v>
          </cell>
          <cell r="D1770" t="str">
            <v>VIA RIETI, 5</v>
          </cell>
          <cell r="E1770">
            <v>81030</v>
          </cell>
          <cell r="F1770" t="str">
            <v>CASTELVOLTURNO</v>
          </cell>
          <cell r="G1770" t="str">
            <v>CE</v>
          </cell>
          <cell r="H1770" t="str">
            <v>ITALIA</v>
          </cell>
          <cell r="J1770" t="str">
            <v>06050871216</v>
          </cell>
          <cell r="K1770" t="str">
            <v>BA6ET11</v>
          </cell>
          <cell r="M1770" t="str">
            <v>UFFICIO ACQUISTI</v>
          </cell>
          <cell r="N1770" t="str">
            <v>081 5097601</v>
          </cell>
          <cell r="O1770" t="str">
            <v>327 7124195</v>
          </cell>
          <cell r="P1770" t="str">
            <v>nipamasas@gmail.com</v>
          </cell>
          <cell r="R1770" t="str">
            <v>BONIFICO BANCARIO, ALLA DATA DELLA NOSTRA CONFERMA D'ORDINE</v>
          </cell>
          <cell r="X1770">
            <v>0.25</v>
          </cell>
          <cell r="Y1770">
            <v>-0.04</v>
          </cell>
          <cell r="AB1770">
            <v>0.25</v>
          </cell>
          <cell r="AC1770">
            <v>0.25</v>
          </cell>
          <cell r="AD1770">
            <v>0.25</v>
          </cell>
          <cell r="AE1770">
            <v>0.25</v>
          </cell>
          <cell r="AF1770">
            <v>0.25</v>
          </cell>
          <cell r="AG1770">
            <v>0.25</v>
          </cell>
          <cell r="AH1770">
            <v>0.25</v>
          </cell>
          <cell r="AI1770">
            <v>0.25</v>
          </cell>
          <cell r="AJ1770">
            <v>0.25</v>
          </cell>
          <cell r="AK1770">
            <v>0.25</v>
          </cell>
          <cell r="AL1770">
            <v>0.25</v>
          </cell>
          <cell r="AM1770">
            <v>0.25</v>
          </cell>
          <cell r="AN1770">
            <v>0.25</v>
          </cell>
          <cell r="AO1770">
            <v>0.25</v>
          </cell>
          <cell r="AP1770">
            <v>0.25</v>
          </cell>
          <cell r="AQ1770">
            <v>0.25</v>
          </cell>
          <cell r="AR1770">
            <v>0.25</v>
          </cell>
          <cell r="AS1770">
            <v>0.25</v>
          </cell>
          <cell r="AT1770">
            <v>-0.04</v>
          </cell>
          <cell r="AU1770">
            <v>0.92</v>
          </cell>
          <cell r="AV1770">
            <v>20</v>
          </cell>
          <cell r="AY1770" t="str">
            <v/>
          </cell>
          <cell r="AZ1770">
            <v>0.25</v>
          </cell>
          <cell r="BA1770">
            <v>0.25</v>
          </cell>
          <cell r="BF1770" t="str">
            <v>CLICK RAPID con carpenteria 18/11/2020</v>
          </cell>
        </row>
        <row r="1771">
          <cell r="A1771" t="str">
            <v>NICOLINO ORECCHIONI EREDI SNC DI ORECCHIONI M.M. &amp; C.</v>
          </cell>
          <cell r="D1771" t="str">
            <v>VIA CAPO D'ORSO, 11</v>
          </cell>
          <cell r="E1771" t="str">
            <v>07029</v>
          </cell>
          <cell r="F1771" t="str">
            <v>PALAU</v>
          </cell>
          <cell r="G1771" t="str">
            <v>SS</v>
          </cell>
          <cell r="H1771" t="str">
            <v>ITALIA</v>
          </cell>
          <cell r="J1771" t="str">
            <v>01688570900</v>
          </cell>
          <cell r="M1771" t="str">
            <v>UFFICIO ACQUISTI</v>
          </cell>
          <cell r="N1771" t="str">
            <v>0789 709463</v>
          </cell>
          <cell r="R1771" t="str">
            <v>BONIFICO BANCARIO, ALLA DATA DELLA NOSTRA CONFERMA D'ORDINE</v>
          </cell>
          <cell r="X1771">
            <v>0.2</v>
          </cell>
          <cell r="Y1771">
            <v>-0.04</v>
          </cell>
          <cell r="AB1771">
            <v>0.2</v>
          </cell>
          <cell r="AC1771">
            <v>0.2</v>
          </cell>
          <cell r="AD1771">
            <v>0.2</v>
          </cell>
          <cell r="AE1771">
            <v>0.2</v>
          </cell>
          <cell r="AF1771">
            <v>0.2</v>
          </cell>
          <cell r="AG1771">
            <v>0.2</v>
          </cell>
          <cell r="AH1771">
            <v>0.2</v>
          </cell>
          <cell r="AI1771">
            <v>0.2</v>
          </cell>
          <cell r="AJ1771">
            <v>0.2</v>
          </cell>
          <cell r="AK1771">
            <v>0.2</v>
          </cell>
          <cell r="AL1771">
            <v>0.2</v>
          </cell>
          <cell r="AM1771">
            <v>0.2</v>
          </cell>
          <cell r="AN1771">
            <v>0.2</v>
          </cell>
          <cell r="AO1771">
            <v>0.2</v>
          </cell>
          <cell r="AP1771">
            <v>0.2</v>
          </cell>
          <cell r="AQ1771">
            <v>0.2</v>
          </cell>
          <cell r="AR1771">
            <v>0.2</v>
          </cell>
          <cell r="AS1771">
            <v>0.2</v>
          </cell>
          <cell r="AT1771">
            <v>-0.04</v>
          </cell>
          <cell r="AU1771">
            <v>0.92</v>
          </cell>
          <cell r="AV1771">
            <v>20</v>
          </cell>
          <cell r="AZ1771">
            <v>0.2</v>
          </cell>
          <cell r="BA1771">
            <v>0.2</v>
          </cell>
        </row>
        <row r="1772">
          <cell r="A1772" t="str">
            <v>NIGRO</v>
          </cell>
          <cell r="D1772" t="str">
            <v>VIA PRESIDENTE KENNEDY, 79</v>
          </cell>
          <cell r="E1772">
            <v>97016</v>
          </cell>
          <cell r="F1772" t="str">
            <v>POZZALLO</v>
          </cell>
          <cell r="G1772" t="str">
            <v>RG</v>
          </cell>
          <cell r="H1772" t="str">
            <v>ITALIA</v>
          </cell>
          <cell r="I1772" t="str">
            <v>NGRNNN73B13F258M</v>
          </cell>
          <cell r="J1772" t="str">
            <v>01680570882</v>
          </cell>
          <cell r="K1772" t="str">
            <v>M5UXCR1</v>
          </cell>
          <cell r="M1772" t="str">
            <v>UFFICIO ACQUISTI</v>
          </cell>
          <cell r="N1772" t="str">
            <v>0932 955635</v>
          </cell>
          <cell r="O1772" t="str">
            <v>Antonino Nigro 320 4286707</v>
          </cell>
          <cell r="P1772" t="str">
            <v>dittanigro@gmail.com</v>
          </cell>
          <cell r="R1772" t="str">
            <v>BONIFICO BANCARIO, ALLA DATA DELLA NOSTRA CONFERMA D'ORDINE</v>
          </cell>
          <cell r="X1772">
            <v>0.25</v>
          </cell>
          <cell r="Y1772">
            <v>-0.04</v>
          </cell>
          <cell r="AB1772">
            <v>0.25</v>
          </cell>
          <cell r="AC1772">
            <v>0.25</v>
          </cell>
          <cell r="AD1772">
            <v>0.25</v>
          </cell>
          <cell r="AE1772">
            <v>0.25</v>
          </cell>
          <cell r="AF1772">
            <v>0.25</v>
          </cell>
          <cell r="AG1772">
            <v>0.25</v>
          </cell>
          <cell r="AH1772">
            <v>0.25</v>
          </cell>
          <cell r="AI1772">
            <v>0.25</v>
          </cell>
          <cell r="AJ1772">
            <v>0.25</v>
          </cell>
          <cell r="AK1772">
            <v>0.25</v>
          </cell>
          <cell r="AL1772">
            <v>0.25</v>
          </cell>
          <cell r="AM1772">
            <v>0.25</v>
          </cell>
          <cell r="AN1772">
            <v>0.25</v>
          </cell>
          <cell r="AO1772">
            <v>0.25</v>
          </cell>
          <cell r="AP1772">
            <v>0.25</v>
          </cell>
          <cell r="AQ1772">
            <v>0.25</v>
          </cell>
          <cell r="AR1772">
            <v>0.25</v>
          </cell>
          <cell r="AS1772">
            <v>0.25</v>
          </cell>
          <cell r="AT1772">
            <v>-0.04</v>
          </cell>
          <cell r="AU1772">
            <v>0.92</v>
          </cell>
          <cell r="AV1772">
            <v>20</v>
          </cell>
          <cell r="AY1772" t="str">
            <v/>
          </cell>
          <cell r="AZ1772">
            <v>0.25</v>
          </cell>
          <cell r="BA1772">
            <v>0.25</v>
          </cell>
        </row>
        <row r="1773">
          <cell r="A1773" t="str">
            <v>NIGRO ANTONINO</v>
          </cell>
          <cell r="D1773" t="str">
            <v>VIA PRESIDENTE KENNEDY, 79</v>
          </cell>
          <cell r="E1773">
            <v>97016</v>
          </cell>
          <cell r="F1773" t="str">
            <v>POZZALLO</v>
          </cell>
          <cell r="G1773" t="str">
            <v>RG</v>
          </cell>
          <cell r="H1773" t="str">
            <v>ITALIA</v>
          </cell>
          <cell r="J1773" t="str">
            <v>01680570882</v>
          </cell>
          <cell r="K1773" t="str">
            <v>M5UXCR1</v>
          </cell>
          <cell r="M1773" t="str">
            <v>UFFICIO ACQUISTI</v>
          </cell>
          <cell r="N1773" t="str">
            <v>0932 955635</v>
          </cell>
          <cell r="O1773" t="str">
            <v>320 4286707</v>
          </cell>
          <cell r="P1773" t="str">
            <v>dittanigro@gmail.com</v>
          </cell>
          <cell r="R1773" t="str">
            <v>BONIFICO BANCARIO, ALLA DATA DELLA NOSTRA CONFERMA D'ORDINE</v>
          </cell>
          <cell r="X1773">
            <v>0.25</v>
          </cell>
          <cell r="Y1773">
            <v>-0.04</v>
          </cell>
          <cell r="AB1773">
            <v>0.25</v>
          </cell>
          <cell r="AC1773">
            <v>0.25</v>
          </cell>
          <cell r="AD1773">
            <v>0.25</v>
          </cell>
          <cell r="AE1773">
            <v>0.25</v>
          </cell>
          <cell r="AF1773">
            <v>0.25</v>
          </cell>
          <cell r="AG1773">
            <v>0.25</v>
          </cell>
          <cell r="AH1773">
            <v>0.25</v>
          </cell>
          <cell r="AI1773">
            <v>0.25</v>
          </cell>
          <cell r="AJ1773">
            <v>0.25</v>
          </cell>
          <cell r="AK1773">
            <v>0.25</v>
          </cell>
          <cell r="AL1773">
            <v>0.25</v>
          </cell>
          <cell r="AM1773">
            <v>0.25</v>
          </cell>
          <cell r="AN1773">
            <v>0.25</v>
          </cell>
          <cell r="AO1773">
            <v>0.25</v>
          </cell>
          <cell r="AP1773">
            <v>0.25</v>
          </cell>
          <cell r="AQ1773">
            <v>0.25</v>
          </cell>
          <cell r="AR1773">
            <v>0.25</v>
          </cell>
          <cell r="AS1773">
            <v>0.25</v>
          </cell>
          <cell r="AT1773">
            <v>-0.04</v>
          </cell>
          <cell r="AU1773">
            <v>0.92</v>
          </cell>
          <cell r="AV1773">
            <v>20</v>
          </cell>
          <cell r="AY1773" t="str">
            <v/>
          </cell>
          <cell r="AZ1773">
            <v>0.25</v>
          </cell>
          <cell r="BA1773">
            <v>0.25</v>
          </cell>
        </row>
        <row r="1774">
          <cell r="A1774" t="str">
            <v>NIU-GO S.R.L.S.</v>
          </cell>
          <cell r="D1774" t="str">
            <v>VIA MINARESE 323</v>
          </cell>
          <cell r="E1774">
            <v>30174</v>
          </cell>
          <cell r="F1774" t="str">
            <v>VENEZIA</v>
          </cell>
          <cell r="G1774" t="str">
            <v>VE</v>
          </cell>
          <cell r="H1774" t="str">
            <v>ITALIA</v>
          </cell>
          <cell r="J1774" t="str">
            <v>04443530276</v>
          </cell>
          <cell r="K1774" t="str">
            <v>BA6ET11</v>
          </cell>
          <cell r="M1774" t="str">
            <v>UFFICIO ACQUISTI</v>
          </cell>
          <cell r="N1774" t="str">
            <v>041 4800335</v>
          </cell>
          <cell r="O1774" t="str">
            <v>392 3883733 DANIELE LAZZARIN</v>
          </cell>
          <cell r="P1774" t="str">
            <v>info@n-go.it</v>
          </cell>
          <cell r="R1774" t="str">
            <v>BONIFICO BANCARIO, ALLA DATA DELLA NOSTRA CONFERMA D'ORDINE</v>
          </cell>
          <cell r="W1774" t="str">
            <v>ACQUA SALATA</v>
          </cell>
          <cell r="X1774">
            <v>0.25</v>
          </cell>
          <cell r="Y1774">
            <v>-0.04</v>
          </cell>
          <cell r="AB1774">
            <v>0.25</v>
          </cell>
          <cell r="AC1774">
            <v>0.25</v>
          </cell>
          <cell r="AD1774">
            <v>0.25</v>
          </cell>
          <cell r="AE1774">
            <v>0.25</v>
          </cell>
          <cell r="AF1774">
            <v>0.25</v>
          </cell>
          <cell r="AG1774">
            <v>0.25</v>
          </cell>
          <cell r="AH1774">
            <v>0.25</v>
          </cell>
          <cell r="AI1774">
            <v>0.25</v>
          </cell>
          <cell r="AJ1774">
            <v>0.25</v>
          </cell>
          <cell r="AK1774">
            <v>0.25</v>
          </cell>
          <cell r="AL1774">
            <v>0.25</v>
          </cell>
          <cell r="AM1774">
            <v>0.25</v>
          </cell>
          <cell r="AN1774">
            <v>0.25</v>
          </cell>
          <cell r="AO1774">
            <v>0.25</v>
          </cell>
          <cell r="AP1774">
            <v>0.25</v>
          </cell>
          <cell r="AQ1774">
            <v>0.25</v>
          </cell>
          <cell r="AR1774">
            <v>0.25</v>
          </cell>
          <cell r="AS1774">
            <v>0.25</v>
          </cell>
          <cell r="AT1774">
            <v>-0.04</v>
          </cell>
          <cell r="AU1774">
            <v>0.92</v>
          </cell>
          <cell r="AV1774">
            <v>20</v>
          </cell>
          <cell r="AY1774" t="str">
            <v/>
          </cell>
          <cell r="AZ1774">
            <v>0.25</v>
          </cell>
          <cell r="BA1774">
            <v>0.25</v>
          </cell>
        </row>
        <row r="1775">
          <cell r="A1775" t="str">
            <v>NL DIGITAL</v>
          </cell>
          <cell r="D1775" t="str">
            <v>25 CHEMIN DU MURIER - ZA LES REVOLS</v>
          </cell>
          <cell r="E1775" t="str">
            <v>26540</v>
          </cell>
          <cell r="F1775" t="str">
            <v>MOURS ST EUSEBE</v>
          </cell>
          <cell r="H1775" t="str">
            <v>FRANCIA</v>
          </cell>
          <cell r="J1775" t="str">
            <v>FR16890010762</v>
          </cell>
          <cell r="K1775" t="str">
            <v>XXXXXXX</v>
          </cell>
          <cell r="M1775" t="str">
            <v>UFFICIO ACQUISTI</v>
          </cell>
          <cell r="N1775" t="str">
            <v>+33 622 308831</v>
          </cell>
          <cell r="P1775" t="str">
            <v>louis@nldigital.fr</v>
          </cell>
          <cell r="R1775" t="str">
            <v>VIREMENT BANCAIRE, À LA DATE DE NOTRE CONFIRMATION DE COMMANDE</v>
          </cell>
          <cell r="X1775">
            <v>0</v>
          </cell>
          <cell r="AB1775">
            <v>0</v>
          </cell>
          <cell r="AC1775">
            <v>0</v>
          </cell>
          <cell r="AD1775">
            <v>0</v>
          </cell>
          <cell r="AE1775">
            <v>0</v>
          </cell>
          <cell r="AF1775">
            <v>0</v>
          </cell>
          <cell r="AG1775">
            <v>0</v>
          </cell>
          <cell r="AH1775">
            <v>0</v>
          </cell>
          <cell r="AI1775">
            <v>0</v>
          </cell>
          <cell r="AJ1775">
            <v>0</v>
          </cell>
          <cell r="AK1775">
            <v>0</v>
          </cell>
          <cell r="AL1775">
            <v>0</v>
          </cell>
          <cell r="AM1775">
            <v>0</v>
          </cell>
          <cell r="AN1775">
            <v>0</v>
          </cell>
          <cell r="AO1775">
            <v>0</v>
          </cell>
          <cell r="AP1775">
            <v>0</v>
          </cell>
          <cell r="AQ1775">
            <v>0</v>
          </cell>
          <cell r="AR1775">
            <v>0</v>
          </cell>
          <cell r="AS1775">
            <v>0</v>
          </cell>
          <cell r="AU1775">
            <v>0.84</v>
          </cell>
          <cell r="AV1775">
            <v>20</v>
          </cell>
          <cell r="AZ1775">
            <v>0</v>
          </cell>
          <cell r="BA1775">
            <v>0</v>
          </cell>
          <cell r="BF1775" t="str">
            <v>CLICK RAPID con espositore 20/07/2021</v>
          </cell>
        </row>
        <row r="1776">
          <cell r="A1776" t="str">
            <v>NOCKER METALLBAU GMBH</v>
          </cell>
          <cell r="D1776" t="str">
            <v>AUSSERWEG 62B</v>
          </cell>
          <cell r="E1776" t="str">
            <v>6145</v>
          </cell>
          <cell r="F1776" t="str">
            <v>NAVIS</v>
          </cell>
          <cell r="H1776" t="str">
            <v>AUSTRIA</v>
          </cell>
          <cell r="J1776" t="str">
            <v>ATU60609522</v>
          </cell>
          <cell r="K1776" t="str">
            <v>XXXXXXX</v>
          </cell>
          <cell r="M1776" t="str">
            <v>UFFICIO ACQUISTI</v>
          </cell>
          <cell r="N1776" t="str">
            <v>+43 5273 6050011</v>
          </cell>
          <cell r="O1776" t="str">
            <v>+43 664 88281821</v>
          </cell>
          <cell r="P1776" t="str">
            <v>ausschreibung@nocker.at</v>
          </cell>
          <cell r="R1776" t="str">
            <v>BANKÜBERWEISUNG, AM DATUM UNSERER AUFTRAGSBESTÄTIGUNG</v>
          </cell>
          <cell r="X1776">
            <v>0</v>
          </cell>
          <cell r="AB1776">
            <v>0</v>
          </cell>
          <cell r="AC1776">
            <v>0</v>
          </cell>
          <cell r="AD1776">
            <v>0</v>
          </cell>
          <cell r="AE1776">
            <v>0</v>
          </cell>
          <cell r="AF1776">
            <v>0</v>
          </cell>
          <cell r="AG1776">
            <v>0</v>
          </cell>
          <cell r="AH1776">
            <v>0</v>
          </cell>
          <cell r="AI1776">
            <v>0</v>
          </cell>
          <cell r="AJ1776">
            <v>0</v>
          </cell>
          <cell r="AK1776">
            <v>0</v>
          </cell>
          <cell r="AL1776">
            <v>0</v>
          </cell>
          <cell r="AM1776">
            <v>0</v>
          </cell>
          <cell r="AN1776">
            <v>0</v>
          </cell>
          <cell r="AO1776">
            <v>0</v>
          </cell>
          <cell r="AP1776">
            <v>0</v>
          </cell>
          <cell r="AQ1776">
            <v>0</v>
          </cell>
          <cell r="AR1776">
            <v>0</v>
          </cell>
          <cell r="AS1776">
            <v>0</v>
          </cell>
          <cell r="AU1776">
            <v>0.84</v>
          </cell>
          <cell r="AV1776">
            <v>20</v>
          </cell>
          <cell r="AZ1776">
            <v>0</v>
          </cell>
          <cell r="BA1776">
            <v>0</v>
          </cell>
        </row>
        <row r="1777">
          <cell r="A1777" t="str">
            <v>NON SOLO INFISSI SRLS</v>
          </cell>
          <cell r="B1777" t="str">
            <v>CONSULENTE SERRAMENTISTICO FABIO LONGO</v>
          </cell>
          <cell r="D1777" t="str">
            <v>V.LE G.DI VITTORIO, 2/4</v>
          </cell>
          <cell r="E1777" t="str">
            <v>71121</v>
          </cell>
          <cell r="F1777" t="str">
            <v>FOGGIA</v>
          </cell>
          <cell r="G1777" t="str">
            <v>FG</v>
          </cell>
          <cell r="H1777" t="str">
            <v>ITALIA</v>
          </cell>
          <cell r="J1777" t="str">
            <v>04295200713</v>
          </cell>
          <cell r="M1777" t="str">
            <v>UFFICIO ACQUISTI</v>
          </cell>
          <cell r="N1777" t="str">
            <v>0881 026767</v>
          </cell>
          <cell r="O1777" t="str">
            <v>3936 9159711</v>
          </cell>
          <cell r="P1777" t="str">
            <v>nonsoloinfissi@hotmail.it</v>
          </cell>
          <cell r="R1777" t="str">
            <v>BONIFICO BANCARIO, ALLA DATA DELLA NOSTRA CONFERMA D'ORDINE</v>
          </cell>
          <cell r="X1777">
            <v>0.2</v>
          </cell>
          <cell r="Y1777">
            <v>-0.04</v>
          </cell>
          <cell r="AB1777">
            <v>0.2</v>
          </cell>
          <cell r="AC1777">
            <v>0.2</v>
          </cell>
          <cell r="AD1777">
            <v>0.2</v>
          </cell>
          <cell r="AE1777">
            <v>0.2</v>
          </cell>
          <cell r="AF1777">
            <v>0.2</v>
          </cell>
          <cell r="AG1777">
            <v>0.2</v>
          </cell>
          <cell r="AH1777">
            <v>0.2</v>
          </cell>
          <cell r="AI1777">
            <v>0.2</v>
          </cell>
          <cell r="AJ1777">
            <v>0.2</v>
          </cell>
          <cell r="AK1777">
            <v>0.2</v>
          </cell>
          <cell r="AL1777">
            <v>0.2</v>
          </cell>
          <cell r="AM1777">
            <v>0.2</v>
          </cell>
          <cell r="AN1777">
            <v>0.2</v>
          </cell>
          <cell r="AO1777">
            <v>0.2</v>
          </cell>
          <cell r="AP1777">
            <v>0.2</v>
          </cell>
          <cell r="AQ1777">
            <v>0.2</v>
          </cell>
          <cell r="AR1777">
            <v>0.2</v>
          </cell>
          <cell r="AS1777">
            <v>0.2</v>
          </cell>
          <cell r="AT1777">
            <v>-0.04</v>
          </cell>
          <cell r="AU1777">
            <v>0.92</v>
          </cell>
          <cell r="AV1777">
            <v>20</v>
          </cell>
          <cell r="AZ1777">
            <v>0.2</v>
          </cell>
          <cell r="BA1777">
            <v>0.2</v>
          </cell>
        </row>
        <row r="1778">
          <cell r="A1778" t="str">
            <v>NON SOLO LEGNO DI POLITI ROBERTO</v>
          </cell>
          <cell r="D1778" t="str">
            <v>VIA XX SETTEMBRE, 14</v>
          </cell>
          <cell r="E1778">
            <v>20066</v>
          </cell>
          <cell r="F1778" t="str">
            <v>MELZO</v>
          </cell>
          <cell r="G1778" t="str">
            <v>MI</v>
          </cell>
          <cell r="H1778" t="str">
            <v>ITALIA</v>
          </cell>
          <cell r="M1778" t="str">
            <v>UFFICIO ACQUISTI</v>
          </cell>
          <cell r="N1778" t="str">
            <v>02 23663002</v>
          </cell>
          <cell r="O1778" t="str">
            <v>338 6485514</v>
          </cell>
          <cell r="P1778" t="str">
            <v>nonsololegno@virgilio.it</v>
          </cell>
          <cell r="R1778" t="str">
            <v>BONIFICO BANCARIO, ALLA DATA DELLA NOSTRA CONFERMA D'ORDINE</v>
          </cell>
          <cell r="X1778">
            <v>0.25</v>
          </cell>
          <cell r="Y1778">
            <v>-0.04</v>
          </cell>
          <cell r="AB1778">
            <v>0.25</v>
          </cell>
          <cell r="AC1778">
            <v>0.25</v>
          </cell>
          <cell r="AD1778">
            <v>0.25</v>
          </cell>
          <cell r="AE1778">
            <v>0.25</v>
          </cell>
          <cell r="AF1778">
            <v>0.25</v>
          </cell>
          <cell r="AG1778">
            <v>0.25</v>
          </cell>
          <cell r="AH1778">
            <v>0.25</v>
          </cell>
          <cell r="AI1778">
            <v>0.25</v>
          </cell>
          <cell r="AJ1778">
            <v>0.25</v>
          </cell>
          <cell r="AK1778">
            <v>0.25</v>
          </cell>
          <cell r="AL1778">
            <v>0.25</v>
          </cell>
          <cell r="AM1778">
            <v>0.25</v>
          </cell>
          <cell r="AN1778">
            <v>0.25</v>
          </cell>
          <cell r="AO1778">
            <v>0.25</v>
          </cell>
          <cell r="AP1778">
            <v>0.25</v>
          </cell>
          <cell r="AQ1778">
            <v>0.25</v>
          </cell>
          <cell r="AR1778">
            <v>0.25</v>
          </cell>
          <cell r="AS1778">
            <v>0.25</v>
          </cell>
          <cell r="AT1778">
            <v>-0.04</v>
          </cell>
          <cell r="AU1778">
            <v>0.92</v>
          </cell>
          <cell r="AV1778">
            <v>20</v>
          </cell>
          <cell r="AY1778" t="str">
            <v/>
          </cell>
          <cell r="AZ1778">
            <v>0.25</v>
          </cell>
          <cell r="BA1778">
            <v>0.25</v>
          </cell>
        </row>
        <row r="1779">
          <cell r="A1779" t="str">
            <v>NORI SYSTEMS SRL</v>
          </cell>
          <cell r="B1779" t="str">
            <v>ENRICO, CARMINE NORI, AMALIA</v>
          </cell>
          <cell r="D1779" t="str">
            <v>SS 80 - PIANO D'ACCIO</v>
          </cell>
          <cell r="E1779" t="str">
            <v>64100</v>
          </cell>
          <cell r="F1779" t="str">
            <v>TERAMO</v>
          </cell>
          <cell r="G1779" t="str">
            <v>TE</v>
          </cell>
          <cell r="H1779" t="str">
            <v>ITALIA</v>
          </cell>
          <cell r="J1779" t="str">
            <v>01929560678</v>
          </cell>
          <cell r="M1779" t="str">
            <v>UFFICIO ACQUISTI</v>
          </cell>
          <cell r="N1779" t="str">
            <v>0861 212555</v>
          </cell>
          <cell r="P1779" t="str">
            <v>info@norisystems.it</v>
          </cell>
          <cell r="R1779" t="str">
            <v>BONIFICO BANCARIO, ALLA DATA DELLA NOSTRA CONFERMA D'ORDINE</v>
          </cell>
          <cell r="X1779">
            <v>0.25</v>
          </cell>
          <cell r="Y1779">
            <v>-0.04</v>
          </cell>
          <cell r="AB1779">
            <v>0.25</v>
          </cell>
          <cell r="AC1779">
            <v>0.25</v>
          </cell>
          <cell r="AD1779">
            <v>0.25</v>
          </cell>
          <cell r="AE1779">
            <v>0.25</v>
          </cell>
          <cell r="AF1779">
            <v>0.25</v>
          </cell>
          <cell r="AG1779">
            <v>0.25</v>
          </cell>
          <cell r="AH1779">
            <v>0.25</v>
          </cell>
          <cell r="AI1779">
            <v>0.25</v>
          </cell>
          <cell r="AJ1779">
            <v>0.25</v>
          </cell>
          <cell r="AK1779">
            <v>0.25</v>
          </cell>
          <cell r="AL1779">
            <v>0.25</v>
          </cell>
          <cell r="AM1779">
            <v>0.25</v>
          </cell>
          <cell r="AN1779">
            <v>0.25</v>
          </cell>
          <cell r="AO1779">
            <v>0.25</v>
          </cell>
          <cell r="AP1779">
            <v>0.25</v>
          </cell>
          <cell r="AQ1779">
            <v>0.25</v>
          </cell>
          <cell r="AR1779">
            <v>0.25</v>
          </cell>
          <cell r="AS1779">
            <v>0.25</v>
          </cell>
          <cell r="AT1779">
            <v>-0.04</v>
          </cell>
          <cell r="AU1779">
            <v>0.92</v>
          </cell>
          <cell r="AV1779">
            <v>20</v>
          </cell>
          <cell r="AY1779" t="str">
            <v/>
          </cell>
          <cell r="AZ1779">
            <v>0.25</v>
          </cell>
          <cell r="BA1779">
            <v>0.25</v>
          </cell>
        </row>
        <row r="1780">
          <cell r="A1780" t="str">
            <v>NORIS &amp; SBRUZZI SNC</v>
          </cell>
          <cell r="D1780" t="str">
            <v>VIA S.INVENZIO, 24 26</v>
          </cell>
          <cell r="E1780">
            <v>20083</v>
          </cell>
          <cell r="F1780" t="str">
            <v>GAGGIANO</v>
          </cell>
          <cell r="G1780" t="str">
            <v>MI</v>
          </cell>
          <cell r="H1780" t="str">
            <v>ITALIA</v>
          </cell>
          <cell r="J1780" t="str">
            <v>03680540964</v>
          </cell>
          <cell r="M1780" t="str">
            <v>UFFICIO ACQUISTI</v>
          </cell>
          <cell r="R1780" t="str">
            <v>BONIFICO BANCARIO, ALLA DATA DELLA NOSTRA CONFERMA D'ORDINE</v>
          </cell>
          <cell r="X1780">
            <v>0.25</v>
          </cell>
          <cell r="Y1780">
            <v>-0.04</v>
          </cell>
          <cell r="AB1780">
            <v>0.25</v>
          </cell>
          <cell r="AC1780">
            <v>0.25</v>
          </cell>
          <cell r="AD1780">
            <v>0.25</v>
          </cell>
          <cell r="AE1780">
            <v>0.25</v>
          </cell>
          <cell r="AF1780">
            <v>0.25</v>
          </cell>
          <cell r="AG1780">
            <v>0.25</v>
          </cell>
          <cell r="AH1780">
            <v>0.25</v>
          </cell>
          <cell r="AI1780">
            <v>0.25</v>
          </cell>
          <cell r="AJ1780">
            <v>0.25</v>
          </cell>
          <cell r="AK1780">
            <v>0.25</v>
          </cell>
          <cell r="AL1780">
            <v>0.25</v>
          </cell>
          <cell r="AM1780">
            <v>0.25</v>
          </cell>
          <cell r="AN1780">
            <v>0.25</v>
          </cell>
          <cell r="AO1780">
            <v>0.25</v>
          </cell>
          <cell r="AP1780">
            <v>0.25</v>
          </cell>
          <cell r="AQ1780">
            <v>0.25</v>
          </cell>
          <cell r="AR1780">
            <v>0.25</v>
          </cell>
          <cell r="AS1780">
            <v>0.25</v>
          </cell>
          <cell r="AT1780">
            <v>-0.04</v>
          </cell>
          <cell r="AU1780">
            <v>0.92</v>
          </cell>
          <cell r="AV1780">
            <v>20</v>
          </cell>
          <cell r="AY1780" t="str">
            <v/>
          </cell>
          <cell r="AZ1780">
            <v>0.25</v>
          </cell>
          <cell r="BA1780">
            <v>0.25</v>
          </cell>
        </row>
        <row r="1781">
          <cell r="A1781" t="str">
            <v>NOSELLA GIANPAOLO</v>
          </cell>
          <cell r="C1781" t="str">
            <v>UD1</v>
          </cell>
          <cell r="D1781" t="str">
            <v>VIA UMBERTO SABA, 4/A</v>
          </cell>
          <cell r="E1781" t="str">
            <v>34073</v>
          </cell>
          <cell r="F1781" t="str">
            <v>GRADO</v>
          </cell>
          <cell r="G1781" t="str">
            <v>GO</v>
          </cell>
          <cell r="H1781" t="str">
            <v>ITALIA</v>
          </cell>
          <cell r="I1781" t="str">
            <v>NSLGPL64C25E125Q</v>
          </cell>
          <cell r="J1781" t="str">
            <v>02138060302</v>
          </cell>
          <cell r="K1781" t="str">
            <v>M5UXCR1</v>
          </cell>
          <cell r="L1781" t="str">
            <v>VIALE SAN FRANESCO, 51 - 34073 GRADO (GO)</v>
          </cell>
          <cell r="M1781" t="str">
            <v>UFFICIO ACQUISTI</v>
          </cell>
          <cell r="N1781" t="str">
            <v>0431 974019</v>
          </cell>
          <cell r="O1781" t="str">
            <v>348 6912799</v>
          </cell>
          <cell r="P1781" t="str">
            <v>NOSELLA1@HOTMAIL.COM</v>
          </cell>
          <cell r="Q1781" t="str">
            <v>avvisare prima della consegna cell. 348 6912799</v>
          </cell>
          <cell r="R1781" t="str">
            <v>BONIFICO BANCARIO, ALLA DATA DELLA NOSTRA CONFERMA D'ORDINE</v>
          </cell>
          <cell r="W1781" t="str">
            <v>ACQUA SALATA</v>
          </cell>
          <cell r="X1781">
            <v>0.25</v>
          </cell>
          <cell r="Y1781">
            <v>-0.04</v>
          </cell>
          <cell r="Z1781">
            <v>0.03</v>
          </cell>
          <cell r="AB1781">
            <v>0.25</v>
          </cell>
          <cell r="AC1781">
            <v>0.25</v>
          </cell>
          <cell r="AD1781">
            <v>0.25</v>
          </cell>
          <cell r="AE1781">
            <v>0.25</v>
          </cell>
          <cell r="AF1781">
            <v>0.25</v>
          </cell>
          <cell r="AG1781">
            <v>0.25</v>
          </cell>
          <cell r="AH1781">
            <v>0.25</v>
          </cell>
          <cell r="AI1781">
            <v>0.25</v>
          </cell>
          <cell r="AJ1781">
            <v>0.25</v>
          </cell>
          <cell r="AK1781">
            <v>0.25</v>
          </cell>
          <cell r="AL1781">
            <v>0.25</v>
          </cell>
          <cell r="AM1781">
            <v>0.25</v>
          </cell>
          <cell r="AN1781">
            <v>0.25</v>
          </cell>
          <cell r="AO1781">
            <v>0.25</v>
          </cell>
          <cell r="AP1781">
            <v>0.25</v>
          </cell>
          <cell r="AQ1781">
            <v>0.25</v>
          </cell>
          <cell r="AR1781">
            <v>0.25</v>
          </cell>
          <cell r="AS1781">
            <v>0.25</v>
          </cell>
          <cell r="AT1781">
            <v>-0.04</v>
          </cell>
          <cell r="AU1781">
            <v>0.87</v>
          </cell>
          <cell r="AV1781">
            <v>20</v>
          </cell>
          <cell r="AY1781" t="str">
            <v/>
          </cell>
          <cell r="AZ1781">
            <v>0.25</v>
          </cell>
          <cell r="BA1781">
            <v>0.25</v>
          </cell>
          <cell r="BF1781" t="str">
            <v>CLICK RAPID con carpenteria 06/12/2019</v>
          </cell>
        </row>
        <row r="1782">
          <cell r="A1782" t="str">
            <v>NOSKEMA VS SRL</v>
          </cell>
          <cell r="B1782" t="str">
            <v>FABRIZIO NARDONI</v>
          </cell>
          <cell r="D1782" t="str">
            <v>VIA ADIGE SNC</v>
          </cell>
          <cell r="E1782" t="str">
            <v>04100</v>
          </cell>
          <cell r="F1782" t="str">
            <v>LATINA</v>
          </cell>
          <cell r="G1782" t="str">
            <v>LT</v>
          </cell>
          <cell r="H1782" t="str">
            <v>ITALIA</v>
          </cell>
          <cell r="J1782" t="str">
            <v>02742290592</v>
          </cell>
          <cell r="M1782" t="str">
            <v>UFFICIO ACQUISTI</v>
          </cell>
          <cell r="N1782" t="str">
            <v>0773 1751586</v>
          </cell>
          <cell r="O1782" t="str">
            <v>393 8477468 FABRIZIO NARDONI</v>
          </cell>
          <cell r="P1782" t="str">
            <v>info@noskema.com</v>
          </cell>
          <cell r="R1782" t="str">
            <v>BONIFICO BANCARIO, ALLA DATA DELLA NOSTRA CONFERMA D'ORDINE</v>
          </cell>
          <cell r="X1782">
            <v>0.2</v>
          </cell>
          <cell r="Y1782">
            <v>-0.04</v>
          </cell>
          <cell r="AB1782">
            <v>0.2</v>
          </cell>
          <cell r="AC1782">
            <v>0.2</v>
          </cell>
          <cell r="AD1782">
            <v>0.2</v>
          </cell>
          <cell r="AE1782">
            <v>0.2</v>
          </cell>
          <cell r="AF1782">
            <v>0.2</v>
          </cell>
          <cell r="AG1782">
            <v>0.2</v>
          </cell>
          <cell r="AH1782">
            <v>0.2</v>
          </cell>
          <cell r="AI1782">
            <v>0.2</v>
          </cell>
          <cell r="AJ1782">
            <v>0.2</v>
          </cell>
          <cell r="AK1782">
            <v>0.2</v>
          </cell>
          <cell r="AL1782">
            <v>0.2</v>
          </cell>
          <cell r="AM1782">
            <v>0.2</v>
          </cell>
          <cell r="AN1782">
            <v>0.2</v>
          </cell>
          <cell r="AO1782">
            <v>0.2</v>
          </cell>
          <cell r="AP1782">
            <v>0.2</v>
          </cell>
          <cell r="AQ1782">
            <v>0.2</v>
          </cell>
          <cell r="AR1782">
            <v>0.2</v>
          </cell>
          <cell r="AS1782">
            <v>0.2</v>
          </cell>
          <cell r="AT1782">
            <v>-0.04</v>
          </cell>
          <cell r="AU1782">
            <v>0.92</v>
          </cell>
          <cell r="AV1782">
            <v>20</v>
          </cell>
          <cell r="AZ1782">
            <v>0.2</v>
          </cell>
          <cell r="BA1782">
            <v>0.2</v>
          </cell>
        </row>
        <row r="1783">
          <cell r="A1783" t="str">
            <v xml:space="preserve">NOVA EDIL </v>
          </cell>
          <cell r="D1783" t="str">
            <v>VIALE VERDI, 38 A</v>
          </cell>
          <cell r="E1783" t="str">
            <v>34074</v>
          </cell>
          <cell r="F1783" t="str">
            <v>MONFALCONE</v>
          </cell>
          <cell r="G1783" t="str">
            <v>GO</v>
          </cell>
          <cell r="H1783" t="str">
            <v>ITALIA</v>
          </cell>
          <cell r="J1783" t="str">
            <v>01096830318</v>
          </cell>
          <cell r="M1783" t="str">
            <v>UFFICIO ACQUISTI</v>
          </cell>
          <cell r="N1783" t="str">
            <v>0481 46380</v>
          </cell>
          <cell r="O1783" t="str">
            <v>329 6951040</v>
          </cell>
          <cell r="P1783" t="str">
            <v>novaedil@novaedil.eu</v>
          </cell>
          <cell r="R1783" t="str">
            <v>BONIFICO BANCARIO, ALLA DATA DELLA NOSTRA CONFERMA D'ORDINE</v>
          </cell>
          <cell r="X1783">
            <v>0</v>
          </cell>
          <cell r="Y1783">
            <v>-0.04</v>
          </cell>
          <cell r="AB1783">
            <v>0</v>
          </cell>
          <cell r="AC1783">
            <v>0</v>
          </cell>
          <cell r="AD1783">
            <v>0</v>
          </cell>
          <cell r="AE1783">
            <v>0</v>
          </cell>
          <cell r="AF1783">
            <v>0</v>
          </cell>
          <cell r="AG1783">
            <v>0</v>
          </cell>
          <cell r="AH1783">
            <v>0</v>
          </cell>
          <cell r="AI1783">
            <v>0</v>
          </cell>
          <cell r="AJ1783">
            <v>0</v>
          </cell>
          <cell r="AK1783">
            <v>0</v>
          </cell>
          <cell r="AL1783">
            <v>0</v>
          </cell>
          <cell r="AM1783">
            <v>0</v>
          </cell>
          <cell r="AN1783">
            <v>0</v>
          </cell>
          <cell r="AO1783">
            <v>0</v>
          </cell>
          <cell r="AP1783">
            <v>0</v>
          </cell>
          <cell r="AQ1783">
            <v>0</v>
          </cell>
          <cell r="AR1783">
            <v>0</v>
          </cell>
          <cell r="AS1783">
            <v>0</v>
          </cell>
          <cell r="AT1783">
            <v>-0.04</v>
          </cell>
          <cell r="AU1783">
            <v>0.92</v>
          </cell>
          <cell r="AV1783">
            <v>20</v>
          </cell>
          <cell r="AZ1783">
            <v>0</v>
          </cell>
          <cell r="BA1783">
            <v>0</v>
          </cell>
        </row>
        <row r="1784">
          <cell r="A1784" t="str">
            <v>NOVA SER DI MAFESSONI TIZIANO</v>
          </cell>
          <cell r="D1784" t="str">
            <v>VIA BORGO PALAZZO, 71/B</v>
          </cell>
          <cell r="E1784" t="str">
            <v>24125</v>
          </cell>
          <cell r="F1784" t="str">
            <v>BERGAMO</v>
          </cell>
          <cell r="G1784" t="str">
            <v>BG</v>
          </cell>
          <cell r="H1784" t="str">
            <v>ITALIA</v>
          </cell>
          <cell r="I1784" t="str">
            <v>MFSTZN64A31A246H</v>
          </cell>
          <cell r="J1784" t="str">
            <v>02778460168</v>
          </cell>
          <cell r="K1784" t="str">
            <v>M5UXCR1</v>
          </cell>
          <cell r="M1784" t="str">
            <v>UFFICIO ACQUISTI</v>
          </cell>
          <cell r="N1784" t="str">
            <v>035 246746</v>
          </cell>
          <cell r="O1784" t="str">
            <v>335 1362902 TIZIANO</v>
          </cell>
          <cell r="P1784" t="str">
            <v>info@novaserbergamo.it</v>
          </cell>
          <cell r="R1784" t="str">
            <v>BONIFICO BANCARIO, ALLA DATA DELLA NOSTRA CONFERMA D'ORDINE</v>
          </cell>
          <cell r="X1784">
            <v>0.25</v>
          </cell>
          <cell r="Y1784">
            <v>-0.04</v>
          </cell>
          <cell r="AB1784">
            <v>0.25</v>
          </cell>
          <cell r="AC1784">
            <v>0.25</v>
          </cell>
          <cell r="AD1784">
            <v>0.25</v>
          </cell>
          <cell r="AE1784">
            <v>0.25</v>
          </cell>
          <cell r="AF1784">
            <v>0.25</v>
          </cell>
          <cell r="AG1784">
            <v>0.25</v>
          </cell>
          <cell r="AH1784">
            <v>0.25</v>
          </cell>
          <cell r="AI1784">
            <v>0.25</v>
          </cell>
          <cell r="AJ1784">
            <v>0.25</v>
          </cell>
          <cell r="AK1784">
            <v>0.25</v>
          </cell>
          <cell r="AL1784">
            <v>0.25</v>
          </cell>
          <cell r="AM1784">
            <v>0.25</v>
          </cell>
          <cell r="AN1784">
            <v>0.25</v>
          </cell>
          <cell r="AO1784">
            <v>0.25</v>
          </cell>
          <cell r="AP1784">
            <v>0.25</v>
          </cell>
          <cell r="AQ1784">
            <v>0.25</v>
          </cell>
          <cell r="AR1784">
            <v>0.25</v>
          </cell>
          <cell r="AS1784">
            <v>0.25</v>
          </cell>
          <cell r="AT1784">
            <v>-0.04</v>
          </cell>
          <cell r="AU1784">
            <v>0.92</v>
          </cell>
          <cell r="AV1784">
            <v>20</v>
          </cell>
          <cell r="AZ1784">
            <v>0.25</v>
          </cell>
          <cell r="BA1784">
            <v>0.25</v>
          </cell>
        </row>
        <row r="1785">
          <cell r="A1785" t="str">
            <v>NOVASER</v>
          </cell>
          <cell r="D1785" t="str">
            <v>VIA BORGO PALAZZO, 71 B</v>
          </cell>
          <cell r="E1785" t="str">
            <v>24125</v>
          </cell>
          <cell r="F1785" t="str">
            <v>BERGAMO</v>
          </cell>
          <cell r="G1785" t="str">
            <v>BG</v>
          </cell>
          <cell r="H1785" t="str">
            <v>ITALIA</v>
          </cell>
          <cell r="J1785" t="str">
            <v>02778460168</v>
          </cell>
          <cell r="K1785" t="str">
            <v>MCUXCR1</v>
          </cell>
          <cell r="M1785" t="str">
            <v>UFFICIO ACQUISTI</v>
          </cell>
          <cell r="N1785" t="str">
            <v>035 246746</v>
          </cell>
          <cell r="O1785" t="str">
            <v>335 1362902 TIZIANO</v>
          </cell>
          <cell r="P1785" t="str">
            <v>amministrazione@novaserbergamo.it</v>
          </cell>
          <cell r="R1785" t="str">
            <v>BONIFICO BANCARIO, ALLA DATA DELLA NOSTRA CONFERMA D'ORDINE</v>
          </cell>
          <cell r="Y1785">
            <v>-0.04</v>
          </cell>
          <cell r="AT1785">
            <v>-0.04</v>
          </cell>
          <cell r="AV1785">
            <v>20</v>
          </cell>
          <cell r="AZ1785">
            <v>0</v>
          </cell>
          <cell r="BA1785">
            <v>0</v>
          </cell>
        </row>
        <row r="1786">
          <cell r="A1786" t="str">
            <v>NOVAZZI ED ESTE SRL</v>
          </cell>
          <cell r="D1786" t="str">
            <v>VIA ERMINIO CENTI, 24</v>
          </cell>
          <cell r="E1786" t="str">
            <v>46043</v>
          </cell>
          <cell r="F1786" t="str">
            <v>CASTIGLIONE DELLE STIVIERE</v>
          </cell>
          <cell r="G1786" t="str">
            <v>MN</v>
          </cell>
          <cell r="H1786" t="str">
            <v>ITALIA</v>
          </cell>
          <cell r="J1786" t="str">
            <v>01836760205</v>
          </cell>
          <cell r="M1786" t="str">
            <v>UFFICIO ACQUISTI</v>
          </cell>
          <cell r="N1786" t="str">
            <v>0376 638944</v>
          </cell>
          <cell r="R1786" t="str">
            <v>BONIFICO BANCARIO, ALLA DATA DELLA NOSTRA CONFERMA D'ORDINE</v>
          </cell>
          <cell r="Y1786">
            <v>-0.04</v>
          </cell>
          <cell r="AT1786">
            <v>-0.04</v>
          </cell>
          <cell r="AV1786">
            <v>20</v>
          </cell>
          <cell r="AZ1786">
            <v>0</v>
          </cell>
          <cell r="BA1786">
            <v>0</v>
          </cell>
        </row>
        <row r="1787">
          <cell r="A1787" t="str">
            <v>NOVELLI E C. SRL</v>
          </cell>
          <cell r="B1787" t="str">
            <v>FARES TONI 30/03/23 MANDATA MAIL</v>
          </cell>
          <cell r="D1787" t="str">
            <v xml:space="preserve">VIA DELL'ARTIGIANATO  </v>
          </cell>
          <cell r="E1787" t="str">
            <v>63076</v>
          </cell>
          <cell r="F1787" t="str">
            <v xml:space="preserve">CENTOBUCHI DI MONTEPRANDONE </v>
          </cell>
          <cell r="G1787" t="str">
            <v>AP</v>
          </cell>
          <cell r="H1787" t="str">
            <v>ITALIA</v>
          </cell>
          <cell r="J1787" t="str">
            <v>00395540446</v>
          </cell>
          <cell r="M1787" t="str">
            <v>UFFICIO ACQUISTI</v>
          </cell>
          <cell r="N1787" t="str">
            <v>0735 704500</v>
          </cell>
          <cell r="P1787" t="str">
            <v>info@serrandenovelli.it</v>
          </cell>
          <cell r="R1787" t="str">
            <v>BONIFICO BANCARIO, ALLA DATA DELLA NOSTRA CONFERMA D'ORDINE</v>
          </cell>
          <cell r="X1787">
            <v>0.25</v>
          </cell>
          <cell r="Y1787">
            <v>-0.04</v>
          </cell>
          <cell r="AB1787">
            <v>0.25</v>
          </cell>
          <cell r="AC1787">
            <v>0.25</v>
          </cell>
          <cell r="AD1787">
            <v>0.25</v>
          </cell>
          <cell r="AE1787">
            <v>0.25</v>
          </cell>
          <cell r="AF1787">
            <v>0.25</v>
          </cell>
          <cell r="AG1787">
            <v>0.25</v>
          </cell>
          <cell r="AH1787">
            <v>0.25</v>
          </cell>
          <cell r="AI1787">
            <v>0.25</v>
          </cell>
          <cell r="AJ1787">
            <v>0.25</v>
          </cell>
          <cell r="AK1787">
            <v>0.25</v>
          </cell>
          <cell r="AL1787">
            <v>0.25</v>
          </cell>
          <cell r="AM1787">
            <v>0.25</v>
          </cell>
          <cell r="AN1787">
            <v>0.25</v>
          </cell>
          <cell r="AO1787">
            <v>0.25</v>
          </cell>
          <cell r="AP1787">
            <v>0.25</v>
          </cell>
          <cell r="AQ1787">
            <v>0.25</v>
          </cell>
          <cell r="AR1787">
            <v>0.25</v>
          </cell>
          <cell r="AS1787">
            <v>0.25</v>
          </cell>
          <cell r="AT1787">
            <v>-0.04</v>
          </cell>
          <cell r="AU1787">
            <v>0.92</v>
          </cell>
          <cell r="AV1787">
            <v>20</v>
          </cell>
          <cell r="AY1787" t="str">
            <v/>
          </cell>
          <cell r="AZ1787">
            <v>0.25</v>
          </cell>
          <cell r="BA1787">
            <v>0.25</v>
          </cell>
        </row>
        <row r="1788">
          <cell r="A1788" t="str">
            <v>NOVITENDE SNC</v>
          </cell>
          <cell r="D1788" t="str">
            <v>VIA TOSCANINI, 5</v>
          </cell>
          <cell r="E1788">
            <v>15067</v>
          </cell>
          <cell r="F1788" t="str">
            <v>NOVI LIGURE</v>
          </cell>
          <cell r="G1788" t="str">
            <v>AL</v>
          </cell>
          <cell r="H1788" t="str">
            <v>ITALIA</v>
          </cell>
          <cell r="J1788" t="str">
            <v>01643340068</v>
          </cell>
          <cell r="K1788" t="str">
            <v>KRRH6B9</v>
          </cell>
          <cell r="M1788" t="str">
            <v>UFFICIO ACQUISTI</v>
          </cell>
          <cell r="N1788" t="str">
            <v>0143 71434</v>
          </cell>
          <cell r="P1788" t="str">
            <v>info@novitende.it</v>
          </cell>
          <cell r="R1788" t="str">
            <v>BONIFICO BANCARIO, ALLA DATA DELLA NOSTRA CONFERMA D'ORDINE</v>
          </cell>
          <cell r="X1788">
            <v>0.25</v>
          </cell>
          <cell r="Y1788">
            <v>-0.04</v>
          </cell>
          <cell r="AB1788">
            <v>0.25</v>
          </cell>
          <cell r="AC1788">
            <v>0.25</v>
          </cell>
          <cell r="AD1788">
            <v>0.25</v>
          </cell>
          <cell r="AE1788">
            <v>0.25</v>
          </cell>
          <cell r="AF1788">
            <v>0.25</v>
          </cell>
          <cell r="AG1788">
            <v>0.25</v>
          </cell>
          <cell r="AH1788">
            <v>0.25</v>
          </cell>
          <cell r="AI1788">
            <v>0.25</v>
          </cell>
          <cell r="AJ1788">
            <v>0.25</v>
          </cell>
          <cell r="AK1788">
            <v>0.25</v>
          </cell>
          <cell r="AL1788">
            <v>0.25</v>
          </cell>
          <cell r="AM1788">
            <v>0.25</v>
          </cell>
          <cell r="AN1788">
            <v>0.25</v>
          </cell>
          <cell r="AO1788">
            <v>0.25</v>
          </cell>
          <cell r="AP1788">
            <v>0.25</v>
          </cell>
          <cell r="AQ1788">
            <v>0.25</v>
          </cell>
          <cell r="AR1788">
            <v>0.25</v>
          </cell>
          <cell r="AS1788">
            <v>0.25</v>
          </cell>
          <cell r="AT1788">
            <v>-0.04</v>
          </cell>
          <cell r="AU1788">
            <v>0.92</v>
          </cell>
          <cell r="AV1788">
            <v>20</v>
          </cell>
          <cell r="AY1788" t="str">
            <v/>
          </cell>
          <cell r="AZ1788">
            <v>0.25</v>
          </cell>
          <cell r="BA1788">
            <v>0.25</v>
          </cell>
        </row>
        <row r="1789">
          <cell r="A1789" t="str">
            <v>NOVITENDE SNC.</v>
          </cell>
          <cell r="D1789" t="str">
            <v>VIA TOSCANINI, 5</v>
          </cell>
          <cell r="E1789" t="str">
            <v>15067</v>
          </cell>
          <cell r="F1789" t="str">
            <v>NOVI LIGURE</v>
          </cell>
          <cell r="G1789" t="str">
            <v>AL</v>
          </cell>
          <cell r="H1789" t="str">
            <v>ITALIA</v>
          </cell>
          <cell r="J1789" t="str">
            <v>01643340068</v>
          </cell>
          <cell r="M1789" t="str">
            <v>UFFICIO ACQUISTI</v>
          </cell>
          <cell r="N1789" t="str">
            <v>0143 71434</v>
          </cell>
          <cell r="P1789" t="str">
            <v>info@novitende.it</v>
          </cell>
          <cell r="R1789" t="str">
            <v>BONIFICO BANCARIO, ALLA DATA DELLA NOSTRA CONFERMA D'ORDINE</v>
          </cell>
          <cell r="X1789">
            <v>0.25</v>
          </cell>
          <cell r="Y1789">
            <v>-0.04</v>
          </cell>
          <cell r="AB1789">
            <v>0.25</v>
          </cell>
          <cell r="AC1789">
            <v>0.25</v>
          </cell>
          <cell r="AD1789">
            <v>0.25</v>
          </cell>
          <cell r="AE1789">
            <v>0.25</v>
          </cell>
          <cell r="AF1789">
            <v>0.25</v>
          </cell>
          <cell r="AG1789">
            <v>0.25</v>
          </cell>
          <cell r="AH1789">
            <v>0.25</v>
          </cell>
          <cell r="AI1789">
            <v>0.25</v>
          </cell>
          <cell r="AJ1789">
            <v>0.25</v>
          </cell>
          <cell r="AK1789">
            <v>0.25</v>
          </cell>
          <cell r="AL1789">
            <v>0.25</v>
          </cell>
          <cell r="AM1789">
            <v>0.25</v>
          </cell>
          <cell r="AN1789">
            <v>0.25</v>
          </cell>
          <cell r="AO1789">
            <v>0.25</v>
          </cell>
          <cell r="AP1789">
            <v>0.25</v>
          </cell>
          <cell r="AQ1789">
            <v>0.25</v>
          </cell>
          <cell r="AR1789">
            <v>0.25</v>
          </cell>
          <cell r="AS1789">
            <v>0.25</v>
          </cell>
          <cell r="AT1789">
            <v>-0.04</v>
          </cell>
          <cell r="AU1789">
            <v>0.92</v>
          </cell>
          <cell r="AV1789">
            <v>20</v>
          </cell>
          <cell r="AZ1789">
            <v>0.25</v>
          </cell>
          <cell r="BA1789">
            <v>0.25</v>
          </cell>
        </row>
        <row r="1790">
          <cell r="A1790" t="str">
            <v xml:space="preserve">NSD SRL </v>
          </cell>
          <cell r="B1790" t="str">
            <v>ORDINE CAMPIONE</v>
          </cell>
          <cell r="D1790" t="str">
            <v>VIA FLAVIA, 5</v>
          </cell>
          <cell r="E1790" t="str">
            <v>34148</v>
          </cell>
          <cell r="F1790" t="str">
            <v>TRIESTE</v>
          </cell>
          <cell r="G1790" t="str">
            <v>TS</v>
          </cell>
          <cell r="H1790" t="str">
            <v>ITALIA</v>
          </cell>
          <cell r="J1790" t="str">
            <v>01117300325</v>
          </cell>
          <cell r="K1790" t="str">
            <v>W7YVJK9</v>
          </cell>
          <cell r="L1790" t="str">
            <v>STRADA DELLE SALINE, 30 - 34015 MUGGIA (TS)</v>
          </cell>
          <cell r="M1790" t="str">
            <v>UFFICIO ACQUISTI</v>
          </cell>
          <cell r="N1790" t="str">
            <v>040 2456150</v>
          </cell>
          <cell r="O1790" t="str">
            <v>335 6600977</v>
          </cell>
          <cell r="P1790" t="str">
            <v>info@nsdsrl.it</v>
          </cell>
          <cell r="R1790" t="str">
            <v>BONIFICO BANCARIO, ALLA DATA DELLA NOSTRA CONFERMA D'ORDINE</v>
          </cell>
          <cell r="X1790">
            <v>0.25</v>
          </cell>
          <cell r="Y1790">
            <v>-0.04</v>
          </cell>
          <cell r="AB1790">
            <v>0.25</v>
          </cell>
          <cell r="AC1790">
            <v>0.25</v>
          </cell>
          <cell r="AD1790">
            <v>0.25</v>
          </cell>
          <cell r="AE1790">
            <v>0.25</v>
          </cell>
          <cell r="AF1790">
            <v>0.25</v>
          </cell>
          <cell r="AG1790">
            <v>0.25</v>
          </cell>
          <cell r="AH1790">
            <v>0.25</v>
          </cell>
          <cell r="AI1790">
            <v>0.25</v>
          </cell>
          <cell r="AJ1790">
            <v>0.25</v>
          </cell>
          <cell r="AK1790">
            <v>0.25</v>
          </cell>
          <cell r="AL1790">
            <v>0.25</v>
          </cell>
          <cell r="AM1790">
            <v>0.25</v>
          </cell>
          <cell r="AN1790">
            <v>0.25</v>
          </cell>
          <cell r="AO1790">
            <v>0.25</v>
          </cell>
          <cell r="AP1790">
            <v>0.25</v>
          </cell>
          <cell r="AQ1790">
            <v>0.25</v>
          </cell>
          <cell r="AR1790">
            <v>0.25</v>
          </cell>
          <cell r="AS1790">
            <v>0.25</v>
          </cell>
          <cell r="AT1790">
            <v>-0.04</v>
          </cell>
          <cell r="AU1790">
            <v>0.88</v>
          </cell>
          <cell r="AV1790">
            <v>20</v>
          </cell>
          <cell r="AY1790" t="str">
            <v/>
          </cell>
          <cell r="AZ1790">
            <v>0.25</v>
          </cell>
          <cell r="BA1790">
            <v>0.25</v>
          </cell>
          <cell r="BF1790" t="str">
            <v>CLICK RAPID con carpenteria 25/02/2020</v>
          </cell>
        </row>
        <row r="1791">
          <cell r="A1791" t="str">
            <v>NUOVA C.&amp; P.SERRAMENTI S.N.C.</v>
          </cell>
          <cell r="B1791" t="str">
            <v>COMPRA ACQUASTOP DA FERPOINT - 05/12/22 NUMERO INESISTENTE</v>
          </cell>
          <cell r="D1791" t="str">
            <v>VIA BARTOLONI, 84  86  88</v>
          </cell>
          <cell r="E1791">
            <v>50053</v>
          </cell>
          <cell r="F1791" t="str">
            <v>EMPOLI</v>
          </cell>
          <cell r="G1791" t="str">
            <v>FI</v>
          </cell>
          <cell r="H1791" t="str">
            <v>ITALIA</v>
          </cell>
          <cell r="I1791" t="str">
            <v>02259740484</v>
          </cell>
          <cell r="J1791" t="str">
            <v>02259740484</v>
          </cell>
          <cell r="M1791" t="str">
            <v>UFFICIO ACQUISTI</v>
          </cell>
          <cell r="N1791" t="str">
            <v>0571 924796</v>
          </cell>
          <cell r="P1791" t="str">
            <v>nuovacep@libero.it</v>
          </cell>
          <cell r="R1791" t="str">
            <v>BONIFICO BANCARIO, ALLA DATA DELLA NOSTRA CONFERMA D'ORDINE</v>
          </cell>
          <cell r="X1791">
            <v>0.25</v>
          </cell>
          <cell r="Y1791">
            <v>-0.04</v>
          </cell>
          <cell r="AB1791">
            <v>0.25</v>
          </cell>
          <cell r="AC1791">
            <v>0.25</v>
          </cell>
          <cell r="AD1791">
            <v>0.25</v>
          </cell>
          <cell r="AE1791">
            <v>0.25</v>
          </cell>
          <cell r="AF1791">
            <v>0.25</v>
          </cell>
          <cell r="AG1791">
            <v>0.25</v>
          </cell>
          <cell r="AH1791">
            <v>0.25</v>
          </cell>
          <cell r="AI1791">
            <v>0.25</v>
          </cell>
          <cell r="AJ1791">
            <v>0.25</v>
          </cell>
          <cell r="AK1791">
            <v>0.25</v>
          </cell>
          <cell r="AL1791">
            <v>0.25</v>
          </cell>
          <cell r="AM1791">
            <v>0.25</v>
          </cell>
          <cell r="AN1791">
            <v>0.25</v>
          </cell>
          <cell r="AO1791">
            <v>0.25</v>
          </cell>
          <cell r="AP1791">
            <v>0.25</v>
          </cell>
          <cell r="AQ1791">
            <v>0.25</v>
          </cell>
          <cell r="AR1791">
            <v>0.25</v>
          </cell>
          <cell r="AS1791">
            <v>0.25</v>
          </cell>
          <cell r="AT1791">
            <v>-0.04</v>
          </cell>
          <cell r="AU1791">
            <v>0.92</v>
          </cell>
          <cell r="AV1791">
            <v>20</v>
          </cell>
          <cell r="AY1791" t="str">
            <v/>
          </cell>
          <cell r="AZ1791">
            <v>0.25</v>
          </cell>
          <cell r="BA1791">
            <v>0.25</v>
          </cell>
        </row>
        <row r="1792">
          <cell r="A1792" t="str">
            <v>NUOVA CARPENTERIA ASFALDO</v>
          </cell>
          <cell r="D1792" t="str">
            <v>VIA PASSO CAMPOLONGO, 88</v>
          </cell>
          <cell r="E1792" t="str">
            <v>21013</v>
          </cell>
          <cell r="F1792" t="str">
            <v>GALLARATE</v>
          </cell>
          <cell r="G1792" t="str">
            <v>VA</v>
          </cell>
          <cell r="H1792" t="str">
            <v>ITALIA</v>
          </cell>
          <cell r="I1792" t="str">
            <v>SFLNTN71H13D869X</v>
          </cell>
          <cell r="J1792" t="str">
            <v>03335440123</v>
          </cell>
          <cell r="K1792" t="str">
            <v>M5UXCR1</v>
          </cell>
          <cell r="M1792" t="str">
            <v>UFFICIO ACQUISTI</v>
          </cell>
          <cell r="N1792" t="str">
            <v>0331 781301</v>
          </cell>
          <cell r="O1792" t="str">
            <v>348 4428850 ANTONIO ASFALDO</v>
          </cell>
          <cell r="P1792" t="str">
            <v>asfaldo@libero.it</v>
          </cell>
          <cell r="R1792" t="str">
            <v>BONIFICO BANCARIO, ALLA DATA DELLA NOSTRA CONFERMA D'ORDINE</v>
          </cell>
          <cell r="X1792">
            <v>0.25</v>
          </cell>
          <cell r="Y1792">
            <v>-0.04</v>
          </cell>
          <cell r="AB1792">
            <v>0.25</v>
          </cell>
          <cell r="AC1792">
            <v>0.25</v>
          </cell>
          <cell r="AD1792">
            <v>0.25</v>
          </cell>
          <cell r="AE1792">
            <v>0.25</v>
          </cell>
          <cell r="AF1792">
            <v>0.25</v>
          </cell>
          <cell r="AG1792">
            <v>0.25</v>
          </cell>
          <cell r="AH1792">
            <v>0.25</v>
          </cell>
          <cell r="AI1792">
            <v>0.25</v>
          </cell>
          <cell r="AJ1792">
            <v>0.25</v>
          </cell>
          <cell r="AK1792">
            <v>0.25</v>
          </cell>
          <cell r="AL1792">
            <v>0.25</v>
          </cell>
          <cell r="AM1792">
            <v>0.25</v>
          </cell>
          <cell r="AN1792">
            <v>0.25</v>
          </cell>
          <cell r="AO1792">
            <v>0.25</v>
          </cell>
          <cell r="AP1792">
            <v>0.25</v>
          </cell>
          <cell r="AQ1792">
            <v>0.25</v>
          </cell>
          <cell r="AR1792">
            <v>0.25</v>
          </cell>
          <cell r="AS1792">
            <v>0.25</v>
          </cell>
          <cell r="AT1792">
            <v>-0.04</v>
          </cell>
          <cell r="AU1792">
            <v>0.92</v>
          </cell>
          <cell r="AV1792">
            <v>20</v>
          </cell>
          <cell r="AY1792" t="str">
            <v/>
          </cell>
          <cell r="AZ1792">
            <v>0.25</v>
          </cell>
          <cell r="BA1792">
            <v>0.25</v>
          </cell>
          <cell r="BF1792" t="str">
            <v>CLICK RAPID con carpenteria 01/02/2021</v>
          </cell>
        </row>
        <row r="1793">
          <cell r="A1793" t="str">
            <v>NUOVA CB PORTE E SERRAMENTI</v>
          </cell>
          <cell r="D1793" t="str">
            <v>VIA GARIN, 3</v>
          </cell>
          <cell r="E1793" t="str">
            <v>11100</v>
          </cell>
          <cell r="F1793" t="str">
            <v>AOSTA</v>
          </cell>
          <cell r="G1793" t="str">
            <v>AO</v>
          </cell>
          <cell r="H1793" t="str">
            <v>ITALIA</v>
          </cell>
          <cell r="I1793" t="str">
            <v>CNNFNC63E14G791E</v>
          </cell>
          <cell r="J1793" t="str">
            <v>004418400741</v>
          </cell>
          <cell r="M1793" t="str">
            <v>UFFICIO ACQUISTI</v>
          </cell>
          <cell r="N1793" t="str">
            <v>0165 238687</v>
          </cell>
          <cell r="P1793" t="str">
            <v>cbporte@libero.it</v>
          </cell>
          <cell r="R1793" t="str">
            <v>BONIFICO BANCARIO, ALLA DATA DELLA NOSTRA CONFERMA D'ORDINE</v>
          </cell>
          <cell r="X1793">
            <v>0.25</v>
          </cell>
          <cell r="Y1793">
            <v>-0.04</v>
          </cell>
          <cell r="AB1793">
            <v>0.25</v>
          </cell>
          <cell r="AC1793">
            <v>0.25</v>
          </cell>
          <cell r="AD1793">
            <v>0.25</v>
          </cell>
          <cell r="AE1793">
            <v>0.25</v>
          </cell>
          <cell r="AF1793">
            <v>0.25</v>
          </cell>
          <cell r="AG1793">
            <v>0.25</v>
          </cell>
          <cell r="AH1793">
            <v>0.25</v>
          </cell>
          <cell r="AI1793">
            <v>0.25</v>
          </cell>
          <cell r="AJ1793">
            <v>0.25</v>
          </cell>
          <cell r="AK1793">
            <v>0.25</v>
          </cell>
          <cell r="AL1793">
            <v>0.25</v>
          </cell>
          <cell r="AM1793">
            <v>0.25</v>
          </cell>
          <cell r="AN1793">
            <v>0.25</v>
          </cell>
          <cell r="AO1793">
            <v>0.25</v>
          </cell>
          <cell r="AP1793">
            <v>0.25</v>
          </cell>
          <cell r="AQ1793">
            <v>0.25</v>
          </cell>
          <cell r="AR1793">
            <v>0.25</v>
          </cell>
          <cell r="AS1793">
            <v>0.25</v>
          </cell>
          <cell r="AT1793">
            <v>-0.04</v>
          </cell>
          <cell r="AU1793">
            <v>0.92</v>
          </cell>
          <cell r="AV1793">
            <v>20</v>
          </cell>
          <cell r="AZ1793">
            <v>0.25</v>
          </cell>
          <cell r="BA1793">
            <v>0.25</v>
          </cell>
        </row>
        <row r="1794">
          <cell r="A1794" t="str">
            <v>NUOVA CSC DI CAVAZZANA FRANCESCO E C. SNC</v>
          </cell>
          <cell r="D1794" t="str">
            <v>VIA ESTE, 65</v>
          </cell>
          <cell r="E1794">
            <v>35040</v>
          </cell>
          <cell r="F1794" t="str">
            <v>MASI</v>
          </cell>
          <cell r="G1794" t="str">
            <v>PD</v>
          </cell>
          <cell r="H1794" t="str">
            <v>ITALIA</v>
          </cell>
          <cell r="J1794" t="str">
            <v>04813050285</v>
          </cell>
          <cell r="K1794" t="str">
            <v>UNI0W8G</v>
          </cell>
          <cell r="M1794" t="str">
            <v>UFFICIO ACQUISTI</v>
          </cell>
          <cell r="N1794" t="str">
            <v>0425 51821</v>
          </cell>
          <cell r="P1794" t="str">
            <v>info@cscportegarage.it</v>
          </cell>
          <cell r="R1794" t="str">
            <v>BONIFICO BANCARIO, ALLA DATA DELLA NOSTRA CONFERMA D'ORDINE</v>
          </cell>
          <cell r="X1794">
            <v>0.25</v>
          </cell>
          <cell r="Y1794">
            <v>-0.04</v>
          </cell>
          <cell r="AB1794">
            <v>0.25</v>
          </cell>
          <cell r="AC1794">
            <v>0.25</v>
          </cell>
          <cell r="AD1794">
            <v>0.25</v>
          </cell>
          <cell r="AE1794">
            <v>0.25</v>
          </cell>
          <cell r="AF1794">
            <v>0.25</v>
          </cell>
          <cell r="AG1794">
            <v>0.25</v>
          </cell>
          <cell r="AH1794">
            <v>0.25</v>
          </cell>
          <cell r="AI1794">
            <v>0.25</v>
          </cell>
          <cell r="AJ1794">
            <v>0.25</v>
          </cell>
          <cell r="AK1794">
            <v>0.25</v>
          </cell>
          <cell r="AL1794">
            <v>0.25</v>
          </cell>
          <cell r="AM1794">
            <v>0.25</v>
          </cell>
          <cell r="AN1794">
            <v>0.25</v>
          </cell>
          <cell r="AO1794">
            <v>0.25</v>
          </cell>
          <cell r="AP1794">
            <v>0.25</v>
          </cell>
          <cell r="AQ1794">
            <v>0.25</v>
          </cell>
          <cell r="AR1794">
            <v>0.25</v>
          </cell>
          <cell r="AS1794">
            <v>0.25</v>
          </cell>
          <cell r="AT1794">
            <v>-0.04</v>
          </cell>
          <cell r="AU1794">
            <v>0.92</v>
          </cell>
          <cell r="AV1794">
            <v>20</v>
          </cell>
          <cell r="AY1794" t="str">
            <v/>
          </cell>
          <cell r="AZ1794">
            <v>0.25</v>
          </cell>
          <cell r="BA1794">
            <v>0.25</v>
          </cell>
        </row>
        <row r="1795">
          <cell r="A1795" t="str">
            <v>NUOVA CSC SNC</v>
          </cell>
          <cell r="D1795" t="str">
            <v>VIA ESTE 65</v>
          </cell>
          <cell r="E1795" t="str">
            <v>35040</v>
          </cell>
          <cell r="F1795" t="str">
            <v>MASI</v>
          </cell>
          <cell r="G1795" t="str">
            <v>PD</v>
          </cell>
          <cell r="H1795" t="str">
            <v>ITALIA</v>
          </cell>
          <cell r="J1795" t="str">
            <v>04813050285</v>
          </cell>
          <cell r="M1795" t="str">
            <v>UFFICIO ACQUISTI</v>
          </cell>
          <cell r="N1795" t="str">
            <v>0425 51821</v>
          </cell>
          <cell r="R1795" t="str">
            <v>BONIFICO BANCARIO, ALLA DATA DELLA NOSTRA CONFERMA D'ORDINE</v>
          </cell>
          <cell r="X1795">
            <v>0.25</v>
          </cell>
          <cell r="Y1795">
            <v>-0.04</v>
          </cell>
          <cell r="AB1795">
            <v>0.25</v>
          </cell>
          <cell r="AC1795">
            <v>0.25</v>
          </cell>
          <cell r="AD1795">
            <v>0.25</v>
          </cell>
          <cell r="AE1795">
            <v>0.25</v>
          </cell>
          <cell r="AF1795">
            <v>0.25</v>
          </cell>
          <cell r="AG1795">
            <v>0.25</v>
          </cell>
          <cell r="AH1795">
            <v>0.25</v>
          </cell>
          <cell r="AI1795">
            <v>0.25</v>
          </cell>
          <cell r="AJ1795">
            <v>0.25</v>
          </cell>
          <cell r="AK1795">
            <v>0.25</v>
          </cell>
          <cell r="AL1795">
            <v>0.25</v>
          </cell>
          <cell r="AM1795">
            <v>0.25</v>
          </cell>
          <cell r="AN1795">
            <v>0.25</v>
          </cell>
          <cell r="AO1795">
            <v>0.25</v>
          </cell>
          <cell r="AP1795">
            <v>0.25</v>
          </cell>
          <cell r="AQ1795">
            <v>0.25</v>
          </cell>
          <cell r="AR1795">
            <v>0.25</v>
          </cell>
          <cell r="AS1795">
            <v>0.25</v>
          </cell>
          <cell r="AT1795">
            <v>-0.04</v>
          </cell>
          <cell r="AU1795">
            <v>0.92</v>
          </cell>
          <cell r="AV1795">
            <v>20</v>
          </cell>
          <cell r="AY1795" t="str">
            <v/>
          </cell>
          <cell r="AZ1795">
            <v>0.25</v>
          </cell>
          <cell r="BA1795">
            <v>0.25</v>
          </cell>
        </row>
        <row r="1796">
          <cell r="A1796" t="str">
            <v>NUOVA ERA INFISSI DI BONFIGLIOLI STEFANO E C SNC</v>
          </cell>
          <cell r="D1796" t="str">
            <v>VIA ISAAC NEWTON 20</v>
          </cell>
          <cell r="E1796" t="str">
            <v>40017</v>
          </cell>
          <cell r="F1796" t="str">
            <v>SAN GIOVANNI IN PERSICETO</v>
          </cell>
          <cell r="G1796" t="str">
            <v>BO</v>
          </cell>
          <cell r="H1796" t="str">
            <v>ITALIA</v>
          </cell>
          <cell r="J1796" t="str">
            <v>02796571202</v>
          </cell>
          <cell r="M1796" t="str">
            <v>UFFICIO ACQUISTI</v>
          </cell>
          <cell r="N1796" t="str">
            <v>051 6810797</v>
          </cell>
          <cell r="O1796" t="str">
            <v>335 5423390</v>
          </cell>
          <cell r="P1796" t="str">
            <v>info@nuovaerainfissi.it</v>
          </cell>
          <cell r="R1796" t="str">
            <v>BONIFICO BANCARIO, ALLA DATA DELLA NOSTRA CONFERMA D'ORDINE</v>
          </cell>
          <cell r="X1796">
            <v>0.25</v>
          </cell>
          <cell r="Y1796">
            <v>-0.04</v>
          </cell>
          <cell r="AB1796">
            <v>0.25</v>
          </cell>
          <cell r="AC1796">
            <v>0.25</v>
          </cell>
          <cell r="AD1796">
            <v>0.25</v>
          </cell>
          <cell r="AE1796">
            <v>0.25</v>
          </cell>
          <cell r="AF1796">
            <v>0.25</v>
          </cell>
          <cell r="AG1796">
            <v>0.25</v>
          </cell>
          <cell r="AH1796">
            <v>0.25</v>
          </cell>
          <cell r="AI1796">
            <v>0.25</v>
          </cell>
          <cell r="AJ1796">
            <v>0.25</v>
          </cell>
          <cell r="AK1796">
            <v>0.25</v>
          </cell>
          <cell r="AL1796">
            <v>0.25</v>
          </cell>
          <cell r="AM1796">
            <v>0.25</v>
          </cell>
          <cell r="AN1796">
            <v>0.25</v>
          </cell>
          <cell r="AO1796">
            <v>0.25</v>
          </cell>
          <cell r="AP1796">
            <v>0.25</v>
          </cell>
          <cell r="AQ1796">
            <v>0.25</v>
          </cell>
          <cell r="AR1796">
            <v>0.25</v>
          </cell>
          <cell r="AS1796">
            <v>0.25</v>
          </cell>
          <cell r="AT1796">
            <v>-0.04</v>
          </cell>
          <cell r="AU1796">
            <v>0.92</v>
          </cell>
          <cell r="AV1796">
            <v>20</v>
          </cell>
          <cell r="AY1796" t="str">
            <v/>
          </cell>
          <cell r="AZ1796">
            <v>0.25</v>
          </cell>
          <cell r="BA1796">
            <v>0.25</v>
          </cell>
        </row>
        <row r="1797">
          <cell r="A1797" t="str">
            <v>NUOVA ERRE EFFE SRL</v>
          </cell>
          <cell r="D1797" t="str">
            <v>VIA S. ROCCO, 87 B2</v>
          </cell>
          <cell r="E1797">
            <v>16036</v>
          </cell>
          <cell r="F1797" t="str">
            <v>RECCO</v>
          </cell>
          <cell r="G1797" t="str">
            <v>GE</v>
          </cell>
          <cell r="H1797" t="str">
            <v>ITALIA</v>
          </cell>
          <cell r="J1797" t="str">
            <v>03619480100</v>
          </cell>
          <cell r="M1797" t="str">
            <v>UFFICIO ACQUISTI</v>
          </cell>
          <cell r="N1797" t="str">
            <v>0185 722681</v>
          </cell>
          <cell r="P1797" t="str">
            <v>info@nuovaerreeffe.com</v>
          </cell>
          <cell r="R1797" t="str">
            <v>BONIFICO BANCARIO, ALLA DATA DELLA NOSTRA CONFERMA D'ORDINE</v>
          </cell>
          <cell r="X1797">
            <v>0.25</v>
          </cell>
          <cell r="Y1797">
            <v>-0.04</v>
          </cell>
          <cell r="AB1797">
            <v>0.25</v>
          </cell>
          <cell r="AC1797">
            <v>0.25</v>
          </cell>
          <cell r="AD1797">
            <v>0.25</v>
          </cell>
          <cell r="AE1797">
            <v>0.25</v>
          </cell>
          <cell r="AF1797">
            <v>0.25</v>
          </cell>
          <cell r="AG1797">
            <v>0.25</v>
          </cell>
          <cell r="AH1797">
            <v>0.25</v>
          </cell>
          <cell r="AI1797">
            <v>0.25</v>
          </cell>
          <cell r="AJ1797">
            <v>0.25</v>
          </cell>
          <cell r="AK1797">
            <v>0.25</v>
          </cell>
          <cell r="AL1797">
            <v>0.25</v>
          </cell>
          <cell r="AM1797">
            <v>0.25</v>
          </cell>
          <cell r="AN1797">
            <v>0.25</v>
          </cell>
          <cell r="AO1797">
            <v>0.25</v>
          </cell>
          <cell r="AP1797">
            <v>0.25</v>
          </cell>
          <cell r="AQ1797">
            <v>0.25</v>
          </cell>
          <cell r="AR1797">
            <v>0.25</v>
          </cell>
          <cell r="AS1797">
            <v>0.25</v>
          </cell>
          <cell r="AT1797">
            <v>-0.04</v>
          </cell>
          <cell r="AU1797">
            <v>0.92</v>
          </cell>
          <cell r="AV1797">
            <v>20</v>
          </cell>
          <cell r="AY1797" t="str">
            <v/>
          </cell>
          <cell r="AZ1797">
            <v>0.25</v>
          </cell>
          <cell r="BA1797">
            <v>0.25</v>
          </cell>
        </row>
        <row r="1798">
          <cell r="A1798" t="str">
            <v>NUOVA FERRAL DI MURGIA VIRGILIO</v>
          </cell>
          <cell r="D1798" t="str">
            <v>ZONA IND.LE SANTU PERDU</v>
          </cell>
          <cell r="E1798" t="str">
            <v>08047</v>
          </cell>
          <cell r="F1798" t="str">
            <v>TERTENIA</v>
          </cell>
          <cell r="G1798" t="str">
            <v>NU</v>
          </cell>
          <cell r="H1798" t="str">
            <v>ITALIA</v>
          </cell>
          <cell r="J1798" t="str">
            <v>01554380913</v>
          </cell>
          <cell r="K1798" t="str">
            <v>SU9YNJA</v>
          </cell>
          <cell r="M1798" t="str">
            <v>UFFICIO ACQUISTI</v>
          </cell>
          <cell r="N1798" t="str">
            <v>0782 93272</v>
          </cell>
          <cell r="O1798" t="str">
            <v>347 9436900</v>
          </cell>
          <cell r="P1798" t="str">
            <v>nuovaferral@tiscali.it</v>
          </cell>
          <cell r="R1798" t="str">
            <v>BONIFICO BANCARIO, ALLA DATA DELLA NOSTRA CONFERMA D'ORDINE</v>
          </cell>
          <cell r="X1798">
            <v>0.2</v>
          </cell>
          <cell r="Y1798">
            <v>-0.04</v>
          </cell>
          <cell r="AB1798">
            <v>0.2</v>
          </cell>
          <cell r="AC1798">
            <v>0.2</v>
          </cell>
          <cell r="AD1798">
            <v>0.2</v>
          </cell>
          <cell r="AE1798">
            <v>0.2</v>
          </cell>
          <cell r="AF1798">
            <v>0.2</v>
          </cell>
          <cell r="AG1798">
            <v>0.2</v>
          </cell>
          <cell r="AH1798">
            <v>0.2</v>
          </cell>
          <cell r="AI1798">
            <v>0.2</v>
          </cell>
          <cell r="AJ1798">
            <v>0.2</v>
          </cell>
          <cell r="AK1798">
            <v>0.2</v>
          </cell>
          <cell r="AL1798">
            <v>0.2</v>
          </cell>
          <cell r="AM1798">
            <v>0.2</v>
          </cell>
          <cell r="AN1798">
            <v>0.2</v>
          </cell>
          <cell r="AO1798">
            <v>0.2</v>
          </cell>
          <cell r="AP1798">
            <v>0.2</v>
          </cell>
          <cell r="AQ1798">
            <v>0.2</v>
          </cell>
          <cell r="AR1798">
            <v>0.2</v>
          </cell>
          <cell r="AS1798">
            <v>0.2</v>
          </cell>
          <cell r="AT1798">
            <v>-0.04</v>
          </cell>
          <cell r="AU1798">
            <v>0.92</v>
          </cell>
          <cell r="AV1798">
            <v>20</v>
          </cell>
          <cell r="AZ1798">
            <v>0.2</v>
          </cell>
          <cell r="BA1798">
            <v>0.2</v>
          </cell>
        </row>
        <row r="1799">
          <cell r="A1799" t="str">
            <v>NUOVA FERRAMENTA SRL</v>
          </cell>
          <cell r="D1799" t="str">
            <v>VIA COSTA 57</v>
          </cell>
          <cell r="E1799" t="str">
            <v>60019</v>
          </cell>
          <cell r="F1799" t="str">
            <v>SENIGALLIA</v>
          </cell>
          <cell r="G1799" t="str">
            <v>AN</v>
          </cell>
          <cell r="H1799" t="str">
            <v>ITALIA</v>
          </cell>
          <cell r="J1799" t="str">
            <v>02628530426</v>
          </cell>
          <cell r="M1799" t="str">
            <v>UFFICIO ACQUISTI</v>
          </cell>
          <cell r="N1799" t="str">
            <v>071 7923520</v>
          </cell>
          <cell r="R1799" t="str">
            <v>BONIFICO BANCARIO, ALLA DATA DELLA NOSTRA CONFERMA D'ORDINE</v>
          </cell>
          <cell r="X1799">
            <v>0.25</v>
          </cell>
          <cell r="Y1799">
            <v>-0.04</v>
          </cell>
          <cell r="AB1799">
            <v>0.25</v>
          </cell>
          <cell r="AC1799">
            <v>0.25</v>
          </cell>
          <cell r="AD1799">
            <v>0.25</v>
          </cell>
          <cell r="AE1799">
            <v>0.25</v>
          </cell>
          <cell r="AF1799">
            <v>0.25</v>
          </cell>
          <cell r="AG1799">
            <v>0.25</v>
          </cell>
          <cell r="AH1799">
            <v>0.25</v>
          </cell>
          <cell r="AI1799">
            <v>0.25</v>
          </cell>
          <cell r="AJ1799">
            <v>0.25</v>
          </cell>
          <cell r="AK1799">
            <v>0.25</v>
          </cell>
          <cell r="AL1799">
            <v>0.25</v>
          </cell>
          <cell r="AM1799">
            <v>0.25</v>
          </cell>
          <cell r="AN1799">
            <v>0.25</v>
          </cell>
          <cell r="AO1799">
            <v>0.25</v>
          </cell>
          <cell r="AP1799">
            <v>0.25</v>
          </cell>
          <cell r="AQ1799">
            <v>0.25</v>
          </cell>
          <cell r="AR1799">
            <v>0.25</v>
          </cell>
          <cell r="AS1799">
            <v>0.25</v>
          </cell>
          <cell r="AT1799">
            <v>-0.04</v>
          </cell>
          <cell r="AU1799">
            <v>0.92</v>
          </cell>
          <cell r="AV1799">
            <v>20</v>
          </cell>
          <cell r="AY1799" t="str">
            <v/>
          </cell>
          <cell r="AZ1799">
            <v>0.25</v>
          </cell>
          <cell r="BA1799">
            <v>0.25</v>
          </cell>
        </row>
        <row r="1800">
          <cell r="A1800" t="str">
            <v>NUOVA GAGGERO INFISSI</v>
          </cell>
          <cell r="D1800" t="str">
            <v>VIA CARDUCCI, 45</v>
          </cell>
          <cell r="E1800">
            <v>17031</v>
          </cell>
          <cell r="F1800" t="str">
            <v>LECA D'ALBENGA</v>
          </cell>
          <cell r="G1800" t="str">
            <v>SV</v>
          </cell>
          <cell r="H1800" t="str">
            <v>ITALIA</v>
          </cell>
          <cell r="M1800" t="str">
            <v>UFFICIO ACQUISTI</v>
          </cell>
          <cell r="N1800" t="str">
            <v>0182 20792</v>
          </cell>
          <cell r="O1800" t="str">
            <v>335 6477653 - 335 6438956</v>
          </cell>
          <cell r="P1800" t="str">
            <v>nuovagaggeroinfissi@gmail.com</v>
          </cell>
          <cell r="R1800" t="str">
            <v>BONIFICO BANCARIO, ALLA DATA DELLA NOSTRA CONFERMA D'ORDINE</v>
          </cell>
          <cell r="X1800">
            <v>0.25</v>
          </cell>
          <cell r="Y1800">
            <v>-0.04</v>
          </cell>
          <cell r="AB1800">
            <v>0.25</v>
          </cell>
          <cell r="AC1800">
            <v>0.25</v>
          </cell>
          <cell r="AD1800">
            <v>0.25</v>
          </cell>
          <cell r="AE1800">
            <v>0.25</v>
          </cell>
          <cell r="AF1800">
            <v>0.25</v>
          </cell>
          <cell r="AG1800">
            <v>0.25</v>
          </cell>
          <cell r="AH1800">
            <v>0.25</v>
          </cell>
          <cell r="AI1800">
            <v>0.25</v>
          </cell>
          <cell r="AJ1800">
            <v>0.25</v>
          </cell>
          <cell r="AK1800">
            <v>0.25</v>
          </cell>
          <cell r="AL1800">
            <v>0.25</v>
          </cell>
          <cell r="AM1800">
            <v>0.25</v>
          </cell>
          <cell r="AN1800">
            <v>0.25</v>
          </cell>
          <cell r="AO1800">
            <v>0.25</v>
          </cell>
          <cell r="AP1800">
            <v>0.25</v>
          </cell>
          <cell r="AQ1800">
            <v>0.25</v>
          </cell>
          <cell r="AR1800">
            <v>0.25</v>
          </cell>
          <cell r="AS1800">
            <v>0.25</v>
          </cell>
          <cell r="AT1800">
            <v>-0.04</v>
          </cell>
          <cell r="AU1800">
            <v>0.92</v>
          </cell>
          <cell r="AV1800">
            <v>20</v>
          </cell>
          <cell r="AY1800" t="str">
            <v/>
          </cell>
          <cell r="AZ1800">
            <v>0.25</v>
          </cell>
          <cell r="BA1800">
            <v>0.25</v>
          </cell>
        </row>
        <row r="1801">
          <cell r="A1801" t="str">
            <v>NUOVA INFISSI DI ALESSANDRO MURTAS</v>
          </cell>
          <cell r="B1801" t="str">
            <v>SOLO BIGLIETTO DA VISITA       DALLE 9</v>
          </cell>
          <cell r="D1801" t="str">
            <v>VIA CORTOGHIANA, 42/42(ANG.VIA LA NURRA)</v>
          </cell>
          <cell r="E1801" t="str">
            <v>09122</v>
          </cell>
          <cell r="F1801" t="str">
            <v>CAGLIARI</v>
          </cell>
          <cell r="G1801" t="str">
            <v>CA</v>
          </cell>
          <cell r="H1801" t="str">
            <v>ITALIA</v>
          </cell>
          <cell r="L1801" t="str">
            <v>LAB. VIA ARGENTIERA, 8/10 - CAGLIARI</v>
          </cell>
          <cell r="M1801" t="str">
            <v>UFFICIO ACQUISTI</v>
          </cell>
          <cell r="N1801" t="str">
            <v>070 282356</v>
          </cell>
          <cell r="O1801" t="str">
            <v>338 6286287</v>
          </cell>
          <cell r="P1801" t="str">
            <v>nuovainfissi@virgilio.it</v>
          </cell>
          <cell r="R1801" t="str">
            <v>BONIFICO BANCARIO, ALLA DATA DELLA NOSTRA CONFERMA D'ORDINE</v>
          </cell>
          <cell r="X1801">
            <v>0.25</v>
          </cell>
          <cell r="Y1801">
            <v>-0.04</v>
          </cell>
          <cell r="AB1801">
            <v>0.25</v>
          </cell>
          <cell r="AC1801">
            <v>0.25</v>
          </cell>
          <cell r="AD1801">
            <v>0.25</v>
          </cell>
          <cell r="AE1801">
            <v>0.25</v>
          </cell>
          <cell r="AF1801">
            <v>0.25</v>
          </cell>
          <cell r="AG1801">
            <v>0.25</v>
          </cell>
          <cell r="AH1801">
            <v>0.25</v>
          </cell>
          <cell r="AI1801">
            <v>0.25</v>
          </cell>
          <cell r="AJ1801">
            <v>0.25</v>
          </cell>
          <cell r="AK1801">
            <v>0.25</v>
          </cell>
          <cell r="AL1801">
            <v>0.25</v>
          </cell>
          <cell r="AM1801">
            <v>0.25</v>
          </cell>
          <cell r="AN1801">
            <v>0.25</v>
          </cell>
          <cell r="AO1801">
            <v>0.25</v>
          </cell>
          <cell r="AP1801">
            <v>0.25</v>
          </cell>
          <cell r="AQ1801">
            <v>0.25</v>
          </cell>
          <cell r="AR1801">
            <v>0.25</v>
          </cell>
          <cell r="AS1801">
            <v>0.25</v>
          </cell>
          <cell r="AT1801">
            <v>-0.04</v>
          </cell>
          <cell r="AU1801">
            <v>0.92</v>
          </cell>
          <cell r="AV1801">
            <v>20</v>
          </cell>
          <cell r="AZ1801">
            <v>0.25</v>
          </cell>
          <cell r="BA1801">
            <v>0.25</v>
          </cell>
        </row>
        <row r="1802">
          <cell r="A1802" t="str">
            <v>NUOVA INFISSI DI CARDELLICCHIO MASSIMO</v>
          </cell>
          <cell r="D1802" t="str">
            <v>VIA PIO XII, 134</v>
          </cell>
          <cell r="E1802">
            <v>74121</v>
          </cell>
          <cell r="F1802" t="str">
            <v>TARANTO</v>
          </cell>
          <cell r="G1802" t="str">
            <v>TA</v>
          </cell>
          <cell r="H1802" t="str">
            <v>ITALIA</v>
          </cell>
          <cell r="M1802" t="str">
            <v>UFFICIO ACQUISTI</v>
          </cell>
          <cell r="N1802" t="str">
            <v>099 6526275</v>
          </cell>
          <cell r="O1802" t="str">
            <v>339 8350413</v>
          </cell>
          <cell r="P1802" t="str">
            <v>nuovainfissitaranto@libero.it</v>
          </cell>
          <cell r="R1802" t="str">
            <v>BONIFICO BANCARIO, ALLA DATA DELLA NOSTRA CONFERMA D'ORDINE</v>
          </cell>
          <cell r="X1802">
            <v>0.25</v>
          </cell>
          <cell r="Y1802">
            <v>-0.04</v>
          </cell>
          <cell r="AB1802">
            <v>0.25</v>
          </cell>
          <cell r="AC1802">
            <v>0.25</v>
          </cell>
          <cell r="AD1802">
            <v>0.25</v>
          </cell>
          <cell r="AE1802">
            <v>0.25</v>
          </cell>
          <cell r="AF1802">
            <v>0.25</v>
          </cell>
          <cell r="AG1802">
            <v>0.25</v>
          </cell>
          <cell r="AH1802">
            <v>0.25</v>
          </cell>
          <cell r="AI1802">
            <v>0.25</v>
          </cell>
          <cell r="AJ1802">
            <v>0.25</v>
          </cell>
          <cell r="AK1802">
            <v>0.25</v>
          </cell>
          <cell r="AL1802">
            <v>0.25</v>
          </cell>
          <cell r="AM1802">
            <v>0.25</v>
          </cell>
          <cell r="AN1802">
            <v>0.25</v>
          </cell>
          <cell r="AO1802">
            <v>0.25</v>
          </cell>
          <cell r="AP1802">
            <v>0.25</v>
          </cell>
          <cell r="AQ1802">
            <v>0.25</v>
          </cell>
          <cell r="AR1802">
            <v>0.25</v>
          </cell>
          <cell r="AS1802">
            <v>0.25</v>
          </cell>
          <cell r="AT1802">
            <v>-0.04</v>
          </cell>
          <cell r="AU1802">
            <v>0.92</v>
          </cell>
          <cell r="AV1802">
            <v>20</v>
          </cell>
          <cell r="AY1802" t="str">
            <v/>
          </cell>
          <cell r="AZ1802">
            <v>0.25</v>
          </cell>
          <cell r="BA1802">
            <v>0.25</v>
          </cell>
        </row>
        <row r="1803">
          <cell r="A1803" t="str">
            <v>NUOVA METALMECCANICA BETTONI SRL</v>
          </cell>
          <cell r="D1803" t="str">
            <v>VIA LIVORNO, 38R</v>
          </cell>
          <cell r="E1803">
            <v>16146</v>
          </cell>
          <cell r="F1803" t="str">
            <v>GENOVA</v>
          </cell>
          <cell r="G1803" t="str">
            <v>GE</v>
          </cell>
          <cell r="H1803" t="str">
            <v>ITALIA</v>
          </cell>
          <cell r="J1803" t="str">
            <v>01546110998</v>
          </cell>
          <cell r="M1803" t="str">
            <v>UFFICIO ACQUISTI</v>
          </cell>
          <cell r="N1803" t="str">
            <v>010 316731</v>
          </cell>
          <cell r="P1803" t="str">
            <v>serramentibettoni@yahoo.it</v>
          </cell>
          <cell r="R1803" t="str">
            <v>BONIFICO BANCARIO, ALLA DATA DELLA NOSTRA CONFERMA D'ORDINE</v>
          </cell>
          <cell r="X1803">
            <v>0.25</v>
          </cell>
          <cell r="Y1803">
            <v>-0.04</v>
          </cell>
          <cell r="AB1803">
            <v>0.25</v>
          </cell>
          <cell r="AC1803">
            <v>0.25</v>
          </cell>
          <cell r="AD1803">
            <v>0.25</v>
          </cell>
          <cell r="AE1803">
            <v>0.25</v>
          </cell>
          <cell r="AF1803">
            <v>0.25</v>
          </cell>
          <cell r="AG1803">
            <v>0.25</v>
          </cell>
          <cell r="AH1803">
            <v>0.25</v>
          </cell>
          <cell r="AI1803">
            <v>0.25</v>
          </cell>
          <cell r="AJ1803">
            <v>0.25</v>
          </cell>
          <cell r="AK1803">
            <v>0.25</v>
          </cell>
          <cell r="AL1803">
            <v>0.25</v>
          </cell>
          <cell r="AM1803">
            <v>0.25</v>
          </cell>
          <cell r="AN1803">
            <v>0.25</v>
          </cell>
          <cell r="AO1803">
            <v>0.25</v>
          </cell>
          <cell r="AP1803">
            <v>0.25</v>
          </cell>
          <cell r="AQ1803">
            <v>0.25</v>
          </cell>
          <cell r="AR1803">
            <v>0.25</v>
          </cell>
          <cell r="AS1803">
            <v>0.25</v>
          </cell>
          <cell r="AT1803">
            <v>-0.04</v>
          </cell>
          <cell r="AU1803">
            <v>0.92</v>
          </cell>
          <cell r="AV1803">
            <v>20</v>
          </cell>
          <cell r="AY1803" t="str">
            <v/>
          </cell>
          <cell r="AZ1803">
            <v>0.25</v>
          </cell>
          <cell r="BA1803">
            <v>0.25</v>
          </cell>
        </row>
        <row r="1804">
          <cell r="A1804" t="str">
            <v>NUOVA S.I.M.E. SRL</v>
          </cell>
          <cell r="B1804" t="str">
            <v>BIELLI ANTONIO RESP.TECNICO COMM.LE</v>
          </cell>
          <cell r="D1804" t="str">
            <v>VIA E.FERMI, 508 S.S.11 CASSANO/TREVIGLIO</v>
          </cell>
          <cell r="E1804" t="str">
            <v>24045</v>
          </cell>
          <cell r="F1804" t="str">
            <v>FARA G.D'ADDA</v>
          </cell>
          <cell r="G1804" t="str">
            <v>BG</v>
          </cell>
          <cell r="H1804" t="str">
            <v>ITALIA</v>
          </cell>
          <cell r="M1804" t="str">
            <v>UFFICIO ACQUISTI</v>
          </cell>
          <cell r="N1804" t="str">
            <v>0363 63388</v>
          </cell>
          <cell r="P1804" t="str">
            <v>info@nuovasime.it</v>
          </cell>
          <cell r="R1804" t="str">
            <v>BONIFICO BANCARIO, ALLA DATA DELLA NOSTRA CONFERMA D'ORDINE</v>
          </cell>
          <cell r="X1804">
            <v>0.2</v>
          </cell>
          <cell r="Y1804">
            <v>-0.04</v>
          </cell>
          <cell r="AB1804">
            <v>0.2</v>
          </cell>
          <cell r="AC1804">
            <v>0.2</v>
          </cell>
          <cell r="AD1804">
            <v>0.2</v>
          </cell>
          <cell r="AE1804">
            <v>0.2</v>
          </cell>
          <cell r="AF1804">
            <v>0.2</v>
          </cell>
          <cell r="AG1804">
            <v>0.2</v>
          </cell>
          <cell r="AH1804">
            <v>0.2</v>
          </cell>
          <cell r="AI1804">
            <v>0.2</v>
          </cell>
          <cell r="AJ1804">
            <v>0.2</v>
          </cell>
          <cell r="AK1804">
            <v>0.2</v>
          </cell>
          <cell r="AL1804">
            <v>0.2</v>
          </cell>
          <cell r="AM1804">
            <v>0.2</v>
          </cell>
          <cell r="AN1804">
            <v>0.2</v>
          </cell>
          <cell r="AO1804">
            <v>0.2</v>
          </cell>
          <cell r="AP1804">
            <v>0.2</v>
          </cell>
          <cell r="AQ1804">
            <v>0.2</v>
          </cell>
          <cell r="AR1804">
            <v>0.2</v>
          </cell>
          <cell r="AS1804">
            <v>0.2</v>
          </cell>
          <cell r="AT1804">
            <v>-0.04</v>
          </cell>
          <cell r="AU1804">
            <v>0.92</v>
          </cell>
          <cell r="AV1804">
            <v>20</v>
          </cell>
          <cell r="AZ1804">
            <v>0.2</v>
          </cell>
          <cell r="BA1804">
            <v>0.2</v>
          </cell>
        </row>
        <row r="1805">
          <cell r="A1805" t="str">
            <v>NUOVA SERRAMENTISTICA LIGURE</v>
          </cell>
          <cell r="B1805" t="str">
            <v>COMPRA DA GLM SERRANDE</v>
          </cell>
          <cell r="D1805" t="str">
            <v>VIA URSONE DA SESTRI, 44/R</v>
          </cell>
          <cell r="E1805" t="str">
            <v>16154</v>
          </cell>
          <cell r="F1805" t="str">
            <v>GENOVA</v>
          </cell>
          <cell r="G1805" t="str">
            <v>GE</v>
          </cell>
          <cell r="H1805" t="str">
            <v>ITALIA</v>
          </cell>
          <cell r="J1805" t="str">
            <v>10796100963</v>
          </cell>
          <cell r="M1805" t="str">
            <v>UFFICIO ACQUISTI</v>
          </cell>
          <cell r="N1805" t="str">
            <v>010 6532752</v>
          </cell>
          <cell r="O1805" t="str">
            <v>338 8156903</v>
          </cell>
          <cell r="P1805" t="str">
            <v>info@nuovaserramentisticaligure.it</v>
          </cell>
          <cell r="R1805" t="str">
            <v>BONIFICO BANCARIO, ALLA DATA DELLA NOSTRA CONFERMA D'ORDINE</v>
          </cell>
          <cell r="X1805">
            <v>0.2</v>
          </cell>
          <cell r="Y1805">
            <v>-0.04</v>
          </cell>
          <cell r="AB1805">
            <v>0.2</v>
          </cell>
          <cell r="AC1805">
            <v>0.2</v>
          </cell>
          <cell r="AD1805">
            <v>0.2</v>
          </cell>
          <cell r="AE1805">
            <v>0.2</v>
          </cell>
          <cell r="AF1805">
            <v>0.2</v>
          </cell>
          <cell r="AG1805">
            <v>0.2</v>
          </cell>
          <cell r="AH1805">
            <v>0.2</v>
          </cell>
          <cell r="AI1805">
            <v>0.2</v>
          </cell>
          <cell r="AJ1805">
            <v>0.2</v>
          </cell>
          <cell r="AK1805">
            <v>0.2</v>
          </cell>
          <cell r="AL1805">
            <v>0.2</v>
          </cell>
          <cell r="AM1805">
            <v>0.2</v>
          </cell>
          <cell r="AN1805">
            <v>0.2</v>
          </cell>
          <cell r="AO1805">
            <v>0.2</v>
          </cell>
          <cell r="AP1805">
            <v>0.2</v>
          </cell>
          <cell r="AQ1805">
            <v>0.2</v>
          </cell>
          <cell r="AR1805">
            <v>0.2</v>
          </cell>
          <cell r="AS1805">
            <v>0.2</v>
          </cell>
          <cell r="AT1805">
            <v>-0.04</v>
          </cell>
          <cell r="AU1805">
            <v>0.92</v>
          </cell>
          <cell r="AV1805">
            <v>20</v>
          </cell>
          <cell r="AZ1805">
            <v>0.2</v>
          </cell>
          <cell r="BA1805">
            <v>0.2</v>
          </cell>
        </row>
        <row r="1806">
          <cell r="A1806" t="str">
            <v xml:space="preserve">NUOVA STAFFOLANI </v>
          </cell>
          <cell r="B1806" t="str">
            <v>SIG. DOMENICO</v>
          </cell>
          <cell r="D1806" t="str">
            <v>VIA C. COLOMBO</v>
          </cell>
          <cell r="E1806">
            <v>62029</v>
          </cell>
          <cell r="F1806" t="str">
            <v>TOLENTINO</v>
          </cell>
          <cell r="G1806" t="str">
            <v>MC</v>
          </cell>
          <cell r="H1806" t="str">
            <v>ITALIA</v>
          </cell>
          <cell r="J1806" t="str">
            <v>01609700438</v>
          </cell>
          <cell r="M1806" t="str">
            <v>UFFICIO ACQUISTI</v>
          </cell>
          <cell r="O1806" t="str">
            <v>348 2494550   348 2494551</v>
          </cell>
          <cell r="P1806" t="str">
            <v>nuova.staffolani@gmail.com</v>
          </cell>
          <cell r="R1806" t="str">
            <v>BONIFICO BANCARIO, ALLA DATA DELLA NOSTRA CONFERMA D'ORDINE</v>
          </cell>
          <cell r="X1806">
            <v>0.25</v>
          </cell>
          <cell r="Y1806">
            <v>-0.04</v>
          </cell>
          <cell r="AB1806">
            <v>0.25</v>
          </cell>
          <cell r="AC1806">
            <v>0.25</v>
          </cell>
          <cell r="AD1806">
            <v>0.25</v>
          </cell>
          <cell r="AE1806">
            <v>0.25</v>
          </cell>
          <cell r="AF1806">
            <v>0.25</v>
          </cell>
          <cell r="AG1806">
            <v>0.25</v>
          </cell>
          <cell r="AH1806">
            <v>0.25</v>
          </cell>
          <cell r="AI1806">
            <v>0.25</v>
          </cell>
          <cell r="AJ1806">
            <v>0.25</v>
          </cell>
          <cell r="AK1806">
            <v>0.25</v>
          </cell>
          <cell r="AL1806">
            <v>0.25</v>
          </cell>
          <cell r="AM1806">
            <v>0.25</v>
          </cell>
          <cell r="AN1806">
            <v>0.25</v>
          </cell>
          <cell r="AO1806">
            <v>0.25</v>
          </cell>
          <cell r="AP1806">
            <v>0.25</v>
          </cell>
          <cell r="AQ1806">
            <v>0.25</v>
          </cell>
          <cell r="AR1806">
            <v>0.25</v>
          </cell>
          <cell r="AS1806">
            <v>0.25</v>
          </cell>
          <cell r="AT1806">
            <v>-0.04</v>
          </cell>
          <cell r="AU1806">
            <v>0.92</v>
          </cell>
          <cell r="AV1806">
            <v>20</v>
          </cell>
          <cell r="AZ1806">
            <v>0.25</v>
          </cell>
          <cell r="BA1806">
            <v>0.25</v>
          </cell>
        </row>
        <row r="1807">
          <cell r="A1807" t="str">
            <v>NUOVA VALENZANA SERRAMENTI</v>
          </cell>
          <cell r="D1807" t="str">
            <v>VIA DEI GLICINI 11</v>
          </cell>
          <cell r="E1807" t="str">
            <v>15033</v>
          </cell>
          <cell r="F1807" t="str">
            <v>CASALE MONFERRATO</v>
          </cell>
          <cell r="G1807" t="str">
            <v>AL</v>
          </cell>
          <cell r="H1807" t="str">
            <v>ITALIA</v>
          </cell>
          <cell r="M1807" t="str">
            <v>UFFICIO ACQUISTI</v>
          </cell>
          <cell r="N1807" t="str">
            <v>0142 74572</v>
          </cell>
          <cell r="P1807" t="str">
            <v>nvs.snc@libero.it</v>
          </cell>
          <cell r="R1807" t="str">
            <v>BONIFICO BANCARIO, ALLA DATA DELLA NOSTRA CONFERMA D'ORDINE</v>
          </cell>
          <cell r="X1807">
            <v>0.25</v>
          </cell>
          <cell r="Y1807">
            <v>-0.04</v>
          </cell>
          <cell r="AB1807">
            <v>0.25</v>
          </cell>
          <cell r="AC1807">
            <v>0.25</v>
          </cell>
          <cell r="AD1807">
            <v>0.25</v>
          </cell>
          <cell r="AE1807">
            <v>0.25</v>
          </cell>
          <cell r="AF1807">
            <v>0.25</v>
          </cell>
          <cell r="AG1807">
            <v>0.25</v>
          </cell>
          <cell r="AH1807">
            <v>0.25</v>
          </cell>
          <cell r="AI1807">
            <v>0.25</v>
          </cell>
          <cell r="AJ1807">
            <v>0.25</v>
          </cell>
          <cell r="AK1807">
            <v>0.25</v>
          </cell>
          <cell r="AL1807">
            <v>0.25</v>
          </cell>
          <cell r="AM1807">
            <v>0.25</v>
          </cell>
          <cell r="AN1807">
            <v>0.25</v>
          </cell>
          <cell r="AO1807">
            <v>0.25</v>
          </cell>
          <cell r="AP1807">
            <v>0.25</v>
          </cell>
          <cell r="AQ1807">
            <v>0.25</v>
          </cell>
          <cell r="AR1807">
            <v>0.25</v>
          </cell>
          <cell r="AS1807">
            <v>0.25</v>
          </cell>
          <cell r="AT1807">
            <v>-0.04</v>
          </cell>
          <cell r="AU1807">
            <v>0.92</v>
          </cell>
          <cell r="AV1807">
            <v>20</v>
          </cell>
          <cell r="AY1807" t="str">
            <v/>
          </cell>
          <cell r="AZ1807">
            <v>0.25</v>
          </cell>
          <cell r="BA1807">
            <v>0.25</v>
          </cell>
        </row>
        <row r="1808">
          <cell r="A1808" t="str">
            <v>NUOVO CENTRO PORTE E FINESTRE SRLS</v>
          </cell>
          <cell r="D1808" t="str">
            <v>VIA BOLZANETO, 6</v>
          </cell>
          <cell r="E1808" t="str">
            <v>16162</v>
          </cell>
          <cell r="F1808" t="str">
            <v>GENOVA</v>
          </cell>
          <cell r="G1808" t="str">
            <v>GE</v>
          </cell>
          <cell r="H1808" t="str">
            <v>ITALIA</v>
          </cell>
          <cell r="I1808" t="str">
            <v>02384110991</v>
          </cell>
          <cell r="J1808" t="str">
            <v>02384110991</v>
          </cell>
          <cell r="M1808" t="str">
            <v>UFFICIO ACQUISTI</v>
          </cell>
          <cell r="N1808" t="str">
            <v>010 4074128</v>
          </cell>
          <cell r="O1808" t="str">
            <v>345 7934754</v>
          </cell>
          <cell r="P1808" t="str">
            <v>nuovocentroporte@libero.it</v>
          </cell>
          <cell r="R1808" t="str">
            <v>BONIFICO BANCARIO, ALLA DATA DELLA NOSTRA CONFERMA D'ORDINE</v>
          </cell>
          <cell r="X1808">
            <v>0.2</v>
          </cell>
          <cell r="Y1808">
            <v>-0.04</v>
          </cell>
          <cell r="AB1808">
            <v>0.2</v>
          </cell>
          <cell r="AC1808">
            <v>0.2</v>
          </cell>
          <cell r="AD1808">
            <v>0.2</v>
          </cell>
          <cell r="AE1808">
            <v>0.2</v>
          </cell>
          <cell r="AF1808">
            <v>0.2</v>
          </cell>
          <cell r="AG1808">
            <v>0.2</v>
          </cell>
          <cell r="AH1808">
            <v>0.2</v>
          </cell>
          <cell r="AI1808">
            <v>0.2</v>
          </cell>
          <cell r="AJ1808">
            <v>0.2</v>
          </cell>
          <cell r="AK1808">
            <v>0.2</v>
          </cell>
          <cell r="AL1808">
            <v>0.2</v>
          </cell>
          <cell r="AM1808">
            <v>0.2</v>
          </cell>
          <cell r="AN1808">
            <v>0.2</v>
          </cell>
          <cell r="AO1808">
            <v>0.2</v>
          </cell>
          <cell r="AP1808">
            <v>0.2</v>
          </cell>
          <cell r="AQ1808">
            <v>0.2</v>
          </cell>
          <cell r="AR1808">
            <v>0.2</v>
          </cell>
          <cell r="AS1808">
            <v>0.2</v>
          </cell>
          <cell r="AT1808">
            <v>-0.04</v>
          </cell>
          <cell r="AU1808">
            <v>0.92</v>
          </cell>
          <cell r="AV1808">
            <v>20</v>
          </cell>
          <cell r="AZ1808">
            <v>0.2</v>
          </cell>
          <cell r="BA1808">
            <v>0.2</v>
          </cell>
        </row>
        <row r="1809">
          <cell r="A1809" t="str">
            <v>NUSCO</v>
          </cell>
          <cell r="D1809" t="str">
            <v>VIA NAZIONALE DELLE PUGLIE, 209</v>
          </cell>
          <cell r="E1809" t="str">
            <v>80038</v>
          </cell>
          <cell r="F1809" t="str">
            <v>POMIGLIANO D'ARCO</v>
          </cell>
          <cell r="G1809" t="str">
            <v>NA</v>
          </cell>
          <cell r="H1809" t="str">
            <v>ITALIA</v>
          </cell>
          <cell r="M1809" t="str">
            <v>UFFICIO ACQUISTI</v>
          </cell>
          <cell r="N1809" t="str">
            <v>081 2159843</v>
          </cell>
          <cell r="P1809" t="str">
            <v>nuscopomigliano@libero.it</v>
          </cell>
          <cell r="R1809" t="str">
            <v>BONIFICO BANCARIO, ALLA DATA DELLA NOSTRA CONFERMA D'ORDINE</v>
          </cell>
          <cell r="X1809">
            <v>0.25</v>
          </cell>
          <cell r="Y1809">
            <v>-0.04</v>
          </cell>
          <cell r="AB1809">
            <v>0.25</v>
          </cell>
          <cell r="AC1809">
            <v>0.25</v>
          </cell>
          <cell r="AD1809">
            <v>0.25</v>
          </cell>
          <cell r="AE1809">
            <v>0.25</v>
          </cell>
          <cell r="AF1809">
            <v>0.25</v>
          </cell>
          <cell r="AG1809">
            <v>0.25</v>
          </cell>
          <cell r="AH1809">
            <v>0.25</v>
          </cell>
          <cell r="AI1809">
            <v>0.25</v>
          </cell>
          <cell r="AJ1809">
            <v>0.25</v>
          </cell>
          <cell r="AK1809">
            <v>0.25</v>
          </cell>
          <cell r="AL1809">
            <v>0.25</v>
          </cell>
          <cell r="AM1809">
            <v>0.25</v>
          </cell>
          <cell r="AN1809">
            <v>0.25</v>
          </cell>
          <cell r="AO1809">
            <v>0.25</v>
          </cell>
          <cell r="AP1809">
            <v>0.25</v>
          </cell>
          <cell r="AQ1809">
            <v>0.25</v>
          </cell>
          <cell r="AR1809">
            <v>0.25</v>
          </cell>
          <cell r="AS1809">
            <v>0.25</v>
          </cell>
          <cell r="AT1809">
            <v>-0.04</v>
          </cell>
          <cell r="AU1809">
            <v>0.92</v>
          </cell>
          <cell r="AV1809">
            <v>20</v>
          </cell>
          <cell r="AY1809" t="str">
            <v/>
          </cell>
          <cell r="AZ1809">
            <v>0.25</v>
          </cell>
          <cell r="BA1809">
            <v>0.25</v>
          </cell>
        </row>
        <row r="1810">
          <cell r="A1810" t="str">
            <v>NUSSBAUMER BAUSTOFFE</v>
          </cell>
          <cell r="D1810" t="str">
            <v>MITTERWEG, 37</v>
          </cell>
          <cell r="E1810" t="str">
            <v>4812</v>
          </cell>
          <cell r="F1810" t="str">
            <v>PINSDORF</v>
          </cell>
          <cell r="H1810" t="str">
            <v>AUSTRIA</v>
          </cell>
          <cell r="J1810" t="str">
            <v>ATU48598101</v>
          </cell>
          <cell r="K1810" t="str">
            <v>XXXXXXX</v>
          </cell>
          <cell r="M1810" t="str">
            <v>UFFICIO ACQUISTI</v>
          </cell>
          <cell r="N1810" t="str">
            <v>+43 76126397312</v>
          </cell>
          <cell r="O1810" t="str">
            <v>+436767004940</v>
          </cell>
          <cell r="P1810" t="str">
            <v>e.nussbaumer@baustoffe-nussbaumer.at</v>
          </cell>
          <cell r="R1810" t="str">
            <v>BANKÜBERWEISUNG, AM DATUM UNSERER AUFTRAGSBESTÄTIGUNG</v>
          </cell>
          <cell r="AU1810">
            <v>0.84</v>
          </cell>
          <cell r="AV1810">
            <v>20</v>
          </cell>
          <cell r="AZ1810">
            <v>0</v>
          </cell>
          <cell r="BA1810">
            <v>0</v>
          </cell>
        </row>
        <row r="1811">
          <cell r="A1811" t="str">
            <v>O.M.A. DI MEUCCI &amp; C. SRL</v>
          </cell>
          <cell r="D1811" t="str">
            <v>VIA SETTEPONTI, 75  19</v>
          </cell>
          <cell r="E1811" t="str">
            <v>52100</v>
          </cell>
          <cell r="F1811" t="str">
            <v>AREZZO</v>
          </cell>
          <cell r="G1811" t="str">
            <v>AR</v>
          </cell>
          <cell r="H1811" t="str">
            <v>ITALIA</v>
          </cell>
          <cell r="I1811" t="str">
            <v>01417960513</v>
          </cell>
          <cell r="J1811" t="str">
            <v>01417960513</v>
          </cell>
          <cell r="M1811" t="str">
            <v>UFFICIO ACQUISTI</v>
          </cell>
          <cell r="N1811" t="str">
            <v>0575 382244</v>
          </cell>
          <cell r="P1811" t="str">
            <v>info@omasrl.com</v>
          </cell>
          <cell r="R1811" t="str">
            <v>BONIFICO BANCARIO, ALLA DATA DELLA NOSTRA CONFERMA D'ORDINE</v>
          </cell>
          <cell r="X1811">
            <v>0.25</v>
          </cell>
          <cell r="Y1811">
            <v>-0.04</v>
          </cell>
          <cell r="AB1811">
            <v>0.25</v>
          </cell>
          <cell r="AC1811">
            <v>0.25</v>
          </cell>
          <cell r="AD1811">
            <v>0.25</v>
          </cell>
          <cell r="AE1811">
            <v>0.25</v>
          </cell>
          <cell r="AF1811">
            <v>0.25</v>
          </cell>
          <cell r="AG1811">
            <v>0.25</v>
          </cell>
          <cell r="AH1811">
            <v>0.25</v>
          </cell>
          <cell r="AI1811">
            <v>0.25</v>
          </cell>
          <cell r="AJ1811">
            <v>0.25</v>
          </cell>
          <cell r="AK1811">
            <v>0.25</v>
          </cell>
          <cell r="AL1811">
            <v>0.25</v>
          </cell>
          <cell r="AM1811">
            <v>0.25</v>
          </cell>
          <cell r="AN1811">
            <v>0.25</v>
          </cell>
          <cell r="AO1811">
            <v>0.25</v>
          </cell>
          <cell r="AP1811">
            <v>0.25</v>
          </cell>
          <cell r="AQ1811">
            <v>0.25</v>
          </cell>
          <cell r="AR1811">
            <v>0.25</v>
          </cell>
          <cell r="AS1811">
            <v>0.25</v>
          </cell>
          <cell r="AT1811">
            <v>-0.04</v>
          </cell>
          <cell r="AU1811">
            <v>0.92</v>
          </cell>
          <cell r="AV1811">
            <v>20</v>
          </cell>
          <cell r="AY1811" t="str">
            <v/>
          </cell>
          <cell r="AZ1811">
            <v>0.25</v>
          </cell>
          <cell r="BA1811">
            <v>0.25</v>
          </cell>
        </row>
        <row r="1812">
          <cell r="A1812" t="str">
            <v xml:space="preserve">O.M.A.R. INFISSI </v>
          </cell>
          <cell r="D1812" t="str">
            <v>VIA PROV.LE LEVERANO    PORTO CESAREO</v>
          </cell>
          <cell r="E1812">
            <v>73045</v>
          </cell>
          <cell r="F1812" t="str">
            <v>LEVERANO</v>
          </cell>
          <cell r="G1812" t="str">
            <v>LE</v>
          </cell>
          <cell r="H1812" t="str">
            <v>ITALIA</v>
          </cell>
          <cell r="M1812" t="str">
            <v>UFFICIO ACQUISTI</v>
          </cell>
          <cell r="N1812" t="str">
            <v>0832 921151</v>
          </cell>
          <cell r="O1812" t="str">
            <v>Frisenda Gerardo 335 1251632</v>
          </cell>
          <cell r="P1812" t="str">
            <v>info@omarinfissi.it</v>
          </cell>
          <cell r="R1812" t="str">
            <v>BONIFICO BANCARIO, ALLA DATA DELLA NOSTRA CONFERMA D'ORDINE</v>
          </cell>
          <cell r="X1812">
            <v>0.25</v>
          </cell>
          <cell r="Y1812">
            <v>-0.04</v>
          </cell>
          <cell r="AB1812">
            <v>0.25</v>
          </cell>
          <cell r="AC1812">
            <v>0.25</v>
          </cell>
          <cell r="AD1812">
            <v>0.25</v>
          </cell>
          <cell r="AE1812">
            <v>0.25</v>
          </cell>
          <cell r="AF1812">
            <v>0.25</v>
          </cell>
          <cell r="AG1812">
            <v>0.25</v>
          </cell>
          <cell r="AH1812">
            <v>0.25</v>
          </cell>
          <cell r="AI1812">
            <v>0.25</v>
          </cell>
          <cell r="AJ1812">
            <v>0.25</v>
          </cell>
          <cell r="AK1812">
            <v>0.25</v>
          </cell>
          <cell r="AL1812">
            <v>0.25</v>
          </cell>
          <cell r="AM1812">
            <v>0.25</v>
          </cell>
          <cell r="AN1812">
            <v>0.25</v>
          </cell>
          <cell r="AO1812">
            <v>0.25</v>
          </cell>
          <cell r="AP1812">
            <v>0.25</v>
          </cell>
          <cell r="AQ1812">
            <v>0.25</v>
          </cell>
          <cell r="AR1812">
            <v>0.25</v>
          </cell>
          <cell r="AS1812">
            <v>0.25</v>
          </cell>
          <cell r="AT1812">
            <v>-0.04</v>
          </cell>
          <cell r="AU1812">
            <v>0.92</v>
          </cell>
          <cell r="AV1812">
            <v>20</v>
          </cell>
          <cell r="AY1812" t="str">
            <v/>
          </cell>
          <cell r="AZ1812">
            <v>0.25</v>
          </cell>
          <cell r="BA1812">
            <v>0.25</v>
          </cell>
        </row>
        <row r="1813">
          <cell r="A1813" t="str">
            <v>O.M.G. DI RABBIA ROBERTO &amp; GIOVANNI S.N.C.</v>
          </cell>
          <cell r="C1813" t="str">
            <v>AL2</v>
          </cell>
          <cell r="D1813" t="str">
            <v>VICO PORTINO 5</v>
          </cell>
          <cell r="E1813" t="str">
            <v>15066</v>
          </cell>
          <cell r="F1813" t="str">
            <v>GAVI</v>
          </cell>
          <cell r="G1813" t="str">
            <v>AL</v>
          </cell>
          <cell r="H1813" t="str">
            <v>ITALIA</v>
          </cell>
          <cell r="I1813" t="str">
            <v>00964120067</v>
          </cell>
          <cell r="J1813" t="str">
            <v>00964120067</v>
          </cell>
          <cell r="K1813" t="str">
            <v>M5UXCR1</v>
          </cell>
          <cell r="M1813" t="str">
            <v>UFFICIO ACQUISTI</v>
          </cell>
          <cell r="N1813" t="str">
            <v>0143 643296</v>
          </cell>
          <cell r="O1813" t="str">
            <v>348 8623506</v>
          </cell>
          <cell r="P1813" t="str">
            <v>ROBERTORABBIA@LIBERO.IT</v>
          </cell>
          <cell r="R1813" t="str">
            <v>BONIFICO BANCARIO, ALLA DATA DELLA NOSTRA CONFERMA D'ORDINE</v>
          </cell>
          <cell r="X1813">
            <v>0.25</v>
          </cell>
          <cell r="Y1813">
            <v>-0.04</v>
          </cell>
          <cell r="AB1813">
            <v>0.25</v>
          </cell>
          <cell r="AC1813">
            <v>0.25</v>
          </cell>
          <cell r="AD1813">
            <v>0.25</v>
          </cell>
          <cell r="AE1813">
            <v>0.25</v>
          </cell>
          <cell r="AF1813">
            <v>0.25</v>
          </cell>
          <cell r="AG1813">
            <v>0.25</v>
          </cell>
          <cell r="AH1813">
            <v>0.25</v>
          </cell>
          <cell r="AI1813">
            <v>0.25</v>
          </cell>
          <cell r="AJ1813">
            <v>0.25</v>
          </cell>
          <cell r="AK1813">
            <v>0.25</v>
          </cell>
          <cell r="AL1813">
            <v>0.25</v>
          </cell>
          <cell r="AM1813">
            <v>0.25</v>
          </cell>
          <cell r="AN1813">
            <v>0.25</v>
          </cell>
          <cell r="AO1813">
            <v>0.25</v>
          </cell>
          <cell r="AP1813">
            <v>0.25</v>
          </cell>
          <cell r="AQ1813">
            <v>0.25</v>
          </cell>
          <cell r="AR1813">
            <v>0.25</v>
          </cell>
          <cell r="AS1813">
            <v>0.25</v>
          </cell>
          <cell r="AT1813">
            <v>-0.04</v>
          </cell>
          <cell r="AU1813">
            <v>0.92</v>
          </cell>
          <cell r="AV1813">
            <v>20</v>
          </cell>
          <cell r="AY1813" t="str">
            <v/>
          </cell>
          <cell r="AZ1813">
            <v>0.25</v>
          </cell>
          <cell r="BA1813">
            <v>0.25</v>
          </cell>
        </row>
        <row r="1814">
          <cell r="A1814" t="str">
            <v>OAIM DI ROSSINI AUGUSTO E PATRIZIO SNC</v>
          </cell>
          <cell r="B1814" t="str">
            <v xml:space="preserve">INTERESSATO  </v>
          </cell>
          <cell r="D1814" t="str">
            <v>VIA DEL CASTELLANO 5</v>
          </cell>
          <cell r="E1814" t="str">
            <v>60129</v>
          </cell>
          <cell r="F1814" t="str">
            <v>ANCONA</v>
          </cell>
          <cell r="G1814" t="str">
            <v>AN</v>
          </cell>
          <cell r="H1814" t="str">
            <v>ITALIA</v>
          </cell>
          <cell r="J1814" t="str">
            <v>00392230421</v>
          </cell>
          <cell r="M1814" t="str">
            <v>UFFICIO ACQUISTI</v>
          </cell>
          <cell r="N1814" t="str">
            <v>071 894789</v>
          </cell>
          <cell r="O1814" t="str">
            <v>335 4264045 PATRIZIO ROSSINI</v>
          </cell>
          <cell r="P1814" t="str">
            <v>oaimsnc@interfree.it</v>
          </cell>
          <cell r="R1814" t="str">
            <v>BONIFICO BANCARIO, ALLA DATA DELLA NOSTRA CONFERMA D'ORDINE</v>
          </cell>
          <cell r="X1814">
            <v>0.25</v>
          </cell>
          <cell r="Y1814">
            <v>-0.04</v>
          </cell>
          <cell r="AB1814">
            <v>0.25</v>
          </cell>
          <cell r="AC1814">
            <v>0.25</v>
          </cell>
          <cell r="AD1814">
            <v>0.25</v>
          </cell>
          <cell r="AE1814">
            <v>0.25</v>
          </cell>
          <cell r="AF1814">
            <v>0.25</v>
          </cell>
          <cell r="AG1814">
            <v>0.25</v>
          </cell>
          <cell r="AH1814">
            <v>0.25</v>
          </cell>
          <cell r="AI1814">
            <v>0.25</v>
          </cell>
          <cell r="AJ1814">
            <v>0.25</v>
          </cell>
          <cell r="AK1814">
            <v>0.25</v>
          </cell>
          <cell r="AL1814">
            <v>0.25</v>
          </cell>
          <cell r="AM1814">
            <v>0.25</v>
          </cell>
          <cell r="AN1814">
            <v>0.25</v>
          </cell>
          <cell r="AO1814">
            <v>0.25</v>
          </cell>
          <cell r="AP1814">
            <v>0.25</v>
          </cell>
          <cell r="AQ1814">
            <v>0.25</v>
          </cell>
          <cell r="AR1814">
            <v>0.25</v>
          </cell>
          <cell r="AS1814">
            <v>0.25</v>
          </cell>
          <cell r="AT1814">
            <v>-0.04</v>
          </cell>
          <cell r="AU1814">
            <v>0.92</v>
          </cell>
          <cell r="AV1814">
            <v>20</v>
          </cell>
          <cell r="AY1814" t="str">
            <v/>
          </cell>
          <cell r="AZ1814">
            <v>0.25</v>
          </cell>
          <cell r="BA1814">
            <v>0.25</v>
          </cell>
        </row>
        <row r="1815">
          <cell r="A1815" t="str">
            <v>OCCIGANU MARTINO</v>
          </cell>
          <cell r="D1815" t="str">
            <v>VIA NAZIONALE, 13</v>
          </cell>
          <cell r="E1815" t="str">
            <v>07051</v>
          </cell>
          <cell r="F1815" t="str">
            <v>BUDONI</v>
          </cell>
          <cell r="G1815" t="str">
            <v>SS</v>
          </cell>
          <cell r="H1815" t="str">
            <v>ITALIA</v>
          </cell>
          <cell r="I1815" t="str">
            <v>CCGMTN51E27G929X</v>
          </cell>
          <cell r="J1815" t="str">
            <v>00217360916</v>
          </cell>
          <cell r="K1815" t="str">
            <v>.0000000</v>
          </cell>
          <cell r="M1815" t="str">
            <v>UFFICIO ACQUISTI</v>
          </cell>
          <cell r="N1815" t="str">
            <v>0784 844396</v>
          </cell>
          <cell r="O1815" t="str">
            <v>335 6358319</v>
          </cell>
          <cell r="P1815" t="str">
            <v>mocciganu@tiscali.it</v>
          </cell>
          <cell r="R1815" t="str">
            <v>BONIFICO BANCARIO, ALLA DATA DELLA NOSTRA CONFERMA D'ORDINE</v>
          </cell>
          <cell r="X1815">
            <v>0.2</v>
          </cell>
          <cell r="Y1815">
            <v>-0.04</v>
          </cell>
          <cell r="AB1815">
            <v>0.2</v>
          </cell>
          <cell r="AC1815">
            <v>0.2</v>
          </cell>
          <cell r="AD1815">
            <v>0.2</v>
          </cell>
          <cell r="AE1815">
            <v>0.2</v>
          </cell>
          <cell r="AF1815">
            <v>0.2</v>
          </cell>
          <cell r="AG1815">
            <v>0.2</v>
          </cell>
          <cell r="AH1815">
            <v>0.2</v>
          </cell>
          <cell r="AI1815">
            <v>0.2</v>
          </cell>
          <cell r="AJ1815">
            <v>0.2</v>
          </cell>
          <cell r="AK1815">
            <v>0.2</v>
          </cell>
          <cell r="AL1815">
            <v>0.2</v>
          </cell>
          <cell r="AM1815">
            <v>0.2</v>
          </cell>
          <cell r="AN1815">
            <v>0.2</v>
          </cell>
          <cell r="AO1815">
            <v>0.2</v>
          </cell>
          <cell r="AP1815">
            <v>0.2</v>
          </cell>
          <cell r="AQ1815">
            <v>0.2</v>
          </cell>
          <cell r="AR1815">
            <v>0.2</v>
          </cell>
          <cell r="AS1815">
            <v>0.2</v>
          </cell>
          <cell r="AT1815">
            <v>-0.04</v>
          </cell>
          <cell r="AU1815">
            <v>0.92</v>
          </cell>
          <cell r="AV1815">
            <v>20</v>
          </cell>
          <cell r="AZ1815">
            <v>0.2</v>
          </cell>
          <cell r="BA1815">
            <v>0.2</v>
          </cell>
        </row>
        <row r="1816">
          <cell r="A1816" t="str">
            <v xml:space="preserve">OCMA SAS DI ANDREATTI PAOLA E C. </v>
          </cell>
          <cell r="D1816" t="str">
            <v>STRADA MATRANA, 39</v>
          </cell>
          <cell r="E1816">
            <v>44020</v>
          </cell>
          <cell r="F1816" t="str">
            <v>MEDELANA DI OSTELLATO</v>
          </cell>
          <cell r="G1816" t="str">
            <v>FE</v>
          </cell>
          <cell r="H1816" t="str">
            <v>ITALIA</v>
          </cell>
          <cell r="J1816" t="str">
            <v>01905150387</v>
          </cell>
          <cell r="K1816" t="str">
            <v>J6URRTW</v>
          </cell>
          <cell r="M1816" t="str">
            <v>UFFICIO ACQUISTI</v>
          </cell>
          <cell r="N1816" t="str">
            <v>0533 650222</v>
          </cell>
          <cell r="O1816" t="str">
            <v>335 348823</v>
          </cell>
          <cell r="P1816" t="str">
            <v>ocma_basculanti@libero.it</v>
          </cell>
          <cell r="R1816" t="str">
            <v>BONIFICO BANCARIO, ALLA DATA DELLA NOSTRA CONFERMA D'ORDINE</v>
          </cell>
          <cell r="X1816">
            <v>0.25</v>
          </cell>
          <cell r="Y1816">
            <v>-0.04</v>
          </cell>
          <cell r="AB1816">
            <v>0.25</v>
          </cell>
          <cell r="AC1816">
            <v>0.25</v>
          </cell>
          <cell r="AD1816">
            <v>0.25</v>
          </cell>
          <cell r="AE1816">
            <v>0.25</v>
          </cell>
          <cell r="AF1816">
            <v>0.25</v>
          </cell>
          <cell r="AG1816">
            <v>0.25</v>
          </cell>
          <cell r="AH1816">
            <v>0.25</v>
          </cell>
          <cell r="AI1816">
            <v>0.25</v>
          </cell>
          <cell r="AJ1816">
            <v>0.25</v>
          </cell>
          <cell r="AK1816">
            <v>0.25</v>
          </cell>
          <cell r="AL1816">
            <v>0.25</v>
          </cell>
          <cell r="AM1816">
            <v>0.25</v>
          </cell>
          <cell r="AN1816">
            <v>0.25</v>
          </cell>
          <cell r="AO1816">
            <v>0.25</v>
          </cell>
          <cell r="AP1816">
            <v>0.25</v>
          </cell>
          <cell r="AQ1816">
            <v>0.25</v>
          </cell>
          <cell r="AR1816">
            <v>0.25</v>
          </cell>
          <cell r="AS1816">
            <v>0.25</v>
          </cell>
          <cell r="AT1816">
            <v>-0.04</v>
          </cell>
          <cell r="AU1816">
            <v>0.87</v>
          </cell>
          <cell r="AV1816">
            <v>20</v>
          </cell>
          <cell r="AY1816" t="str">
            <v/>
          </cell>
          <cell r="AZ1816">
            <v>0.25</v>
          </cell>
          <cell r="BA1816">
            <v>0.25</v>
          </cell>
          <cell r="BF1816" t="str">
            <v>CLICK RAPID con espositore 22/09/2022</v>
          </cell>
        </row>
        <row r="1817">
          <cell r="A1817" t="str">
            <v>OFFICINA ALDO CAMILLATO</v>
          </cell>
          <cell r="B1817" t="str">
            <v>CHIAMERA'</v>
          </cell>
          <cell r="D1817" t="str">
            <v>VIA XIX MAGGIO 1944, 36</v>
          </cell>
          <cell r="E1817" t="str">
            <v>33053</v>
          </cell>
          <cell r="F1817" t="str">
            <v>LATISANA</v>
          </cell>
          <cell r="G1817" t="str">
            <v>UD</v>
          </cell>
          <cell r="H1817" t="str">
            <v>ITALIA</v>
          </cell>
          <cell r="J1817" t="str">
            <v>02482560303</v>
          </cell>
          <cell r="M1817" t="str">
            <v>UFFICIO ACQUISTI</v>
          </cell>
          <cell r="N1817" t="str">
            <v>0431 50138</v>
          </cell>
          <cell r="O1817" t="str">
            <v>328 3929724</v>
          </cell>
          <cell r="P1817" t="str">
            <v>info@aldocamillato.it</v>
          </cell>
          <cell r="R1817" t="str">
            <v>BONIFICO BANCARIO, ALLA DATA DELLA NOSTRA CONFERMA D'ORDINE</v>
          </cell>
          <cell r="X1817">
            <v>0.25</v>
          </cell>
          <cell r="Y1817">
            <v>-0.04</v>
          </cell>
          <cell r="AB1817">
            <v>0.25</v>
          </cell>
          <cell r="AC1817">
            <v>0.25</v>
          </cell>
          <cell r="AD1817">
            <v>0.25</v>
          </cell>
          <cell r="AE1817">
            <v>0.25</v>
          </cell>
          <cell r="AF1817">
            <v>0.25</v>
          </cell>
          <cell r="AG1817">
            <v>0.25</v>
          </cell>
          <cell r="AH1817">
            <v>0.25</v>
          </cell>
          <cell r="AI1817">
            <v>0.25</v>
          </cell>
          <cell r="AJ1817">
            <v>0.25</v>
          </cell>
          <cell r="AK1817">
            <v>0.25</v>
          </cell>
          <cell r="AL1817">
            <v>0.25</v>
          </cell>
          <cell r="AM1817">
            <v>0.25</v>
          </cell>
          <cell r="AN1817">
            <v>0.25</v>
          </cell>
          <cell r="AO1817">
            <v>0.25</v>
          </cell>
          <cell r="AP1817">
            <v>0.25</v>
          </cell>
          <cell r="AQ1817">
            <v>0.25</v>
          </cell>
          <cell r="AR1817">
            <v>0.25</v>
          </cell>
          <cell r="AS1817">
            <v>0.25</v>
          </cell>
          <cell r="AT1817">
            <v>-0.04</v>
          </cell>
          <cell r="AU1817">
            <v>0.92</v>
          </cell>
          <cell r="AV1817">
            <v>20</v>
          </cell>
          <cell r="AY1817" t="str">
            <v/>
          </cell>
          <cell r="AZ1817">
            <v>0.25</v>
          </cell>
          <cell r="BA1817">
            <v>0.25</v>
          </cell>
        </row>
        <row r="1818">
          <cell r="A1818" t="str">
            <v>OFFICINA ARTIGIANA F.LLI PILUTTI M E M SNC</v>
          </cell>
          <cell r="D1818" t="str">
            <v>VIA CASTELLARIN, 8</v>
          </cell>
          <cell r="E1818" t="str">
            <v>33050</v>
          </cell>
          <cell r="F1818" t="str">
            <v>RONCHIS</v>
          </cell>
          <cell r="G1818" t="str">
            <v>UD</v>
          </cell>
          <cell r="H1818" t="str">
            <v>ITALIA</v>
          </cell>
          <cell r="J1818" t="str">
            <v>01785860303</v>
          </cell>
          <cell r="M1818" t="str">
            <v>UFFICIO ACQUISTI</v>
          </cell>
          <cell r="N1818" t="str">
            <v>0431 56151</v>
          </cell>
          <cell r="P1818" t="str">
            <v>off.pilutti@gmail.com</v>
          </cell>
          <cell r="R1818" t="str">
            <v>BONIFICO BANCARIO, ALLA DATA DELLA NOSTRA CONFERMA D'ORDINE</v>
          </cell>
          <cell r="X1818">
            <v>0.25</v>
          </cell>
          <cell r="Y1818">
            <v>-0.04</v>
          </cell>
          <cell r="AB1818">
            <v>0.25</v>
          </cell>
          <cell r="AC1818">
            <v>0.25</v>
          </cell>
          <cell r="AD1818">
            <v>0.25</v>
          </cell>
          <cell r="AE1818">
            <v>0.25</v>
          </cell>
          <cell r="AF1818">
            <v>0.25</v>
          </cell>
          <cell r="AG1818">
            <v>0.25</v>
          </cell>
          <cell r="AH1818">
            <v>0.25</v>
          </cell>
          <cell r="AI1818">
            <v>0.25</v>
          </cell>
          <cell r="AJ1818">
            <v>0.25</v>
          </cell>
          <cell r="AK1818">
            <v>0.25</v>
          </cell>
          <cell r="AL1818">
            <v>0.25</v>
          </cell>
          <cell r="AM1818">
            <v>0.25</v>
          </cell>
          <cell r="AN1818">
            <v>0.25</v>
          </cell>
          <cell r="AO1818">
            <v>0.25</v>
          </cell>
          <cell r="AP1818">
            <v>0.25</v>
          </cell>
          <cell r="AQ1818">
            <v>0.25</v>
          </cell>
          <cell r="AR1818">
            <v>0.25</v>
          </cell>
          <cell r="AS1818">
            <v>0.25</v>
          </cell>
          <cell r="AT1818">
            <v>-0.04</v>
          </cell>
          <cell r="AU1818">
            <v>0.92</v>
          </cell>
          <cell r="AV1818">
            <v>20</v>
          </cell>
          <cell r="AZ1818">
            <v>0.25</v>
          </cell>
          <cell r="BA1818">
            <v>0.25</v>
          </cell>
        </row>
        <row r="1819">
          <cell r="A1819" t="str">
            <v>OFFICINA COSTRUZIONI IN FERRO E ALLUMINIO TOSI ANTONIO DI TOSI RENZO</v>
          </cell>
          <cell r="D1819" t="str">
            <v>VIA MADONNINA 23</v>
          </cell>
          <cell r="E1819" t="str">
            <v>44033</v>
          </cell>
          <cell r="F1819" t="str">
            <v>RO RIVA DEL PO</v>
          </cell>
          <cell r="G1819" t="str">
            <v>FE</v>
          </cell>
          <cell r="H1819" t="str">
            <v>ITALIA</v>
          </cell>
          <cell r="J1819" t="str">
            <v>01708790389</v>
          </cell>
          <cell r="M1819" t="str">
            <v>UFFICIO ACQUISTI</v>
          </cell>
          <cell r="N1819" t="str">
            <v>0532 868165</v>
          </cell>
          <cell r="P1819" t="str">
            <v>tosi.infissi@libero.it</v>
          </cell>
          <cell r="R1819" t="str">
            <v>BONIFICO BANCARIO, ALLA DATA DELLA NOSTRA CONFERMA D'ORDINE</v>
          </cell>
          <cell r="X1819">
            <v>0.25</v>
          </cell>
          <cell r="Y1819">
            <v>-0.04</v>
          </cell>
          <cell r="AB1819">
            <v>0.25</v>
          </cell>
          <cell r="AC1819">
            <v>0.25</v>
          </cell>
          <cell r="AD1819">
            <v>0.25</v>
          </cell>
          <cell r="AE1819">
            <v>0.25</v>
          </cell>
          <cell r="AF1819">
            <v>0.25</v>
          </cell>
          <cell r="AG1819">
            <v>0.25</v>
          </cell>
          <cell r="AH1819">
            <v>0.25</v>
          </cell>
          <cell r="AI1819">
            <v>0.25</v>
          </cell>
          <cell r="AJ1819">
            <v>0.25</v>
          </cell>
          <cell r="AK1819">
            <v>0.25</v>
          </cell>
          <cell r="AL1819">
            <v>0.25</v>
          </cell>
          <cell r="AM1819">
            <v>0.25</v>
          </cell>
          <cell r="AN1819">
            <v>0.25</v>
          </cell>
          <cell r="AO1819">
            <v>0.25</v>
          </cell>
          <cell r="AP1819">
            <v>0.25</v>
          </cell>
          <cell r="AQ1819">
            <v>0.25</v>
          </cell>
          <cell r="AR1819">
            <v>0.25</v>
          </cell>
          <cell r="AS1819">
            <v>0.25</v>
          </cell>
          <cell r="AT1819">
            <v>-0.04</v>
          </cell>
          <cell r="AU1819">
            <v>0.92</v>
          </cell>
          <cell r="AV1819">
            <v>20</v>
          </cell>
          <cell r="AY1819" t="str">
            <v/>
          </cell>
          <cell r="AZ1819">
            <v>0.25</v>
          </cell>
          <cell r="BA1819">
            <v>0.25</v>
          </cell>
        </row>
        <row r="1820">
          <cell r="A1820" t="str">
            <v xml:space="preserve">OFFICINA COSTRUZIONI METALLICHE </v>
          </cell>
          <cell r="D1820" t="str">
            <v>VIA BISCEGLIE 100</v>
          </cell>
          <cell r="E1820" t="str">
            <v>70031</v>
          </cell>
          <cell r="F1820" t="str">
            <v>ANDRIA</v>
          </cell>
          <cell r="G1820" t="str">
            <v>BT</v>
          </cell>
          <cell r="H1820" t="str">
            <v>ITALIA</v>
          </cell>
          <cell r="J1820" t="str">
            <v>03534430727</v>
          </cell>
          <cell r="M1820" t="str">
            <v>UFFICIO ACQUISTI</v>
          </cell>
          <cell r="N1820" t="str">
            <v>0883 541539</v>
          </cell>
          <cell r="R1820" t="str">
            <v>BONIFICO BANCARIO, ALLA DATA DELLA NOSTRA CONFERMA D'ORDINE</v>
          </cell>
          <cell r="X1820">
            <v>0.25</v>
          </cell>
          <cell r="Y1820">
            <v>-0.04</v>
          </cell>
          <cell r="AB1820">
            <v>0.25</v>
          </cell>
          <cell r="AC1820">
            <v>0.25</v>
          </cell>
          <cell r="AD1820">
            <v>0.25</v>
          </cell>
          <cell r="AE1820">
            <v>0.25</v>
          </cell>
          <cell r="AF1820">
            <v>0.25</v>
          </cell>
          <cell r="AG1820">
            <v>0.25</v>
          </cell>
          <cell r="AH1820">
            <v>0.25</v>
          </cell>
          <cell r="AI1820">
            <v>0.25</v>
          </cell>
          <cell r="AJ1820">
            <v>0.25</v>
          </cell>
          <cell r="AK1820">
            <v>0.25</v>
          </cell>
          <cell r="AL1820">
            <v>0.25</v>
          </cell>
          <cell r="AM1820">
            <v>0.25</v>
          </cell>
          <cell r="AN1820">
            <v>0.25</v>
          </cell>
          <cell r="AO1820">
            <v>0.25</v>
          </cell>
          <cell r="AP1820">
            <v>0.25</v>
          </cell>
          <cell r="AQ1820">
            <v>0.25</v>
          </cell>
          <cell r="AR1820">
            <v>0.25</v>
          </cell>
          <cell r="AS1820">
            <v>0.25</v>
          </cell>
          <cell r="AT1820">
            <v>-0.04</v>
          </cell>
          <cell r="AU1820">
            <v>0.92</v>
          </cell>
          <cell r="AV1820">
            <v>20</v>
          </cell>
          <cell r="AY1820" t="str">
            <v/>
          </cell>
          <cell r="AZ1820">
            <v>0.25</v>
          </cell>
          <cell r="BA1820">
            <v>0.25</v>
          </cell>
        </row>
        <row r="1821">
          <cell r="A1821" t="str">
            <v>OFFICINA DEL FABBRO</v>
          </cell>
          <cell r="B1821" t="str">
            <v>FABBRO INTERESSATO</v>
          </cell>
          <cell r="D1821" t="str">
            <v>VIA ZARIATI, 24</v>
          </cell>
          <cell r="E1821" t="str">
            <v>41126</v>
          </cell>
          <cell r="F1821" t="str">
            <v>MODENA</v>
          </cell>
          <cell r="G1821" t="str">
            <v>MO</v>
          </cell>
          <cell r="H1821" t="str">
            <v>ITALIA</v>
          </cell>
          <cell r="I1821" t="str">
            <v>02588740353</v>
          </cell>
          <cell r="J1821" t="str">
            <v>02588740353</v>
          </cell>
          <cell r="M1821" t="str">
            <v>UFFICIO ACQUISTI</v>
          </cell>
          <cell r="O1821" t="str">
            <v>349 1402823</v>
          </cell>
          <cell r="P1821" t="str">
            <v>fabbrogiudice@gmail.com</v>
          </cell>
          <cell r="R1821" t="str">
            <v>BONIFICO BANCARIO, ALLA DATA DELLA NOSTRA CONFERMA D'ORDINE</v>
          </cell>
          <cell r="X1821">
            <v>0.2</v>
          </cell>
          <cell r="Y1821">
            <v>-0.04</v>
          </cell>
          <cell r="AB1821">
            <v>0.2</v>
          </cell>
          <cell r="AC1821">
            <v>0.2</v>
          </cell>
          <cell r="AD1821">
            <v>0.2</v>
          </cell>
          <cell r="AE1821">
            <v>0.2</v>
          </cell>
          <cell r="AF1821">
            <v>0.2</v>
          </cell>
          <cell r="AG1821">
            <v>0.2</v>
          </cell>
          <cell r="AH1821">
            <v>0.2</v>
          </cell>
          <cell r="AI1821">
            <v>0.2</v>
          </cell>
          <cell r="AJ1821">
            <v>0.2</v>
          </cell>
          <cell r="AK1821">
            <v>0.2</v>
          </cell>
          <cell r="AL1821">
            <v>0.2</v>
          </cell>
          <cell r="AM1821">
            <v>0.2</v>
          </cell>
          <cell r="AN1821">
            <v>0.2</v>
          </cell>
          <cell r="AO1821">
            <v>0.2</v>
          </cell>
          <cell r="AP1821">
            <v>0.2</v>
          </cell>
          <cell r="AQ1821">
            <v>0.2</v>
          </cell>
          <cell r="AR1821">
            <v>0.2</v>
          </cell>
          <cell r="AS1821">
            <v>0.2</v>
          </cell>
          <cell r="AT1821">
            <v>-0.04</v>
          </cell>
          <cell r="AU1821">
            <v>0.92</v>
          </cell>
          <cell r="AV1821">
            <v>20</v>
          </cell>
          <cell r="AZ1821">
            <v>0.2</v>
          </cell>
          <cell r="BA1821">
            <v>0.2</v>
          </cell>
        </row>
        <row r="1822">
          <cell r="A1822" t="str">
            <v>OFFICINA FABBRO</v>
          </cell>
          <cell r="D1822" t="str">
            <v>VIALE DEI LUSTRI, 43</v>
          </cell>
          <cell r="E1822">
            <v>80013</v>
          </cell>
          <cell r="F1822" t="str">
            <v>CASALNUOVO DI NAPOLI</v>
          </cell>
          <cell r="G1822" t="str">
            <v>NA</v>
          </cell>
          <cell r="H1822" t="str">
            <v>ITALIA</v>
          </cell>
          <cell r="J1822" t="str">
            <v>0341981212</v>
          </cell>
          <cell r="M1822" t="str">
            <v>UFFICIO ACQUISTI</v>
          </cell>
          <cell r="N1822" t="str">
            <v>081 5226130</v>
          </cell>
          <cell r="R1822" t="str">
            <v>BONIFICO BANCARIO, ALLA DATA DELLA NOSTRA CONFERMA D'ORDINE</v>
          </cell>
          <cell r="X1822">
            <v>0.25</v>
          </cell>
          <cell r="Y1822">
            <v>-0.04</v>
          </cell>
          <cell r="AB1822">
            <v>0.25</v>
          </cell>
          <cell r="AC1822">
            <v>0.25</v>
          </cell>
          <cell r="AD1822">
            <v>0.25</v>
          </cell>
          <cell r="AE1822">
            <v>0.25</v>
          </cell>
          <cell r="AF1822">
            <v>0.25</v>
          </cell>
          <cell r="AG1822">
            <v>0.25</v>
          </cell>
          <cell r="AH1822">
            <v>0.25</v>
          </cell>
          <cell r="AI1822">
            <v>0.25</v>
          </cell>
          <cell r="AJ1822">
            <v>0.25</v>
          </cell>
          <cell r="AK1822">
            <v>0.25</v>
          </cell>
          <cell r="AL1822">
            <v>0.25</v>
          </cell>
          <cell r="AM1822">
            <v>0.25</v>
          </cell>
          <cell r="AN1822">
            <v>0.25</v>
          </cell>
          <cell r="AO1822">
            <v>0.25</v>
          </cell>
          <cell r="AP1822">
            <v>0.25</v>
          </cell>
          <cell r="AQ1822">
            <v>0.25</v>
          </cell>
          <cell r="AR1822">
            <v>0.25</v>
          </cell>
          <cell r="AS1822">
            <v>0.25</v>
          </cell>
          <cell r="AT1822">
            <v>-0.04</v>
          </cell>
          <cell r="AU1822">
            <v>0.92</v>
          </cell>
          <cell r="AV1822">
            <v>20</v>
          </cell>
          <cell r="AZ1822">
            <v>0.25</v>
          </cell>
          <cell r="BA1822">
            <v>0.25</v>
          </cell>
        </row>
        <row r="1823">
          <cell r="A1823" t="str">
            <v>OFFICINA FABBRO GIOVANELLI SNC</v>
          </cell>
          <cell r="D1823" t="str">
            <v>VIA CITTANOVA, 17</v>
          </cell>
          <cell r="E1823" t="str">
            <v>34145</v>
          </cell>
          <cell r="F1823" t="str">
            <v>TRIESTE</v>
          </cell>
          <cell r="G1823" t="str">
            <v>TS</v>
          </cell>
          <cell r="H1823" t="str">
            <v>ITALIA</v>
          </cell>
          <cell r="I1823" t="str">
            <v>01234570321</v>
          </cell>
          <cell r="J1823" t="str">
            <v>01234570321</v>
          </cell>
          <cell r="K1823" t="str">
            <v>P62QHVQ</v>
          </cell>
          <cell r="M1823" t="str">
            <v>UFFICIO ACQUISTI</v>
          </cell>
          <cell r="O1823" t="str">
            <v>339 2930036  347 1052865</v>
          </cell>
          <cell r="P1823" t="str">
            <v>giovanellisnc@gmail.com</v>
          </cell>
          <cell r="R1823" t="str">
            <v>BONIFICO BANCARIO, ALLA DATA DELLA NOSTRA CONFERMA D'ORDINE</v>
          </cell>
          <cell r="X1823">
            <v>0.2</v>
          </cell>
          <cell r="Y1823">
            <v>-0.04</v>
          </cell>
          <cell r="AB1823">
            <v>0.2</v>
          </cell>
          <cell r="AC1823">
            <v>0.2</v>
          </cell>
          <cell r="AD1823">
            <v>0.2</v>
          </cell>
          <cell r="AE1823">
            <v>0.2</v>
          </cell>
          <cell r="AF1823">
            <v>0.2</v>
          </cell>
          <cell r="AG1823">
            <v>0.2</v>
          </cell>
          <cell r="AH1823">
            <v>0.2</v>
          </cell>
          <cell r="AI1823">
            <v>0.2</v>
          </cell>
          <cell r="AJ1823">
            <v>0.2</v>
          </cell>
          <cell r="AK1823">
            <v>0.2</v>
          </cell>
          <cell r="AL1823">
            <v>0.2</v>
          </cell>
          <cell r="AM1823">
            <v>0.2</v>
          </cell>
          <cell r="AN1823">
            <v>0.2</v>
          </cell>
          <cell r="AO1823">
            <v>0.2</v>
          </cell>
          <cell r="AP1823">
            <v>0.2</v>
          </cell>
          <cell r="AQ1823">
            <v>0.2</v>
          </cell>
          <cell r="AR1823">
            <v>0.2</v>
          </cell>
          <cell r="AS1823">
            <v>0.2</v>
          </cell>
          <cell r="AT1823">
            <v>-0.04</v>
          </cell>
          <cell r="AU1823">
            <v>0.92</v>
          </cell>
          <cell r="AV1823">
            <v>20</v>
          </cell>
          <cell r="AZ1823">
            <v>0.2</v>
          </cell>
          <cell r="BA1823">
            <v>0.2</v>
          </cell>
        </row>
        <row r="1824">
          <cell r="A1824" t="str">
            <v>OFFICINA FABBRO MECCANICO GAETANO SALINA</v>
          </cell>
          <cell r="D1824" t="str">
            <v>VIA CIRCONVALLAZIONE SP 33</v>
          </cell>
          <cell r="F1824" t="str">
            <v>RIBERA</v>
          </cell>
          <cell r="G1824" t="str">
            <v>AG</v>
          </cell>
          <cell r="H1824" t="str">
            <v>ITALIA</v>
          </cell>
          <cell r="M1824" t="str">
            <v>UFFICIO ACQUISTI</v>
          </cell>
          <cell r="O1824" t="str">
            <v>329 9157518</v>
          </cell>
          <cell r="P1824" t="str">
            <v>gaetano.salina@alice.it</v>
          </cell>
          <cell r="R1824" t="str">
            <v>BONIFICO BANCARIO, ALLA DATA DELLA NOSTRA CONFERMA D'ORDINE</v>
          </cell>
          <cell r="X1824">
            <v>0.25</v>
          </cell>
          <cell r="Y1824">
            <v>-0.04</v>
          </cell>
          <cell r="AB1824">
            <v>0.25</v>
          </cell>
          <cell r="AC1824">
            <v>0.25</v>
          </cell>
          <cell r="AD1824">
            <v>0.25</v>
          </cell>
          <cell r="AE1824">
            <v>0.25</v>
          </cell>
          <cell r="AF1824">
            <v>0.25</v>
          </cell>
          <cell r="AG1824">
            <v>0.25</v>
          </cell>
          <cell r="AH1824">
            <v>0.25</v>
          </cell>
          <cell r="AI1824">
            <v>0.25</v>
          </cell>
          <cell r="AJ1824">
            <v>0.25</v>
          </cell>
          <cell r="AK1824">
            <v>0.25</v>
          </cell>
          <cell r="AL1824">
            <v>0.25</v>
          </cell>
          <cell r="AM1824">
            <v>0.25</v>
          </cell>
          <cell r="AN1824">
            <v>0.25</v>
          </cell>
          <cell r="AO1824">
            <v>0.25</v>
          </cell>
          <cell r="AP1824">
            <v>0.25</v>
          </cell>
          <cell r="AQ1824">
            <v>0.25</v>
          </cell>
          <cell r="AR1824">
            <v>0.25</v>
          </cell>
          <cell r="AS1824">
            <v>0.25</v>
          </cell>
          <cell r="AT1824">
            <v>-0.04</v>
          </cell>
          <cell r="AU1824">
            <v>0.92</v>
          </cell>
          <cell r="AV1824">
            <v>20</v>
          </cell>
          <cell r="AY1824" t="str">
            <v/>
          </cell>
          <cell r="AZ1824">
            <v>0.25</v>
          </cell>
          <cell r="BA1824">
            <v>0.25</v>
          </cell>
        </row>
        <row r="1825">
          <cell r="A1825" t="str">
            <v>OFFICINA -FABBRO PINGO EMANUELE</v>
          </cell>
          <cell r="B1825" t="str">
            <v>COMISSIONE 30% INVIARE FOTO E FILMATI</v>
          </cell>
          <cell r="D1825" t="str">
            <v>VIA SETTEFARINE, C.N.</v>
          </cell>
          <cell r="E1825">
            <v>93012</v>
          </cell>
          <cell r="F1825" t="str">
            <v>GELA</v>
          </cell>
          <cell r="G1825" t="str">
            <v>CL</v>
          </cell>
          <cell r="H1825" t="str">
            <v>ITALIA</v>
          </cell>
          <cell r="J1825" t="str">
            <v>01486170853</v>
          </cell>
          <cell r="M1825" t="str">
            <v>UFFICIO ACQUISTI</v>
          </cell>
          <cell r="N1825" t="str">
            <v>0933 911960</v>
          </cell>
          <cell r="O1825" t="str">
            <v>328 1096031</v>
          </cell>
          <cell r="P1825" t="str">
            <v>pinema072@hotmail.it</v>
          </cell>
          <cell r="R1825" t="str">
            <v>BONIFICO BANCARIO, ALLA DATA DELLA NOSTRA CONFERMA D'ORDINE</v>
          </cell>
          <cell r="X1825">
            <v>0.25</v>
          </cell>
          <cell r="Y1825">
            <v>-0.04</v>
          </cell>
          <cell r="AB1825">
            <v>0.25</v>
          </cell>
          <cell r="AC1825">
            <v>0.25</v>
          </cell>
          <cell r="AD1825">
            <v>0.25</v>
          </cell>
          <cell r="AE1825">
            <v>0.25</v>
          </cell>
          <cell r="AF1825">
            <v>0.25</v>
          </cell>
          <cell r="AG1825">
            <v>0.25</v>
          </cell>
          <cell r="AH1825">
            <v>0.25</v>
          </cell>
          <cell r="AI1825">
            <v>0.25</v>
          </cell>
          <cell r="AJ1825">
            <v>0.25</v>
          </cell>
          <cell r="AK1825">
            <v>0.25</v>
          </cell>
          <cell r="AL1825">
            <v>0.25</v>
          </cell>
          <cell r="AM1825">
            <v>0.25</v>
          </cell>
          <cell r="AN1825">
            <v>0.25</v>
          </cell>
          <cell r="AO1825">
            <v>0.25</v>
          </cell>
          <cell r="AP1825">
            <v>0.25</v>
          </cell>
          <cell r="AQ1825">
            <v>0.25</v>
          </cell>
          <cell r="AR1825">
            <v>0.25</v>
          </cell>
          <cell r="AS1825">
            <v>0.25</v>
          </cell>
          <cell r="AT1825">
            <v>-0.04</v>
          </cell>
          <cell r="AU1825">
            <v>0.92</v>
          </cell>
          <cell r="AV1825">
            <v>20</v>
          </cell>
          <cell r="AY1825" t="str">
            <v/>
          </cell>
          <cell r="AZ1825">
            <v>0.25</v>
          </cell>
          <cell r="BA1825">
            <v>0.25</v>
          </cell>
        </row>
        <row r="1826">
          <cell r="A1826" t="str">
            <v>OFFICINA FERRARIO</v>
          </cell>
          <cell r="D1826" t="str">
            <v>VIA MORANDI, 23</v>
          </cell>
          <cell r="E1826">
            <v>21047</v>
          </cell>
          <cell r="F1826" t="str">
            <v>SARONNO</v>
          </cell>
          <cell r="G1826" t="str">
            <v>VA</v>
          </cell>
          <cell r="H1826" t="str">
            <v>ITALIA</v>
          </cell>
          <cell r="M1826" t="str">
            <v>UFFICIO ACQUISTI</v>
          </cell>
          <cell r="N1826" t="str">
            <v>02 9620230</v>
          </cell>
          <cell r="O1826" t="str">
            <v>333 8776869</v>
          </cell>
          <cell r="P1826" t="str">
            <v>officinaferrariosaronno@gmail.com</v>
          </cell>
          <cell r="R1826" t="str">
            <v>BONIFICO BANCARIO, ALLA DATA DELLA NOSTRA CONFERMA D'ORDINE</v>
          </cell>
          <cell r="X1826">
            <v>0.25</v>
          </cell>
          <cell r="Y1826">
            <v>-0.04</v>
          </cell>
          <cell r="AB1826">
            <v>0.25</v>
          </cell>
          <cell r="AC1826">
            <v>0.25</v>
          </cell>
          <cell r="AD1826">
            <v>0.25</v>
          </cell>
          <cell r="AE1826">
            <v>0.25</v>
          </cell>
          <cell r="AF1826">
            <v>0.25</v>
          </cell>
          <cell r="AG1826">
            <v>0.25</v>
          </cell>
          <cell r="AH1826">
            <v>0.25</v>
          </cell>
          <cell r="AI1826">
            <v>0.25</v>
          </cell>
          <cell r="AJ1826">
            <v>0.25</v>
          </cell>
          <cell r="AK1826">
            <v>0.25</v>
          </cell>
          <cell r="AL1826">
            <v>0.25</v>
          </cell>
          <cell r="AM1826">
            <v>0.25</v>
          </cell>
          <cell r="AN1826">
            <v>0.25</v>
          </cell>
          <cell r="AO1826">
            <v>0.25</v>
          </cell>
          <cell r="AP1826">
            <v>0.25</v>
          </cell>
          <cell r="AQ1826">
            <v>0.25</v>
          </cell>
          <cell r="AR1826">
            <v>0.25</v>
          </cell>
          <cell r="AS1826">
            <v>0.25</v>
          </cell>
          <cell r="AT1826">
            <v>-0.04</v>
          </cell>
          <cell r="AU1826">
            <v>0.92</v>
          </cell>
          <cell r="AV1826">
            <v>20</v>
          </cell>
          <cell r="AY1826" t="str">
            <v/>
          </cell>
          <cell r="AZ1826">
            <v>0.25</v>
          </cell>
          <cell r="BA1826">
            <v>0.25</v>
          </cell>
        </row>
        <row r="1827">
          <cell r="A1827" t="str">
            <v>OFFICINA MACCIO'</v>
          </cell>
          <cell r="D1827" t="str">
            <v>VIA U.RELA, 43 R</v>
          </cell>
          <cell r="E1827">
            <v>16149</v>
          </cell>
          <cell r="F1827" t="str">
            <v>GENOVA</v>
          </cell>
          <cell r="G1827" t="str">
            <v>GE</v>
          </cell>
          <cell r="H1827" t="str">
            <v>ITALIA</v>
          </cell>
          <cell r="J1827" t="str">
            <v>02155900992</v>
          </cell>
          <cell r="M1827" t="str">
            <v>UFFICIO ACQUISTI</v>
          </cell>
          <cell r="N1827" t="str">
            <v>010 6454438</v>
          </cell>
          <cell r="O1827" t="str">
            <v>329 9088418</v>
          </cell>
          <cell r="P1827" t="str">
            <v>info@officinamaccio.it</v>
          </cell>
          <cell r="R1827" t="str">
            <v>BONIFICO BANCARIO, ALLA DATA DELLA NOSTRA CONFERMA D'ORDINE</v>
          </cell>
          <cell r="X1827">
            <v>0.25</v>
          </cell>
          <cell r="Y1827">
            <v>-0.04</v>
          </cell>
          <cell r="AB1827">
            <v>0.25</v>
          </cell>
          <cell r="AC1827">
            <v>0.25</v>
          </cell>
          <cell r="AD1827">
            <v>0.25</v>
          </cell>
          <cell r="AE1827">
            <v>0.25</v>
          </cell>
          <cell r="AF1827">
            <v>0.25</v>
          </cell>
          <cell r="AG1827">
            <v>0.25</v>
          </cell>
          <cell r="AH1827">
            <v>0.25</v>
          </cell>
          <cell r="AI1827">
            <v>0.25</v>
          </cell>
          <cell r="AJ1827">
            <v>0.25</v>
          </cell>
          <cell r="AK1827">
            <v>0.25</v>
          </cell>
          <cell r="AL1827">
            <v>0.25</v>
          </cell>
          <cell r="AM1827">
            <v>0.25</v>
          </cell>
          <cell r="AN1827">
            <v>0.25</v>
          </cell>
          <cell r="AO1827">
            <v>0.25</v>
          </cell>
          <cell r="AP1827">
            <v>0.25</v>
          </cell>
          <cell r="AQ1827">
            <v>0.25</v>
          </cell>
          <cell r="AR1827">
            <v>0.25</v>
          </cell>
          <cell r="AS1827">
            <v>0.25</v>
          </cell>
          <cell r="AT1827">
            <v>-0.04</v>
          </cell>
          <cell r="AU1827">
            <v>0.92</v>
          </cell>
          <cell r="AV1827">
            <v>20</v>
          </cell>
          <cell r="AY1827" t="str">
            <v/>
          </cell>
          <cell r="AZ1827">
            <v>0.25</v>
          </cell>
          <cell r="BA1827">
            <v>0.25</v>
          </cell>
        </row>
        <row r="1828">
          <cell r="A1828" t="str">
            <v>OFFICINA MELIS</v>
          </cell>
          <cell r="D1828" t="str">
            <v>ZONA INDUSTRIALE P.I.P. IRIAI</v>
          </cell>
          <cell r="E1828" t="str">
            <v>08022</v>
          </cell>
          <cell r="F1828" t="str">
            <v>DORGALI</v>
          </cell>
          <cell r="G1828" t="str">
            <v>NU</v>
          </cell>
          <cell r="H1828" t="str">
            <v>ITALIA</v>
          </cell>
          <cell r="M1828" t="str">
            <v>UFFICIO ACQUISTI</v>
          </cell>
          <cell r="N1828" t="str">
            <v>0784 94907</v>
          </cell>
          <cell r="O1828" t="str">
            <v>347 8807666 MARIO   346 3146371 MATTEO</v>
          </cell>
          <cell r="P1828" t="str">
            <v>mario.melis66@tiscali.it</v>
          </cell>
          <cell r="R1828" t="str">
            <v>BONIFICO BANCARIO, ALLA DATA DELLA NOSTRA CONFERMA D'ORDINE</v>
          </cell>
          <cell r="X1828">
            <v>0.2</v>
          </cell>
          <cell r="Y1828">
            <v>-0.04</v>
          </cell>
          <cell r="AB1828">
            <v>0.2</v>
          </cell>
          <cell r="AC1828">
            <v>0.2</v>
          </cell>
          <cell r="AD1828">
            <v>0.2</v>
          </cell>
          <cell r="AE1828">
            <v>0.2</v>
          </cell>
          <cell r="AF1828">
            <v>0.2</v>
          </cell>
          <cell r="AG1828">
            <v>0.2</v>
          </cell>
          <cell r="AH1828">
            <v>0.2</v>
          </cell>
          <cell r="AI1828">
            <v>0.2</v>
          </cell>
          <cell r="AJ1828">
            <v>0.2</v>
          </cell>
          <cell r="AK1828">
            <v>0.2</v>
          </cell>
          <cell r="AL1828">
            <v>0.2</v>
          </cell>
          <cell r="AM1828">
            <v>0.2</v>
          </cell>
          <cell r="AN1828">
            <v>0.2</v>
          </cell>
          <cell r="AO1828">
            <v>0.2</v>
          </cell>
          <cell r="AP1828">
            <v>0.2</v>
          </cell>
          <cell r="AQ1828">
            <v>0.2</v>
          </cell>
          <cell r="AR1828">
            <v>0.2</v>
          </cell>
          <cell r="AS1828">
            <v>0.2</v>
          </cell>
          <cell r="AT1828">
            <v>-0.04</v>
          </cell>
          <cell r="AU1828">
            <v>0.92</v>
          </cell>
          <cell r="AV1828">
            <v>20</v>
          </cell>
          <cell r="AZ1828">
            <v>0.2</v>
          </cell>
          <cell r="BA1828">
            <v>0.2</v>
          </cell>
        </row>
        <row r="1829">
          <cell r="A1829" t="str">
            <v xml:space="preserve">OFFICINA METALMECCANICA DI PAGAGNI VITO </v>
          </cell>
          <cell r="B1829" t="str">
            <v>NON C'ERA NO SCONTI</v>
          </cell>
          <cell r="D1829" t="str">
            <v>CORSO GARIBALDI 3</v>
          </cell>
          <cell r="F1829" t="str">
            <v xml:space="preserve">BISCEGLIE </v>
          </cell>
          <cell r="G1829" t="str">
            <v>BT</v>
          </cell>
          <cell r="H1829" t="str">
            <v>ITALIA</v>
          </cell>
          <cell r="J1829" t="str">
            <v>01907600728</v>
          </cell>
          <cell r="M1829" t="str">
            <v>UFFICIO ACQUISTI</v>
          </cell>
          <cell r="N1829" t="str">
            <v>080 3924607</v>
          </cell>
          <cell r="O1829" t="str">
            <v>360 371340</v>
          </cell>
          <cell r="P1829" t="str">
            <v>vitopagagni61@gmail.com</v>
          </cell>
          <cell r="R1829" t="str">
            <v>BONIFICO BANCARIO, ALLA DATA DELLA NOSTRA CONFERMA D'ORDINE</v>
          </cell>
          <cell r="X1829">
            <v>0.25</v>
          </cell>
          <cell r="Y1829">
            <v>-0.04</v>
          </cell>
          <cell r="AB1829">
            <v>0.25</v>
          </cell>
          <cell r="AC1829">
            <v>0.25</v>
          </cell>
          <cell r="AD1829">
            <v>0.25</v>
          </cell>
          <cell r="AE1829">
            <v>0.25</v>
          </cell>
          <cell r="AF1829">
            <v>0.25</v>
          </cell>
          <cell r="AG1829">
            <v>0.25</v>
          </cell>
          <cell r="AH1829">
            <v>0.25</v>
          </cell>
          <cell r="AI1829">
            <v>0.25</v>
          </cell>
          <cell r="AJ1829">
            <v>0.25</v>
          </cell>
          <cell r="AK1829">
            <v>0.25</v>
          </cell>
          <cell r="AL1829">
            <v>0.25</v>
          </cell>
          <cell r="AM1829">
            <v>0.25</v>
          </cell>
          <cell r="AN1829">
            <v>0.25</v>
          </cell>
          <cell r="AO1829">
            <v>0.25</v>
          </cell>
          <cell r="AP1829">
            <v>0.25</v>
          </cell>
          <cell r="AQ1829">
            <v>0.25</v>
          </cell>
          <cell r="AR1829">
            <v>0.25</v>
          </cell>
          <cell r="AS1829">
            <v>0.25</v>
          </cell>
          <cell r="AT1829">
            <v>-0.04</v>
          </cell>
          <cell r="AU1829">
            <v>0.92</v>
          </cell>
          <cell r="AV1829">
            <v>20</v>
          </cell>
          <cell r="AY1829" t="str">
            <v/>
          </cell>
          <cell r="AZ1829">
            <v>0.25</v>
          </cell>
          <cell r="BA1829">
            <v>0.25</v>
          </cell>
        </row>
        <row r="1830">
          <cell r="A1830" t="str">
            <v>OFFICINA PASIANOTTO DI MAURIZIO PASIANOTTO</v>
          </cell>
          <cell r="D1830" t="str">
            <v>VIA A. MALIGNANI, 64</v>
          </cell>
          <cell r="E1830" t="str">
            <v>33031</v>
          </cell>
          <cell r="F1830" t="str">
            <v>BASILIANO</v>
          </cell>
          <cell r="G1830" t="str">
            <v>UD</v>
          </cell>
          <cell r="H1830" t="str">
            <v>ITALIA</v>
          </cell>
          <cell r="J1830" t="str">
            <v>02493730309</v>
          </cell>
          <cell r="M1830" t="str">
            <v>UFFICIO ACQUISTI</v>
          </cell>
          <cell r="N1830" t="str">
            <v>0432 830614</v>
          </cell>
          <cell r="P1830" t="str">
            <v>info@officinapasianotto.it</v>
          </cell>
          <cell r="R1830" t="str">
            <v>BONIFICO BANCARIO, ALLA DATA DELLA NOSTRA CONFERMA D'ORDINE</v>
          </cell>
          <cell r="X1830">
            <v>0.2</v>
          </cell>
          <cell r="Y1830">
            <v>-0.04</v>
          </cell>
          <cell r="AB1830">
            <v>0.2</v>
          </cell>
          <cell r="AC1830">
            <v>0.2</v>
          </cell>
          <cell r="AD1830">
            <v>0.2</v>
          </cell>
          <cell r="AE1830">
            <v>0.2</v>
          </cell>
          <cell r="AF1830">
            <v>0.2</v>
          </cell>
          <cell r="AG1830">
            <v>0.2</v>
          </cell>
          <cell r="AH1830">
            <v>0.2</v>
          </cell>
          <cell r="AI1830">
            <v>0.2</v>
          </cell>
          <cell r="AJ1830">
            <v>0.2</v>
          </cell>
          <cell r="AK1830">
            <v>0.2</v>
          </cell>
          <cell r="AL1830">
            <v>0.2</v>
          </cell>
          <cell r="AM1830">
            <v>0.2</v>
          </cell>
          <cell r="AN1830">
            <v>0.2</v>
          </cell>
          <cell r="AO1830">
            <v>0.2</v>
          </cell>
          <cell r="AP1830">
            <v>0.2</v>
          </cell>
          <cell r="AQ1830">
            <v>0.2</v>
          </cell>
          <cell r="AR1830">
            <v>0.2</v>
          </cell>
          <cell r="AS1830">
            <v>0.2</v>
          </cell>
          <cell r="AT1830">
            <v>-0.04</v>
          </cell>
          <cell r="AU1830">
            <v>0.92</v>
          </cell>
          <cell r="AV1830">
            <v>20</v>
          </cell>
          <cell r="AZ1830">
            <v>0.2</v>
          </cell>
          <cell r="BA1830">
            <v>0.2</v>
          </cell>
        </row>
        <row r="1831">
          <cell r="A1831" t="str">
            <v>OFFICINA TENDERINI</v>
          </cell>
          <cell r="D1831" t="str">
            <v>DORSODURO, 2538</v>
          </cell>
          <cell r="E1831">
            <v>30123</v>
          </cell>
          <cell r="F1831" t="str">
            <v>VENEZIA</v>
          </cell>
          <cell r="G1831" t="str">
            <v>VE</v>
          </cell>
          <cell r="H1831" t="str">
            <v>ITALIA</v>
          </cell>
          <cell r="M1831" t="str">
            <v>UFFICIO ACQUISTI</v>
          </cell>
          <cell r="N1831" t="str">
            <v>0415 246800</v>
          </cell>
          <cell r="P1831" t="str">
            <v>bottega@tenderini.it</v>
          </cell>
          <cell r="R1831" t="str">
            <v>BONIFICO BANCARIO, ALLA DATA DELLA NOSTRA CONFERMA D'ORDINE</v>
          </cell>
          <cell r="W1831" t="str">
            <v>ACQUA SALATA</v>
          </cell>
          <cell r="X1831">
            <v>0.25</v>
          </cell>
          <cell r="Y1831">
            <v>-0.04</v>
          </cell>
          <cell r="AB1831">
            <v>0.25</v>
          </cell>
          <cell r="AC1831">
            <v>0.25</v>
          </cell>
          <cell r="AD1831">
            <v>0.25</v>
          </cell>
          <cell r="AE1831">
            <v>0.25</v>
          </cell>
          <cell r="AF1831">
            <v>0.25</v>
          </cell>
          <cell r="AG1831">
            <v>0.25</v>
          </cell>
          <cell r="AH1831">
            <v>0.25</v>
          </cell>
          <cell r="AI1831">
            <v>0.25</v>
          </cell>
          <cell r="AJ1831">
            <v>0.25</v>
          </cell>
          <cell r="AK1831">
            <v>0.25</v>
          </cell>
          <cell r="AL1831">
            <v>0.25</v>
          </cell>
          <cell r="AM1831">
            <v>0.25</v>
          </cell>
          <cell r="AN1831">
            <v>0.25</v>
          </cell>
          <cell r="AO1831">
            <v>0.25</v>
          </cell>
          <cell r="AP1831">
            <v>0.25</v>
          </cell>
          <cell r="AQ1831">
            <v>0.25</v>
          </cell>
          <cell r="AR1831">
            <v>0.25</v>
          </cell>
          <cell r="AS1831">
            <v>0.25</v>
          </cell>
          <cell r="AT1831">
            <v>-0.04</v>
          </cell>
          <cell r="AU1831">
            <v>0.92</v>
          </cell>
          <cell r="AV1831">
            <v>20</v>
          </cell>
          <cell r="AY1831" t="str">
            <v/>
          </cell>
          <cell r="AZ1831">
            <v>0.25</v>
          </cell>
          <cell r="BA1831">
            <v>0.25</v>
          </cell>
        </row>
        <row r="1832">
          <cell r="A1832" t="str">
            <v>OFFICINE FABBRILE DI ZILLE PIO</v>
          </cell>
          <cell r="D1832" t="str">
            <v>VIA FRASSINO, 3</v>
          </cell>
          <cell r="E1832" t="str">
            <v>33080</v>
          </cell>
          <cell r="F1832" t="str">
            <v>PORCIA</v>
          </cell>
          <cell r="G1832" t="str">
            <v>PN</v>
          </cell>
          <cell r="H1832" t="str">
            <v>ITALIA</v>
          </cell>
          <cell r="M1832" t="str">
            <v>UFFICIO ACQUISTI</v>
          </cell>
          <cell r="N1832" t="str">
            <v>0434 361165</v>
          </cell>
          <cell r="R1832" t="str">
            <v>BONIFICO BANCARIO, ALLA DATA DELLA NOSTRA CONFERMA D'ORDINE</v>
          </cell>
          <cell r="X1832">
            <v>0.15</v>
          </cell>
          <cell r="Y1832">
            <v>-0.04</v>
          </cell>
          <cell r="AB1832">
            <v>0.15</v>
          </cell>
          <cell r="AC1832">
            <v>0.15</v>
          </cell>
          <cell r="AD1832">
            <v>0.15</v>
          </cell>
          <cell r="AE1832">
            <v>0.15</v>
          </cell>
          <cell r="AF1832">
            <v>0.15</v>
          </cell>
          <cell r="AG1832">
            <v>0.15</v>
          </cell>
          <cell r="AH1832">
            <v>0.15</v>
          </cell>
          <cell r="AI1832">
            <v>0.15</v>
          </cell>
          <cell r="AJ1832">
            <v>0.15</v>
          </cell>
          <cell r="AK1832">
            <v>0.15</v>
          </cell>
          <cell r="AL1832">
            <v>0.15</v>
          </cell>
          <cell r="AM1832">
            <v>0.15</v>
          </cell>
          <cell r="AN1832">
            <v>0.15</v>
          </cell>
          <cell r="AO1832">
            <v>0.15</v>
          </cell>
          <cell r="AP1832">
            <v>0.15</v>
          </cell>
          <cell r="AQ1832">
            <v>0.15</v>
          </cell>
          <cell r="AR1832">
            <v>0.15</v>
          </cell>
          <cell r="AS1832">
            <v>0.15</v>
          </cell>
          <cell r="AT1832">
            <v>-0.04</v>
          </cell>
          <cell r="AU1832">
            <v>0.92</v>
          </cell>
          <cell r="AV1832">
            <v>20</v>
          </cell>
          <cell r="AZ1832">
            <v>0.15</v>
          </cell>
          <cell r="BA1832">
            <v>0.15</v>
          </cell>
        </row>
        <row r="1833">
          <cell r="A1833" t="str">
            <v>OFFICINE PAGLIARI SRL</v>
          </cell>
          <cell r="B1833" t="str">
            <v xml:space="preserve">CON PORTE E FINESTRE STESSA AZIENDA HA CHIESTO PREVENTIVO  X 2 BARRIERE ,QUANDO COMPRA PRENDE ANCHE IL CAMPIONE    -  MOLTO BUONO - AZIENDA COLLEGATA A PORTE E FINESTRE </v>
          </cell>
          <cell r="D1833" t="str">
            <v>VIA MONTELLO, 11</v>
          </cell>
          <cell r="E1833">
            <v>26013</v>
          </cell>
          <cell r="F1833" t="str">
            <v>CREMA</v>
          </cell>
          <cell r="G1833" t="str">
            <v>CR</v>
          </cell>
          <cell r="H1833" t="str">
            <v>ITALIA</v>
          </cell>
          <cell r="J1833" t="str">
            <v>01493000192</v>
          </cell>
          <cell r="K1833" t="str">
            <v>M5UXCR1</v>
          </cell>
          <cell r="M1833" t="str">
            <v>UFFICIO ACQUISTI</v>
          </cell>
          <cell r="N1833" t="str">
            <v>0373 256832</v>
          </cell>
          <cell r="P1833" t="str">
            <v>info@officinepagliari.it</v>
          </cell>
          <cell r="R1833" t="str">
            <v>BONIFICO BANCARIO, ALLA DATA DELLA NOSTRA CONFERMA D'ORDINE</v>
          </cell>
          <cell r="X1833">
            <v>0.25</v>
          </cell>
          <cell r="Y1833">
            <v>-0.04</v>
          </cell>
          <cell r="AB1833">
            <v>0.25</v>
          </cell>
          <cell r="AC1833">
            <v>0.25</v>
          </cell>
          <cell r="AD1833">
            <v>0.25</v>
          </cell>
          <cell r="AE1833">
            <v>0.25</v>
          </cell>
          <cell r="AF1833">
            <v>0.25</v>
          </cell>
          <cell r="AG1833">
            <v>0.25</v>
          </cell>
          <cell r="AH1833">
            <v>0.25</v>
          </cell>
          <cell r="AI1833">
            <v>0.25</v>
          </cell>
          <cell r="AJ1833">
            <v>0.25</v>
          </cell>
          <cell r="AK1833">
            <v>0.25</v>
          </cell>
          <cell r="AL1833">
            <v>0.25</v>
          </cell>
          <cell r="AM1833">
            <v>0.25</v>
          </cell>
          <cell r="AN1833">
            <v>0.25</v>
          </cell>
          <cell r="AO1833">
            <v>0.25</v>
          </cell>
          <cell r="AP1833">
            <v>0.25</v>
          </cell>
          <cell r="AQ1833">
            <v>0.25</v>
          </cell>
          <cell r="AR1833">
            <v>0.25</v>
          </cell>
          <cell r="AS1833">
            <v>0.25</v>
          </cell>
          <cell r="AT1833">
            <v>-0.04</v>
          </cell>
          <cell r="AU1833">
            <v>0.92</v>
          </cell>
          <cell r="AV1833">
            <v>20</v>
          </cell>
          <cell r="AY1833" t="str">
            <v/>
          </cell>
          <cell r="AZ1833">
            <v>0.25</v>
          </cell>
          <cell r="BA1833">
            <v>0.25</v>
          </cell>
        </row>
        <row r="1834">
          <cell r="A1834" t="str">
            <v>OFFICINE S.A.M.A.</v>
          </cell>
          <cell r="B1834" t="str">
            <v>RIVENDITORE ACQUASTOP 05/12 NO RISP 14/12 PARLATO CON MOGLIE. DICE CHE LE COSE LE GESTISCE IL MARITO. E' ALL'ESTERO PER LAVORO E RIENTRA LUNEDI'. DARGLI IL TEMPO DI VISIONARE IL TUTTO 07/02/2023 SONO CON ACQUASTOP DA DIVERSI ANNI. SI TROVANO BENE E NON INTENDONO CAMBIARE</v>
          </cell>
          <cell r="D1834" t="str">
            <v>VIA STATALE 1</v>
          </cell>
          <cell r="E1834">
            <v>16042</v>
          </cell>
          <cell r="F1834" t="str">
            <v>CARASCO</v>
          </cell>
          <cell r="G1834" t="str">
            <v>GE</v>
          </cell>
          <cell r="H1834" t="str">
            <v>ITALIA</v>
          </cell>
          <cell r="J1834" t="str">
            <v>01606220992</v>
          </cell>
          <cell r="M1834" t="str">
            <v>UFFICIO ACQUISTI</v>
          </cell>
          <cell r="N1834" t="str">
            <v>0185 350856</v>
          </cell>
          <cell r="O1834">
            <v>3311541052</v>
          </cell>
          <cell r="P1834" t="str">
            <v>infosama@msn.com</v>
          </cell>
          <cell r="R1834" t="str">
            <v>BONIFICO BANCARIO, ALLA DATA DELLA NOSTRA CONFERMA D'ORDINE</v>
          </cell>
          <cell r="X1834">
            <v>0.25</v>
          </cell>
          <cell r="Y1834">
            <v>-0.04</v>
          </cell>
          <cell r="AB1834">
            <v>0.25</v>
          </cell>
          <cell r="AC1834">
            <v>0.25</v>
          </cell>
          <cell r="AD1834">
            <v>0.25</v>
          </cell>
          <cell r="AE1834">
            <v>0.25</v>
          </cell>
          <cell r="AF1834">
            <v>0.25</v>
          </cell>
          <cell r="AG1834">
            <v>0.25</v>
          </cell>
          <cell r="AH1834">
            <v>0.25</v>
          </cell>
          <cell r="AI1834">
            <v>0.25</v>
          </cell>
          <cell r="AJ1834">
            <v>0.25</v>
          </cell>
          <cell r="AK1834">
            <v>0.25</v>
          </cell>
          <cell r="AL1834">
            <v>0.25</v>
          </cell>
          <cell r="AM1834">
            <v>0.25</v>
          </cell>
          <cell r="AN1834">
            <v>0.25</v>
          </cell>
          <cell r="AO1834">
            <v>0.25</v>
          </cell>
          <cell r="AP1834">
            <v>0.25</v>
          </cell>
          <cell r="AQ1834">
            <v>0.25</v>
          </cell>
          <cell r="AR1834">
            <v>0.25</v>
          </cell>
          <cell r="AS1834">
            <v>0.25</v>
          </cell>
          <cell r="AT1834">
            <v>-0.04</v>
          </cell>
          <cell r="AU1834">
            <v>0.92</v>
          </cell>
          <cell r="AV1834">
            <v>20</v>
          </cell>
          <cell r="AY1834" t="str">
            <v/>
          </cell>
          <cell r="AZ1834">
            <v>0.25</v>
          </cell>
          <cell r="BA1834">
            <v>0.25</v>
          </cell>
        </row>
        <row r="1835">
          <cell r="A1835" t="str">
            <v>OFFICINE SCHENA SRL</v>
          </cell>
          <cell r="D1835" t="str">
            <v>VIA VINCENZO AULISIO, 25</v>
          </cell>
          <cell r="E1835" t="str">
            <v>70124</v>
          </cell>
          <cell r="F1835" t="str">
            <v>BARI</v>
          </cell>
          <cell r="G1835" t="str">
            <v>BA</v>
          </cell>
          <cell r="H1835" t="str">
            <v>ITALIA</v>
          </cell>
          <cell r="J1835" t="str">
            <v>05564980729</v>
          </cell>
          <cell r="M1835" t="str">
            <v>UFFICIO ACQUISTI</v>
          </cell>
          <cell r="N1835" t="str">
            <v>080 5052920</v>
          </cell>
          <cell r="P1835" t="str">
            <v>info@officineschena.it</v>
          </cell>
          <cell r="R1835" t="str">
            <v>BONIFICO BANCARIO, ALLA DATA DELLA NOSTRA CONFERMA D'ORDINE</v>
          </cell>
          <cell r="X1835">
            <v>0.2</v>
          </cell>
          <cell r="Y1835">
            <v>-0.04</v>
          </cell>
          <cell r="AB1835">
            <v>0.2</v>
          </cell>
          <cell r="AC1835">
            <v>0.2</v>
          </cell>
          <cell r="AD1835">
            <v>0.2</v>
          </cell>
          <cell r="AE1835">
            <v>0.2</v>
          </cell>
          <cell r="AF1835">
            <v>0.2</v>
          </cell>
          <cell r="AG1835">
            <v>0.2</v>
          </cell>
          <cell r="AH1835">
            <v>0.2</v>
          </cell>
          <cell r="AI1835">
            <v>0.2</v>
          </cell>
          <cell r="AJ1835">
            <v>0.2</v>
          </cell>
          <cell r="AK1835">
            <v>0.2</v>
          </cell>
          <cell r="AL1835">
            <v>0.2</v>
          </cell>
          <cell r="AM1835">
            <v>0.2</v>
          </cell>
          <cell r="AN1835">
            <v>0.2</v>
          </cell>
          <cell r="AO1835">
            <v>0.2</v>
          </cell>
          <cell r="AP1835">
            <v>0.2</v>
          </cell>
          <cell r="AQ1835">
            <v>0.2</v>
          </cell>
          <cell r="AR1835">
            <v>0.2</v>
          </cell>
          <cell r="AS1835">
            <v>0.2</v>
          </cell>
          <cell r="AT1835">
            <v>-0.04</v>
          </cell>
          <cell r="AU1835">
            <v>0.92</v>
          </cell>
          <cell r="AV1835">
            <v>20</v>
          </cell>
          <cell r="AZ1835">
            <v>0.2</v>
          </cell>
          <cell r="BA1835">
            <v>0.2</v>
          </cell>
        </row>
        <row r="1836">
          <cell r="A1836" t="str">
            <v>OFFICINIE ROMAGNOLO DI ROMAGNOLO ANDREA</v>
          </cell>
          <cell r="D1836" t="str">
            <v>VIA PORTA A MARE 12</v>
          </cell>
          <cell r="E1836" t="str">
            <v>45100</v>
          </cell>
          <cell r="F1836" t="str">
            <v>ROVIGNO</v>
          </cell>
          <cell r="G1836" t="str">
            <v>RO</v>
          </cell>
          <cell r="H1836" t="str">
            <v>ITALIA</v>
          </cell>
          <cell r="J1836" t="str">
            <v>01288660291</v>
          </cell>
          <cell r="M1836" t="str">
            <v>UFFICIO ACQUISTI</v>
          </cell>
          <cell r="N1836" t="str">
            <v>0425 490782</v>
          </cell>
          <cell r="O1836" t="str">
            <v>320 3805164</v>
          </cell>
          <cell r="P1836" t="str">
            <v>officineromagnolo@gmail.com</v>
          </cell>
          <cell r="R1836" t="str">
            <v>BONIFICO BANCARIO, ALLA DATA DELLA NOSTRA CONFERMA D'ORDINE</v>
          </cell>
          <cell r="X1836">
            <v>0.25</v>
          </cell>
          <cell r="Y1836">
            <v>-0.04</v>
          </cell>
          <cell r="AB1836">
            <v>0.25</v>
          </cell>
          <cell r="AC1836">
            <v>0.25</v>
          </cell>
          <cell r="AD1836">
            <v>0.25</v>
          </cell>
          <cell r="AE1836">
            <v>0.25</v>
          </cell>
          <cell r="AF1836">
            <v>0.25</v>
          </cell>
          <cell r="AG1836">
            <v>0.25</v>
          </cell>
          <cell r="AH1836">
            <v>0.25</v>
          </cell>
          <cell r="AI1836">
            <v>0.25</v>
          </cell>
          <cell r="AJ1836">
            <v>0.25</v>
          </cell>
          <cell r="AK1836">
            <v>0.25</v>
          </cell>
          <cell r="AL1836">
            <v>0.25</v>
          </cell>
          <cell r="AM1836">
            <v>0.25</v>
          </cell>
          <cell r="AN1836">
            <v>0.25</v>
          </cell>
          <cell r="AO1836">
            <v>0.25</v>
          </cell>
          <cell r="AP1836">
            <v>0.25</v>
          </cell>
          <cell r="AQ1836">
            <v>0.25</v>
          </cell>
          <cell r="AR1836">
            <v>0.25</v>
          </cell>
          <cell r="AS1836">
            <v>0.25</v>
          </cell>
          <cell r="AT1836">
            <v>-0.04</v>
          </cell>
          <cell r="AU1836">
            <v>0.92</v>
          </cell>
          <cell r="AV1836">
            <v>20</v>
          </cell>
          <cell r="AY1836" t="str">
            <v/>
          </cell>
          <cell r="AZ1836">
            <v>0.25</v>
          </cell>
          <cell r="BA1836">
            <v>0.25</v>
          </cell>
        </row>
        <row r="1837">
          <cell r="A1837" t="str">
            <v>OK PORTE E SERRAMENTI</v>
          </cell>
          <cell r="D1837" t="str">
            <v>VIA MOLISE 6</v>
          </cell>
          <cell r="E1837" t="str">
            <v>208031</v>
          </cell>
          <cell r="F1837" t="str">
            <v xml:space="preserve">SEREGNO </v>
          </cell>
          <cell r="G1837" t="str">
            <v>MB</v>
          </cell>
          <cell r="H1837" t="str">
            <v>ITALIA</v>
          </cell>
          <cell r="M1837" t="str">
            <v>UFFICIO ACQUISTI</v>
          </cell>
          <cell r="O1837" t="str">
            <v>3337035585</v>
          </cell>
          <cell r="P1837" t="str">
            <v>okporteserramenti@virgilio.it</v>
          </cell>
          <cell r="R1837" t="str">
            <v>BONIFICO BANCARIO, ALLA DATA DELLA NOSTRA CONFERMA D'ORDINE</v>
          </cell>
          <cell r="X1837">
            <v>0.25</v>
          </cell>
          <cell r="Y1837">
            <v>-0.04</v>
          </cell>
          <cell r="AB1837">
            <v>0.25</v>
          </cell>
          <cell r="AC1837">
            <v>0.25</v>
          </cell>
          <cell r="AD1837">
            <v>0.25</v>
          </cell>
          <cell r="AE1837">
            <v>0.25</v>
          </cell>
          <cell r="AF1837">
            <v>0.25</v>
          </cell>
          <cell r="AG1837">
            <v>0.25</v>
          </cell>
          <cell r="AH1837">
            <v>0.25</v>
          </cell>
          <cell r="AI1837">
            <v>0.25</v>
          </cell>
          <cell r="AJ1837">
            <v>0.25</v>
          </cell>
          <cell r="AK1837">
            <v>0.25</v>
          </cell>
          <cell r="AL1837">
            <v>0.25</v>
          </cell>
          <cell r="AM1837">
            <v>0.25</v>
          </cell>
          <cell r="AN1837">
            <v>0.25</v>
          </cell>
          <cell r="AO1837">
            <v>0.25</v>
          </cell>
          <cell r="AP1837">
            <v>0.25</v>
          </cell>
          <cell r="AQ1837">
            <v>0.25</v>
          </cell>
          <cell r="AR1837">
            <v>0.25</v>
          </cell>
          <cell r="AS1837">
            <v>0.25</v>
          </cell>
          <cell r="AT1837">
            <v>-0.04</v>
          </cell>
          <cell r="AU1837">
            <v>0.92</v>
          </cell>
          <cell r="AV1837">
            <v>20</v>
          </cell>
          <cell r="AY1837" t="str">
            <v/>
          </cell>
          <cell r="AZ1837">
            <v>0.25</v>
          </cell>
          <cell r="BA1837">
            <v>0.25</v>
          </cell>
        </row>
        <row r="1838">
          <cell r="A1838" t="str">
            <v>OKNOPLAST  BY T.BLINDO</v>
          </cell>
          <cell r="B1838" t="str">
            <v>TRIARICO MIRKO</v>
          </cell>
          <cell r="D1838" t="str">
            <v>VIA A.DIAZ, 55 R</v>
          </cell>
          <cell r="E1838">
            <v>16121</v>
          </cell>
          <cell r="F1838" t="str">
            <v>GENOVA</v>
          </cell>
          <cell r="G1838" t="str">
            <v>GE</v>
          </cell>
          <cell r="H1838" t="str">
            <v>ITALIA</v>
          </cell>
          <cell r="M1838" t="str">
            <v>UFFICIO ACQUISTI</v>
          </cell>
          <cell r="N1838" t="str">
            <v>010 0962787</v>
          </cell>
          <cell r="P1838" t="str">
            <v>info@tiblindo.it</v>
          </cell>
          <cell r="R1838" t="str">
            <v>BONIFICO BANCARIO, ALLA DATA DELLA NOSTRA CONFERMA D'ORDINE</v>
          </cell>
          <cell r="X1838">
            <v>0.25</v>
          </cell>
          <cell r="Y1838">
            <v>-0.04</v>
          </cell>
          <cell r="AB1838">
            <v>0.25</v>
          </cell>
          <cell r="AC1838">
            <v>0.25</v>
          </cell>
          <cell r="AD1838">
            <v>0.25</v>
          </cell>
          <cell r="AE1838">
            <v>0.25</v>
          </cell>
          <cell r="AF1838">
            <v>0.25</v>
          </cell>
          <cell r="AG1838">
            <v>0.25</v>
          </cell>
          <cell r="AH1838">
            <v>0.25</v>
          </cell>
          <cell r="AI1838">
            <v>0.25</v>
          </cell>
          <cell r="AJ1838">
            <v>0.25</v>
          </cell>
          <cell r="AK1838">
            <v>0.25</v>
          </cell>
          <cell r="AL1838">
            <v>0.25</v>
          </cell>
          <cell r="AM1838">
            <v>0.25</v>
          </cell>
          <cell r="AN1838">
            <v>0.25</v>
          </cell>
          <cell r="AO1838">
            <v>0.25</v>
          </cell>
          <cell r="AP1838">
            <v>0.25</v>
          </cell>
          <cell r="AQ1838">
            <v>0.25</v>
          </cell>
          <cell r="AR1838">
            <v>0.25</v>
          </cell>
          <cell r="AS1838">
            <v>0.25</v>
          </cell>
          <cell r="AT1838">
            <v>-0.04</v>
          </cell>
          <cell r="AU1838">
            <v>0.92</v>
          </cell>
          <cell r="AV1838">
            <v>20</v>
          </cell>
          <cell r="AY1838" t="str">
            <v/>
          </cell>
          <cell r="AZ1838">
            <v>0.25</v>
          </cell>
          <cell r="BA1838">
            <v>0.25</v>
          </cell>
        </row>
        <row r="1839">
          <cell r="A1839" t="str">
            <v>ÖKO-TEC UMWELTSCHUTZSYSTEME GMBH</v>
          </cell>
          <cell r="D1839" t="str">
            <v>IM KRÖTENGRUND, 4</v>
          </cell>
          <cell r="E1839" t="str">
            <v xml:space="preserve">63579 </v>
          </cell>
          <cell r="F1839" t="str">
            <v>FREIGERICHT-HORBACH</v>
          </cell>
          <cell r="H1839" t="str">
            <v>GERMANIA</v>
          </cell>
          <cell r="J1839" t="str">
            <v>DE 113575075</v>
          </cell>
          <cell r="K1839" t="str">
            <v>XXXXXXX</v>
          </cell>
          <cell r="M1839" t="str">
            <v>UFFICIO ACQUISTI</v>
          </cell>
          <cell r="N1839" t="str">
            <v>+496055915612</v>
          </cell>
          <cell r="O1839" t="str">
            <v>+49 170 7036843</v>
          </cell>
          <cell r="P1839" t="str">
            <v>service@oeko-tec.de</v>
          </cell>
          <cell r="R1839" t="str">
            <v>BANKÜBERWEISUNG, AM DATUM UNSERER AUFTRAGSBESTÄTIGUNG</v>
          </cell>
          <cell r="X1839">
            <v>0</v>
          </cell>
          <cell r="AB1839">
            <v>0</v>
          </cell>
          <cell r="AC1839">
            <v>0</v>
          </cell>
          <cell r="AD1839">
            <v>0</v>
          </cell>
          <cell r="AE1839">
            <v>0</v>
          </cell>
          <cell r="AF1839">
            <v>0</v>
          </cell>
          <cell r="AG1839">
            <v>0</v>
          </cell>
          <cell r="AH1839">
            <v>0</v>
          </cell>
          <cell r="AI1839">
            <v>0</v>
          </cell>
          <cell r="AJ1839">
            <v>0</v>
          </cell>
          <cell r="AK1839">
            <v>0</v>
          </cell>
          <cell r="AL1839">
            <v>0</v>
          </cell>
          <cell r="AM1839">
            <v>0</v>
          </cell>
          <cell r="AN1839">
            <v>0</v>
          </cell>
          <cell r="AO1839">
            <v>0</v>
          </cell>
          <cell r="AP1839">
            <v>0</v>
          </cell>
          <cell r="AQ1839">
            <v>0</v>
          </cell>
          <cell r="AR1839">
            <v>0</v>
          </cell>
          <cell r="AS1839">
            <v>0</v>
          </cell>
          <cell r="AU1839">
            <v>0.84</v>
          </cell>
          <cell r="AV1839">
            <v>20</v>
          </cell>
          <cell r="AZ1839">
            <v>0</v>
          </cell>
          <cell r="BA1839">
            <v>0</v>
          </cell>
        </row>
        <row r="1840">
          <cell r="A1840" t="str">
            <v>OLFA</v>
          </cell>
          <cell r="D1840" t="str">
            <v>VIA FILIPPO LIPPI, 5</v>
          </cell>
          <cell r="E1840" t="str">
            <v>73100</v>
          </cell>
          <cell r="F1840" t="str">
            <v>LECCE</v>
          </cell>
          <cell r="G1840" t="str">
            <v>LE</v>
          </cell>
          <cell r="H1840" t="str">
            <v>ITALIA</v>
          </cell>
          <cell r="M1840" t="str">
            <v>UFFICIO ACQUISTI</v>
          </cell>
          <cell r="N1840" t="str">
            <v>0832 346663</v>
          </cell>
          <cell r="O1840" t="str">
            <v>340 3581184</v>
          </cell>
          <cell r="P1840" t="str">
            <v>info@olfaserramenti.it</v>
          </cell>
          <cell r="R1840" t="str">
            <v>BONIFICO BANCARIO, ALLA DATA DELLA NOSTRA CONFERMA D'ORDINE</v>
          </cell>
          <cell r="X1840">
            <v>0.25</v>
          </cell>
          <cell r="Y1840">
            <v>-0.04</v>
          </cell>
          <cell r="AB1840">
            <v>0.25</v>
          </cell>
          <cell r="AC1840">
            <v>0.25</v>
          </cell>
          <cell r="AD1840">
            <v>0.25</v>
          </cell>
          <cell r="AE1840">
            <v>0.25</v>
          </cell>
          <cell r="AF1840">
            <v>0.25</v>
          </cell>
          <cell r="AG1840">
            <v>0.25</v>
          </cell>
          <cell r="AH1840">
            <v>0.25</v>
          </cell>
          <cell r="AI1840">
            <v>0.25</v>
          </cell>
          <cell r="AJ1840">
            <v>0.25</v>
          </cell>
          <cell r="AK1840">
            <v>0.25</v>
          </cell>
          <cell r="AL1840">
            <v>0.25</v>
          </cell>
          <cell r="AM1840">
            <v>0.25</v>
          </cell>
          <cell r="AN1840">
            <v>0.25</v>
          </cell>
          <cell r="AO1840">
            <v>0.25</v>
          </cell>
          <cell r="AP1840">
            <v>0.25</v>
          </cell>
          <cell r="AQ1840">
            <v>0.25</v>
          </cell>
          <cell r="AR1840">
            <v>0.25</v>
          </cell>
          <cell r="AS1840">
            <v>0.25</v>
          </cell>
          <cell r="AT1840">
            <v>-0.04</v>
          </cell>
          <cell r="AU1840">
            <v>0.92</v>
          </cell>
          <cell r="AV1840">
            <v>20</v>
          </cell>
          <cell r="AZ1840">
            <v>0.25</v>
          </cell>
          <cell r="BA1840">
            <v>0.25</v>
          </cell>
        </row>
        <row r="1841">
          <cell r="A1841" t="str">
            <v>OLIM SNC DI DI FRANCO G &amp; G</v>
          </cell>
          <cell r="D1841" t="str">
            <v>V.LE ROMA 232</v>
          </cell>
          <cell r="E1841" t="str">
            <v>00012</v>
          </cell>
          <cell r="F1841" t="str">
            <v>GUIDONA</v>
          </cell>
          <cell r="G1841" t="str">
            <v>RM</v>
          </cell>
          <cell r="H1841" t="str">
            <v>ITALIA</v>
          </cell>
          <cell r="J1841" t="str">
            <v>01617571003</v>
          </cell>
          <cell r="M1841" t="str">
            <v>UFFICIO ACQUISTI</v>
          </cell>
          <cell r="N1841" t="str">
            <v>0774 341659</v>
          </cell>
          <cell r="P1841" t="str">
            <v>oliminfissi@libero.it</v>
          </cell>
          <cell r="R1841" t="str">
            <v>BONIFICO BANCARIO, ALLA DATA DELLA NOSTRA CONFERMA D'ORDINE</v>
          </cell>
          <cell r="X1841">
            <v>0.25</v>
          </cell>
          <cell r="Y1841">
            <v>-0.04</v>
          </cell>
          <cell r="AB1841">
            <v>0.25</v>
          </cell>
          <cell r="AC1841">
            <v>0.25</v>
          </cell>
          <cell r="AD1841">
            <v>0.25</v>
          </cell>
          <cell r="AE1841">
            <v>0.25</v>
          </cell>
          <cell r="AF1841">
            <v>0.25</v>
          </cell>
          <cell r="AG1841">
            <v>0.25</v>
          </cell>
          <cell r="AH1841">
            <v>0.25</v>
          </cell>
          <cell r="AI1841">
            <v>0.25</v>
          </cell>
          <cell r="AJ1841">
            <v>0.25</v>
          </cell>
          <cell r="AK1841">
            <v>0.25</v>
          </cell>
          <cell r="AL1841">
            <v>0.25</v>
          </cell>
          <cell r="AM1841">
            <v>0.25</v>
          </cell>
          <cell r="AN1841">
            <v>0.25</v>
          </cell>
          <cell r="AO1841">
            <v>0.25</v>
          </cell>
          <cell r="AP1841">
            <v>0.25</v>
          </cell>
          <cell r="AQ1841">
            <v>0.25</v>
          </cell>
          <cell r="AR1841">
            <v>0.25</v>
          </cell>
          <cell r="AS1841">
            <v>0.25</v>
          </cell>
          <cell r="AT1841">
            <v>-0.04</v>
          </cell>
          <cell r="AU1841">
            <v>0.92</v>
          </cell>
          <cell r="AV1841">
            <v>20</v>
          </cell>
          <cell r="AY1841" t="str">
            <v/>
          </cell>
          <cell r="AZ1841">
            <v>0.25</v>
          </cell>
          <cell r="BA1841">
            <v>0.25</v>
          </cell>
        </row>
        <row r="1842">
          <cell r="A1842" t="str">
            <v>OLISISTEM SRL</v>
          </cell>
          <cell r="D1842" t="str">
            <v>VIA LONDRA, SNC</v>
          </cell>
          <cell r="E1842">
            <v>87064</v>
          </cell>
          <cell r="F1842" t="str">
            <v>CORIGLIANO CALABRO</v>
          </cell>
          <cell r="G1842" t="str">
            <v>CS</v>
          </cell>
          <cell r="H1842" t="str">
            <v>ITALIA</v>
          </cell>
          <cell r="J1842" t="str">
            <v>02991120789</v>
          </cell>
          <cell r="M1842" t="str">
            <v>UFFICIO ACQUISTI</v>
          </cell>
          <cell r="N1842" t="str">
            <v>0983 878998</v>
          </cell>
          <cell r="O1842" t="str">
            <v>339 3549654 VALERIO OLIVIERI</v>
          </cell>
          <cell r="P1842" t="str">
            <v>olisistesrl@libero.it</v>
          </cell>
          <cell r="R1842" t="str">
            <v>BONIFICO BANCARIO, ALLA DATA DELLA NOSTRA CONFERMA D'ORDINE</v>
          </cell>
          <cell r="X1842">
            <v>0.25</v>
          </cell>
          <cell r="Y1842">
            <v>-0.04</v>
          </cell>
          <cell r="AB1842">
            <v>0.25</v>
          </cell>
          <cell r="AC1842">
            <v>0.25</v>
          </cell>
          <cell r="AD1842">
            <v>0.25</v>
          </cell>
          <cell r="AE1842">
            <v>0.25</v>
          </cell>
          <cell r="AF1842">
            <v>0.25</v>
          </cell>
          <cell r="AG1842">
            <v>0.25</v>
          </cell>
          <cell r="AH1842">
            <v>0.25</v>
          </cell>
          <cell r="AI1842">
            <v>0.25</v>
          </cell>
          <cell r="AJ1842">
            <v>0.25</v>
          </cell>
          <cell r="AK1842">
            <v>0.25</v>
          </cell>
          <cell r="AL1842">
            <v>0.25</v>
          </cell>
          <cell r="AM1842">
            <v>0.25</v>
          </cell>
          <cell r="AN1842">
            <v>0.25</v>
          </cell>
          <cell r="AO1842">
            <v>0.25</v>
          </cell>
          <cell r="AP1842">
            <v>0.25</v>
          </cell>
          <cell r="AQ1842">
            <v>0.25</v>
          </cell>
          <cell r="AR1842">
            <v>0.25</v>
          </cell>
          <cell r="AS1842">
            <v>0.25</v>
          </cell>
          <cell r="AT1842">
            <v>-0.04</v>
          </cell>
          <cell r="AU1842">
            <v>0.92</v>
          </cell>
          <cell r="AV1842">
            <v>20</v>
          </cell>
          <cell r="AW1842" t="str">
            <v>PIETRO OLIVADOTI</v>
          </cell>
          <cell r="AX1842">
            <v>0.95</v>
          </cell>
          <cell r="AZ1842">
            <v>0.25</v>
          </cell>
          <cell r="BA1842">
            <v>0.25</v>
          </cell>
        </row>
        <row r="1843">
          <cell r="A1843" t="str">
            <v>OLMA SNC DI ROSCIANO CLAUDIO E ROSCIANO FEDERICO</v>
          </cell>
          <cell r="D1843" t="str">
            <v>VIA CASTELLETTI, 5</v>
          </cell>
          <cell r="E1843">
            <v>18018</v>
          </cell>
          <cell r="F1843" t="str">
            <v>ARMA DI TAGGIA</v>
          </cell>
          <cell r="G1843" t="str">
            <v>IM</v>
          </cell>
          <cell r="H1843" t="str">
            <v>ITALIA</v>
          </cell>
          <cell r="I1843" t="str">
            <v>00219820081</v>
          </cell>
          <cell r="J1843" t="str">
            <v>00219820081</v>
          </cell>
          <cell r="K1843" t="str">
            <v>M5UXCR1</v>
          </cell>
          <cell r="M1843" t="str">
            <v>UFFICIO ACQUISTI</v>
          </cell>
          <cell r="N1843" t="str">
            <v>0184 41522</v>
          </cell>
          <cell r="P1843" t="str">
            <v>olmadal1968@libero.it</v>
          </cell>
          <cell r="R1843" t="str">
            <v>BONIFICO BANCARIO, ALLA DATA DELLA NOSTRA CONFERMA D'ORDINE</v>
          </cell>
          <cell r="X1843">
            <v>0.25</v>
          </cell>
          <cell r="Y1843">
            <v>-0.04</v>
          </cell>
          <cell r="AB1843">
            <v>0.25</v>
          </cell>
          <cell r="AC1843">
            <v>0.25</v>
          </cell>
          <cell r="AD1843">
            <v>0.25</v>
          </cell>
          <cell r="AE1843">
            <v>0.25</v>
          </cell>
          <cell r="AF1843">
            <v>0.25</v>
          </cell>
          <cell r="AG1843">
            <v>0.25</v>
          </cell>
          <cell r="AH1843">
            <v>0.25</v>
          </cell>
          <cell r="AI1843">
            <v>0.25</v>
          </cell>
          <cell r="AJ1843">
            <v>0.25</v>
          </cell>
          <cell r="AK1843">
            <v>0.25</v>
          </cell>
          <cell r="AL1843">
            <v>0.25</v>
          </cell>
          <cell r="AM1843">
            <v>0.25</v>
          </cell>
          <cell r="AN1843">
            <v>0.25</v>
          </cell>
          <cell r="AO1843">
            <v>0.25</v>
          </cell>
          <cell r="AP1843">
            <v>0.25</v>
          </cell>
          <cell r="AQ1843">
            <v>0.25</v>
          </cell>
          <cell r="AR1843">
            <v>0.25</v>
          </cell>
          <cell r="AS1843">
            <v>0.25</v>
          </cell>
          <cell r="AT1843">
            <v>-0.04</v>
          </cell>
          <cell r="AU1843">
            <v>0.92</v>
          </cell>
          <cell r="AV1843">
            <v>20</v>
          </cell>
          <cell r="AY1843" t="str">
            <v/>
          </cell>
          <cell r="AZ1843">
            <v>0.25</v>
          </cell>
          <cell r="BA1843">
            <v>0.25</v>
          </cell>
          <cell r="BF1843" t="str">
            <v>CLICK RAPID con carpenteria 01/02/2021</v>
          </cell>
        </row>
        <row r="1844">
          <cell r="A1844" t="str">
            <v>OMAS DI SIGNORATI ARMANDO SRL</v>
          </cell>
          <cell r="D1844" t="str">
            <v>VIA ABETONE, 19</v>
          </cell>
          <cell r="E1844">
            <v>38068</v>
          </cell>
          <cell r="F1844" t="str">
            <v>ROVERETO</v>
          </cell>
          <cell r="G1844" t="str">
            <v>TN</v>
          </cell>
          <cell r="H1844" t="str">
            <v>ITALIA</v>
          </cell>
          <cell r="J1844" t="str">
            <v>01423930229</v>
          </cell>
          <cell r="K1844" t="str">
            <v>KRRH6B9</v>
          </cell>
          <cell r="M1844" t="str">
            <v>UFFICIO ACQUISTI</v>
          </cell>
          <cell r="N1844" t="str">
            <v>0464 420726</v>
          </cell>
          <cell r="P1844" t="str">
            <v>info@omasserramenti.it</v>
          </cell>
          <cell r="R1844" t="str">
            <v>BONIFICO BANCARIO, ALLA DATA DELLA NOSTRA CONFERMA D'ORDINE</v>
          </cell>
          <cell r="X1844">
            <v>0.25</v>
          </cell>
          <cell r="Y1844">
            <v>-0.04</v>
          </cell>
          <cell r="AB1844">
            <v>0.25</v>
          </cell>
          <cell r="AC1844">
            <v>0.25</v>
          </cell>
          <cell r="AD1844">
            <v>0.25</v>
          </cell>
          <cell r="AE1844">
            <v>0.25</v>
          </cell>
          <cell r="AF1844">
            <v>0.25</v>
          </cell>
          <cell r="AG1844">
            <v>0.25</v>
          </cell>
          <cell r="AH1844">
            <v>0.25</v>
          </cell>
          <cell r="AI1844">
            <v>0.25</v>
          </cell>
          <cell r="AJ1844">
            <v>0.25</v>
          </cell>
          <cell r="AK1844">
            <v>0.25</v>
          </cell>
          <cell r="AL1844">
            <v>0.25</v>
          </cell>
          <cell r="AM1844">
            <v>0.25</v>
          </cell>
          <cell r="AN1844">
            <v>0.25</v>
          </cell>
          <cell r="AO1844">
            <v>0.25</v>
          </cell>
          <cell r="AP1844">
            <v>0.25</v>
          </cell>
          <cell r="AQ1844">
            <v>0.25</v>
          </cell>
          <cell r="AR1844">
            <v>0.25</v>
          </cell>
          <cell r="AS1844">
            <v>0.25</v>
          </cell>
          <cell r="AT1844">
            <v>-0.04</v>
          </cell>
          <cell r="AU1844">
            <v>0.92</v>
          </cell>
          <cell r="AV1844">
            <v>20</v>
          </cell>
          <cell r="AY1844" t="str">
            <v/>
          </cell>
          <cell r="AZ1844">
            <v>0.25</v>
          </cell>
          <cell r="BA1844">
            <v>0.25</v>
          </cell>
          <cell r="BF1844" t="str">
            <v>CLICK RAPID con carpenteria 19/04/2021</v>
          </cell>
        </row>
        <row r="1845">
          <cell r="A1845" t="str">
            <v>OMNIA</v>
          </cell>
          <cell r="D1845" t="str">
            <v>VIA NAZARIO SAURO 131</v>
          </cell>
          <cell r="F1845" t="str">
            <v>CASCINA</v>
          </cell>
          <cell r="G1845" t="str">
            <v>PI</v>
          </cell>
          <cell r="H1845" t="str">
            <v>ITALIA</v>
          </cell>
          <cell r="M1845" t="str">
            <v>UFFICIO ACQUISTI</v>
          </cell>
          <cell r="N1845" t="str">
            <v>050 741601</v>
          </cell>
          <cell r="P1845" t="str">
            <v>f.ciampi@omniaserramenti.com</v>
          </cell>
          <cell r="R1845" t="str">
            <v>BONIFICO BANCARIO, ALLA DATA DELLA NOSTRA CONFERMA D'ORDINE</v>
          </cell>
          <cell r="X1845">
            <v>0.25</v>
          </cell>
          <cell r="Y1845">
            <v>-0.04</v>
          </cell>
          <cell r="AB1845">
            <v>0.25</v>
          </cell>
          <cell r="AC1845">
            <v>0.25</v>
          </cell>
          <cell r="AD1845">
            <v>0.25</v>
          </cell>
          <cell r="AE1845">
            <v>0.25</v>
          </cell>
          <cell r="AF1845">
            <v>0.25</v>
          </cell>
          <cell r="AG1845">
            <v>0.25</v>
          </cell>
          <cell r="AH1845">
            <v>0.25</v>
          </cell>
          <cell r="AI1845">
            <v>0.25</v>
          </cell>
          <cell r="AJ1845">
            <v>0.25</v>
          </cell>
          <cell r="AK1845">
            <v>0.25</v>
          </cell>
          <cell r="AL1845">
            <v>0.25</v>
          </cell>
          <cell r="AM1845">
            <v>0.25</v>
          </cell>
          <cell r="AN1845">
            <v>0.25</v>
          </cell>
          <cell r="AO1845">
            <v>0.25</v>
          </cell>
          <cell r="AP1845">
            <v>0.25</v>
          </cell>
          <cell r="AQ1845">
            <v>0.25</v>
          </cell>
          <cell r="AR1845">
            <v>0.25</v>
          </cell>
          <cell r="AS1845">
            <v>0.25</v>
          </cell>
          <cell r="AT1845">
            <v>-0.04</v>
          </cell>
          <cell r="AU1845">
            <v>0.92</v>
          </cell>
          <cell r="AV1845">
            <v>20</v>
          </cell>
          <cell r="AY1845" t="str">
            <v/>
          </cell>
          <cell r="AZ1845">
            <v>0.25</v>
          </cell>
          <cell r="BA1845">
            <v>0.25</v>
          </cell>
        </row>
        <row r="1846">
          <cell r="A1846" t="str">
            <v>ONORATI FABIO</v>
          </cell>
          <cell r="B1846" t="str">
            <v>SOLO BIGLIETTO DA VISITA</v>
          </cell>
          <cell r="D1846" t="str">
            <v>VIA FLEMING, 12  LOC.TERRE E FORRU</v>
          </cell>
          <cell r="E1846" t="str">
            <v>09047</v>
          </cell>
          <cell r="F1846" t="str">
            <v>SELARGIUS</v>
          </cell>
          <cell r="G1846" t="str">
            <v>CA</v>
          </cell>
          <cell r="H1846" t="str">
            <v>ITALIA</v>
          </cell>
          <cell r="M1846" t="str">
            <v>UFFICIO ACQUISTI</v>
          </cell>
          <cell r="O1846" t="str">
            <v>338 2450163</v>
          </cell>
          <cell r="P1846" t="str">
            <v>fabio.serramenti@libero.it</v>
          </cell>
          <cell r="R1846" t="str">
            <v>BONIFICO BANCARIO, ALLA DATA DELLA NOSTRA CONFERMA D'ORDINE</v>
          </cell>
          <cell r="X1846">
            <v>0.25</v>
          </cell>
          <cell r="Y1846">
            <v>-0.04</v>
          </cell>
          <cell r="AB1846">
            <v>0.25</v>
          </cell>
          <cell r="AC1846">
            <v>0.25</v>
          </cell>
          <cell r="AD1846">
            <v>0.25</v>
          </cell>
          <cell r="AE1846">
            <v>0.25</v>
          </cell>
          <cell r="AF1846">
            <v>0.25</v>
          </cell>
          <cell r="AG1846">
            <v>0.25</v>
          </cell>
          <cell r="AH1846">
            <v>0.25</v>
          </cell>
          <cell r="AI1846">
            <v>0.25</v>
          </cell>
          <cell r="AJ1846">
            <v>0.25</v>
          </cell>
          <cell r="AK1846">
            <v>0.25</v>
          </cell>
          <cell r="AL1846">
            <v>0.25</v>
          </cell>
          <cell r="AM1846">
            <v>0.25</v>
          </cell>
          <cell r="AN1846">
            <v>0.25</v>
          </cell>
          <cell r="AO1846">
            <v>0.25</v>
          </cell>
          <cell r="AP1846">
            <v>0.25</v>
          </cell>
          <cell r="AQ1846">
            <v>0.25</v>
          </cell>
          <cell r="AR1846">
            <v>0.25</v>
          </cell>
          <cell r="AS1846">
            <v>0.25</v>
          </cell>
          <cell r="AT1846">
            <v>-0.04</v>
          </cell>
          <cell r="AU1846">
            <v>0.92</v>
          </cell>
          <cell r="AV1846">
            <v>20</v>
          </cell>
          <cell r="AZ1846">
            <v>0.25</v>
          </cell>
          <cell r="BA1846">
            <v>0.25</v>
          </cell>
        </row>
        <row r="1847">
          <cell r="A1847" t="str">
            <v>OOPEN INFISSI E DESIGN</v>
          </cell>
          <cell r="B1847" t="str">
            <v>IVANO TAORMINA PROMOTORE - NOVEMBRE 2022 VISITA DI MARCO</v>
          </cell>
          <cell r="D1847" t="str">
            <v>CORSO GENERALE DEI MEDICI, 107</v>
          </cell>
          <cell r="E1847" t="str">
            <v>91011</v>
          </cell>
          <cell r="F1847" t="str">
            <v>ALCAMO</v>
          </cell>
          <cell r="G1847" t="str">
            <v>TP</v>
          </cell>
          <cell r="H1847" t="str">
            <v>ITALIA</v>
          </cell>
          <cell r="J1847" t="str">
            <v>02469700815</v>
          </cell>
          <cell r="M1847" t="str">
            <v>UFFICIO ACQUISTI</v>
          </cell>
          <cell r="N1847" t="str">
            <v>0924 504796</v>
          </cell>
          <cell r="O1847" t="str">
            <v>339 8365622</v>
          </cell>
          <cell r="P1847" t="str">
            <v>info@oopen.it - leonardo.asta@oopen.it</v>
          </cell>
          <cell r="R1847" t="str">
            <v>BONIFICO BANCARIO, ALLA DATA DELLA NOSTRA CONFERMA D'ORDINE</v>
          </cell>
          <cell r="X1847">
            <v>0.25</v>
          </cell>
          <cell r="Y1847">
            <v>-0.04</v>
          </cell>
          <cell r="AB1847">
            <v>0.25</v>
          </cell>
          <cell r="AC1847">
            <v>0.25</v>
          </cell>
          <cell r="AD1847">
            <v>0.25</v>
          </cell>
          <cell r="AE1847">
            <v>0.25</v>
          </cell>
          <cell r="AF1847">
            <v>0.25</v>
          </cell>
          <cell r="AG1847">
            <v>0.25</v>
          </cell>
          <cell r="AH1847">
            <v>0.25</v>
          </cell>
          <cell r="AI1847">
            <v>0.25</v>
          </cell>
          <cell r="AJ1847">
            <v>0.25</v>
          </cell>
          <cell r="AK1847">
            <v>0.25</v>
          </cell>
          <cell r="AL1847">
            <v>0.25</v>
          </cell>
          <cell r="AM1847">
            <v>0.25</v>
          </cell>
          <cell r="AN1847">
            <v>0.25</v>
          </cell>
          <cell r="AO1847">
            <v>0.25</v>
          </cell>
          <cell r="AP1847">
            <v>0.25</v>
          </cell>
          <cell r="AQ1847">
            <v>0.25</v>
          </cell>
          <cell r="AR1847">
            <v>0.25</v>
          </cell>
          <cell r="AS1847">
            <v>0.25</v>
          </cell>
          <cell r="AT1847">
            <v>-0.04</v>
          </cell>
          <cell r="AU1847">
            <v>0.92</v>
          </cell>
          <cell r="AV1847">
            <v>20</v>
          </cell>
          <cell r="AY1847" t="str">
            <v/>
          </cell>
          <cell r="AZ1847">
            <v>0.25</v>
          </cell>
          <cell r="BA1847">
            <v>0.25</v>
          </cell>
        </row>
        <row r="1848">
          <cell r="A1848" t="str">
            <v>OPEN DI DI GIAMPAOLO COCCODA</v>
          </cell>
          <cell r="D1848" t="str">
            <v>VIA BIASI, 117</v>
          </cell>
          <cell r="E1848" t="str">
            <v>08100</v>
          </cell>
          <cell r="F1848" t="str">
            <v>NUORO</v>
          </cell>
          <cell r="G1848" t="str">
            <v>NU</v>
          </cell>
          <cell r="H1848" t="str">
            <v>ITALIA</v>
          </cell>
          <cell r="M1848" t="str">
            <v>UFFICIO ACQUISTI</v>
          </cell>
          <cell r="N1848" t="str">
            <v>0784 204110</v>
          </cell>
          <cell r="P1848" t="str">
            <v>info@openinfissi.it</v>
          </cell>
          <cell r="R1848" t="str">
            <v>BONIFICO BANCARIO, ALLA DATA DELLA NOSTRA CONFERMA D'ORDINE</v>
          </cell>
          <cell r="X1848">
            <v>0.2</v>
          </cell>
          <cell r="Y1848">
            <v>-0.04</v>
          </cell>
          <cell r="AB1848">
            <v>0.2</v>
          </cell>
          <cell r="AC1848">
            <v>0.2</v>
          </cell>
          <cell r="AD1848">
            <v>0.2</v>
          </cell>
          <cell r="AE1848">
            <v>0.2</v>
          </cell>
          <cell r="AF1848">
            <v>0.2</v>
          </cell>
          <cell r="AG1848">
            <v>0.2</v>
          </cell>
          <cell r="AH1848">
            <v>0.2</v>
          </cell>
          <cell r="AI1848">
            <v>0.2</v>
          </cell>
          <cell r="AJ1848">
            <v>0.2</v>
          </cell>
          <cell r="AK1848">
            <v>0.2</v>
          </cell>
          <cell r="AL1848">
            <v>0.2</v>
          </cell>
          <cell r="AM1848">
            <v>0.2</v>
          </cell>
          <cell r="AN1848">
            <v>0.2</v>
          </cell>
          <cell r="AO1848">
            <v>0.2</v>
          </cell>
          <cell r="AP1848">
            <v>0.2</v>
          </cell>
          <cell r="AQ1848">
            <v>0.2</v>
          </cell>
          <cell r="AR1848">
            <v>0.2</v>
          </cell>
          <cell r="AS1848">
            <v>0.2</v>
          </cell>
          <cell r="AT1848">
            <v>-0.04</v>
          </cell>
          <cell r="AU1848">
            <v>0.92</v>
          </cell>
          <cell r="AV1848">
            <v>20</v>
          </cell>
          <cell r="AZ1848">
            <v>0.2</v>
          </cell>
          <cell r="BA1848">
            <v>0.2</v>
          </cell>
        </row>
        <row r="1849">
          <cell r="A1849" t="str">
            <v>OPEN DOOR</v>
          </cell>
          <cell r="B1849" t="str">
            <v xml:space="preserve">SIG. GIUSEPPE ( COMMERCIALE)  ; LO PRESTI ANTONIO ( RESPONSABILE TITOLARE)  </v>
          </cell>
          <cell r="D1849" t="str">
            <v>VIA G.FAVA, 25</v>
          </cell>
          <cell r="E1849">
            <v>94100</v>
          </cell>
          <cell r="F1849" t="str">
            <v>ENNA</v>
          </cell>
          <cell r="G1849" t="str">
            <v>EN</v>
          </cell>
          <cell r="H1849" t="str">
            <v>ITALIA</v>
          </cell>
          <cell r="M1849" t="str">
            <v>UFFICIO ACQUISTI</v>
          </cell>
          <cell r="N1849" t="str">
            <v>09 35531731</v>
          </cell>
          <cell r="O1849" t="str">
            <v>348 7311929</v>
          </cell>
          <cell r="P1849" t="str">
            <v>antoninolop@tiscali.it</v>
          </cell>
          <cell r="R1849" t="str">
            <v>BONIFICO BANCARIO, ALLA DATA DELLA NOSTRA CONFERMA D'ORDINE</v>
          </cell>
          <cell r="X1849">
            <v>0.25</v>
          </cell>
          <cell r="Y1849">
            <v>-0.04</v>
          </cell>
          <cell r="AB1849">
            <v>0.25</v>
          </cell>
          <cell r="AC1849">
            <v>0.25</v>
          </cell>
          <cell r="AD1849">
            <v>0.25</v>
          </cell>
          <cell r="AE1849">
            <v>0.25</v>
          </cell>
          <cell r="AF1849">
            <v>0.25</v>
          </cell>
          <cell r="AG1849">
            <v>0.25</v>
          </cell>
          <cell r="AH1849">
            <v>0.25</v>
          </cell>
          <cell r="AI1849">
            <v>0.25</v>
          </cell>
          <cell r="AJ1849">
            <v>0.25</v>
          </cell>
          <cell r="AK1849">
            <v>0.25</v>
          </cell>
          <cell r="AL1849">
            <v>0.25</v>
          </cell>
          <cell r="AM1849">
            <v>0.25</v>
          </cell>
          <cell r="AN1849">
            <v>0.25</v>
          </cell>
          <cell r="AO1849">
            <v>0.25</v>
          </cell>
          <cell r="AP1849">
            <v>0.25</v>
          </cell>
          <cell r="AQ1849">
            <v>0.25</v>
          </cell>
          <cell r="AR1849">
            <v>0.25</v>
          </cell>
          <cell r="AS1849">
            <v>0.25</v>
          </cell>
          <cell r="AT1849">
            <v>-0.04</v>
          </cell>
          <cell r="AU1849">
            <v>0.92</v>
          </cell>
          <cell r="AV1849">
            <v>20</v>
          </cell>
          <cell r="AZ1849">
            <v>0.25</v>
          </cell>
          <cell r="BA1849">
            <v>0.25</v>
          </cell>
        </row>
        <row r="1850">
          <cell r="A1850" t="str">
            <v>OPENABS  SNC DI A. BRASINI &amp; G.MELICIANI</v>
          </cell>
          <cell r="D1850" t="str">
            <v>VIA SAMUEL MORSE, 44</v>
          </cell>
          <cell r="E1850">
            <v>52100</v>
          </cell>
          <cell r="F1850" t="str">
            <v>AREZZO</v>
          </cell>
          <cell r="G1850" t="str">
            <v>AR</v>
          </cell>
          <cell r="H1850" t="str">
            <v>ITALIA</v>
          </cell>
          <cell r="J1850" t="str">
            <v>01675880510</v>
          </cell>
          <cell r="M1850" t="str">
            <v>UFFICIO ACQUISTI</v>
          </cell>
          <cell r="N1850" t="str">
            <v>0575 901381</v>
          </cell>
          <cell r="P1850" t="str">
            <v>info@openabs.it</v>
          </cell>
          <cell r="R1850" t="str">
            <v>BONIFICO BANCARIO, ALLA DATA DELLA NOSTRA CONFERMA D'ORDINE</v>
          </cell>
          <cell r="X1850">
            <v>0.25</v>
          </cell>
          <cell r="Y1850">
            <v>-0.04</v>
          </cell>
          <cell r="AB1850">
            <v>0.25</v>
          </cell>
          <cell r="AC1850">
            <v>0.25</v>
          </cell>
          <cell r="AD1850">
            <v>0.25</v>
          </cell>
          <cell r="AE1850">
            <v>0.25</v>
          </cell>
          <cell r="AF1850">
            <v>0.25</v>
          </cell>
          <cell r="AG1850">
            <v>0.25</v>
          </cell>
          <cell r="AH1850">
            <v>0.25</v>
          </cell>
          <cell r="AI1850">
            <v>0.25</v>
          </cell>
          <cell r="AJ1850">
            <v>0.25</v>
          </cell>
          <cell r="AK1850">
            <v>0.25</v>
          </cell>
          <cell r="AL1850">
            <v>0.25</v>
          </cell>
          <cell r="AM1850">
            <v>0.25</v>
          </cell>
          <cell r="AN1850">
            <v>0.25</v>
          </cell>
          <cell r="AO1850">
            <v>0.25</v>
          </cell>
          <cell r="AP1850">
            <v>0.25</v>
          </cell>
          <cell r="AQ1850">
            <v>0.25</v>
          </cell>
          <cell r="AR1850">
            <v>0.25</v>
          </cell>
          <cell r="AS1850">
            <v>0.25</v>
          </cell>
          <cell r="AT1850">
            <v>-0.04</v>
          </cell>
          <cell r="AU1850">
            <v>0.92</v>
          </cell>
          <cell r="AV1850">
            <v>20</v>
          </cell>
          <cell r="AY1850" t="str">
            <v/>
          </cell>
          <cell r="AZ1850">
            <v>0.25</v>
          </cell>
          <cell r="BA1850">
            <v>0.25</v>
          </cell>
        </row>
        <row r="1851">
          <cell r="A1851" t="str">
            <v>OPENDOORSTYLE DI FRANCESCA CREMONA</v>
          </cell>
          <cell r="D1851" t="str">
            <v>VIA LEONARDO DA VINCI, 166</v>
          </cell>
          <cell r="E1851">
            <v>17021</v>
          </cell>
          <cell r="F1851" t="str">
            <v>ALASSO</v>
          </cell>
          <cell r="G1851" t="str">
            <v>SV</v>
          </cell>
          <cell r="H1851" t="str">
            <v>ITALIA</v>
          </cell>
          <cell r="I1851" t="str">
            <v>CRMFNC73H59L013U</v>
          </cell>
          <cell r="J1851" t="str">
            <v>01732150097</v>
          </cell>
          <cell r="K1851" t="str">
            <v>M5UXCR1</v>
          </cell>
          <cell r="M1851" t="str">
            <v>UFFICIO ACQUISTI</v>
          </cell>
          <cell r="N1851" t="str">
            <v>0182 640297</v>
          </cell>
          <cell r="O1851" t="str">
            <v>327 2970904 - 388 1918121</v>
          </cell>
          <cell r="P1851" t="str">
            <v>francescacremona@gmail.com</v>
          </cell>
          <cell r="R1851" t="str">
            <v>BONIFICO BANCARIO, ALLA DATA DELLA NOSTRA CONFERMA D'ORDINE</v>
          </cell>
          <cell r="X1851">
            <v>0.25</v>
          </cell>
          <cell r="Y1851">
            <v>-0.04</v>
          </cell>
          <cell r="AB1851">
            <v>0.25</v>
          </cell>
          <cell r="AC1851">
            <v>0.25</v>
          </cell>
          <cell r="AD1851">
            <v>0.25</v>
          </cell>
          <cell r="AE1851">
            <v>0.25</v>
          </cell>
          <cell r="AF1851">
            <v>0.25</v>
          </cell>
          <cell r="AG1851">
            <v>0.25</v>
          </cell>
          <cell r="AH1851">
            <v>0.25</v>
          </cell>
          <cell r="AI1851">
            <v>0.25</v>
          </cell>
          <cell r="AJ1851">
            <v>0.25</v>
          </cell>
          <cell r="AK1851">
            <v>0.25</v>
          </cell>
          <cell r="AL1851">
            <v>0.25</v>
          </cell>
          <cell r="AM1851">
            <v>0.25</v>
          </cell>
          <cell r="AN1851">
            <v>0.25</v>
          </cell>
          <cell r="AO1851">
            <v>0.25</v>
          </cell>
          <cell r="AP1851">
            <v>0.25</v>
          </cell>
          <cell r="AQ1851">
            <v>0.25</v>
          </cell>
          <cell r="AR1851">
            <v>0.25</v>
          </cell>
          <cell r="AS1851">
            <v>0.25</v>
          </cell>
          <cell r="AT1851">
            <v>-0.04</v>
          </cell>
          <cell r="AU1851">
            <v>0.92</v>
          </cell>
          <cell r="AV1851">
            <v>20</v>
          </cell>
          <cell r="AY1851" t="str">
            <v/>
          </cell>
          <cell r="AZ1851">
            <v>0.25</v>
          </cell>
          <cell r="BA1851">
            <v>0.25</v>
          </cell>
        </row>
        <row r="1852">
          <cell r="A1852" t="str">
            <v>OPERA METAL DI CANNATA ALESSANDRO</v>
          </cell>
          <cell r="D1852" t="str">
            <v>VIA BOSCONE, 4</v>
          </cell>
          <cell r="E1852" t="str">
            <v>22077</v>
          </cell>
          <cell r="F1852" t="str">
            <v>OLGIATE COMASCO</v>
          </cell>
          <cell r="G1852" t="str">
            <v>CO</v>
          </cell>
          <cell r="H1852" t="str">
            <v>ITALIA</v>
          </cell>
          <cell r="I1852" t="str">
            <v>CNNLSN78S08C933H</v>
          </cell>
          <cell r="J1852" t="str">
            <v>03942530134</v>
          </cell>
          <cell r="K1852" t="str">
            <v>M5UXCR1</v>
          </cell>
          <cell r="M1852" t="str">
            <v>UFFICIO ACQUISTI</v>
          </cell>
          <cell r="O1852" t="str">
            <v>331 7727944</v>
          </cell>
          <cell r="P1852" t="str">
            <v>info@operametal.it</v>
          </cell>
          <cell r="R1852" t="str">
            <v>BONIFICO BANCARIO, ALLA DATA DELLA NOSTRA CONFERMA D'ORDINE</v>
          </cell>
          <cell r="X1852">
            <v>0.2</v>
          </cell>
          <cell r="Y1852">
            <v>-0.04</v>
          </cell>
          <cell r="AB1852">
            <v>0.2</v>
          </cell>
          <cell r="AC1852">
            <v>0.2</v>
          </cell>
          <cell r="AD1852">
            <v>0.2</v>
          </cell>
          <cell r="AE1852">
            <v>0.2</v>
          </cell>
          <cell r="AF1852">
            <v>0.2</v>
          </cell>
          <cell r="AG1852">
            <v>0.2</v>
          </cell>
          <cell r="AH1852">
            <v>0.2</v>
          </cell>
          <cell r="AI1852">
            <v>0.2</v>
          </cell>
          <cell r="AJ1852">
            <v>0.2</v>
          </cell>
          <cell r="AK1852">
            <v>0.2</v>
          </cell>
          <cell r="AL1852">
            <v>0.2</v>
          </cell>
          <cell r="AM1852">
            <v>0.2</v>
          </cell>
          <cell r="AN1852">
            <v>0.2</v>
          </cell>
          <cell r="AO1852">
            <v>0.2</v>
          </cell>
          <cell r="AP1852">
            <v>0.2</v>
          </cell>
          <cell r="AQ1852">
            <v>0.2</v>
          </cell>
          <cell r="AR1852">
            <v>0.2</v>
          </cell>
          <cell r="AS1852">
            <v>0.2</v>
          </cell>
          <cell r="AT1852">
            <v>-0.04</v>
          </cell>
          <cell r="AU1852">
            <v>0.92</v>
          </cell>
          <cell r="AV1852">
            <v>20</v>
          </cell>
          <cell r="AZ1852">
            <v>0.2</v>
          </cell>
          <cell r="BA1852">
            <v>0.2</v>
          </cell>
        </row>
        <row r="1853">
          <cell r="A1853" t="str">
            <v>ORA SERRAMENTI</v>
          </cell>
          <cell r="D1853" t="str">
            <v>VIA PELUSIA, 304</v>
          </cell>
          <cell r="E1853" t="str">
            <v>41122</v>
          </cell>
          <cell r="F1853" t="str">
            <v>MODENA</v>
          </cell>
          <cell r="G1853" t="str">
            <v>MO</v>
          </cell>
          <cell r="H1853" t="str">
            <v>ITALIA</v>
          </cell>
          <cell r="I1853" t="str">
            <v>RLNNNN70S03H7929D</v>
          </cell>
          <cell r="J1853" t="str">
            <v>03341590366</v>
          </cell>
          <cell r="M1853" t="str">
            <v>UFFICIO ACQUISTI</v>
          </cell>
          <cell r="N1853" t="str">
            <v>059 283421</v>
          </cell>
          <cell r="P1853" t="str">
            <v>info@oraserramenti.it</v>
          </cell>
          <cell r="R1853" t="str">
            <v>BONIFICO BANCARIO, ALLA DATA DELLA NOSTRA CONFERMA D'ORDINE</v>
          </cell>
          <cell r="X1853">
            <v>0.2</v>
          </cell>
          <cell r="Y1853">
            <v>-0.04</v>
          </cell>
          <cell r="AB1853">
            <v>0.2</v>
          </cell>
          <cell r="AC1853">
            <v>0.2</v>
          </cell>
          <cell r="AD1853">
            <v>0.2</v>
          </cell>
          <cell r="AE1853">
            <v>0.2</v>
          </cell>
          <cell r="AF1853">
            <v>0.2</v>
          </cell>
          <cell r="AG1853">
            <v>0.2</v>
          </cell>
          <cell r="AH1853">
            <v>0.2</v>
          </cell>
          <cell r="AI1853">
            <v>0.2</v>
          </cell>
          <cell r="AJ1853">
            <v>0.2</v>
          </cell>
          <cell r="AK1853">
            <v>0.2</v>
          </cell>
          <cell r="AL1853">
            <v>0.2</v>
          </cell>
          <cell r="AM1853">
            <v>0.2</v>
          </cell>
          <cell r="AN1853">
            <v>0.2</v>
          </cell>
          <cell r="AO1853">
            <v>0.2</v>
          </cell>
          <cell r="AP1853">
            <v>0.2</v>
          </cell>
          <cell r="AQ1853">
            <v>0.2</v>
          </cell>
          <cell r="AR1853">
            <v>0.2</v>
          </cell>
          <cell r="AS1853">
            <v>0.2</v>
          </cell>
          <cell r="AT1853">
            <v>-0.04</v>
          </cell>
          <cell r="AU1853">
            <v>0.92</v>
          </cell>
          <cell r="AV1853">
            <v>20</v>
          </cell>
          <cell r="AZ1853">
            <v>0.2</v>
          </cell>
          <cell r="BA1853">
            <v>0.2</v>
          </cell>
        </row>
        <row r="1854">
          <cell r="A1854" t="str">
            <v>ORI &amp; BONETTI INFISSI IN LEGNO SRL</v>
          </cell>
          <cell r="D1854" t="str">
            <v>VIA OGLIO, 4</v>
          </cell>
          <cell r="E1854">
            <v>26030</v>
          </cell>
          <cell r="F1854" t="str">
            <v>CICOGNOLO</v>
          </cell>
          <cell r="G1854" t="str">
            <v>CR</v>
          </cell>
          <cell r="H1854" t="str">
            <v>ITALIA</v>
          </cell>
          <cell r="J1854" t="str">
            <v>00102440195</v>
          </cell>
          <cell r="M1854" t="str">
            <v>UFFICIO ACQUISTI</v>
          </cell>
          <cell r="N1854" t="str">
            <v>0372 835934</v>
          </cell>
          <cell r="O1854" t="str">
            <v>Stefano Ori 348 5135150</v>
          </cell>
          <cell r="P1854" t="str">
            <v>info@oribonetti.it</v>
          </cell>
          <cell r="R1854" t="str">
            <v>BONIFICO BANCARIO, ALLA DATA DELLA NOSTRA CONFERMA D'ORDINE</v>
          </cell>
          <cell r="X1854">
            <v>0.25</v>
          </cell>
          <cell r="Y1854">
            <v>-0.04</v>
          </cell>
          <cell r="AB1854">
            <v>0.25</v>
          </cell>
          <cell r="AC1854">
            <v>0.25</v>
          </cell>
          <cell r="AD1854">
            <v>0.25</v>
          </cell>
          <cell r="AE1854">
            <v>0.25</v>
          </cell>
          <cell r="AF1854">
            <v>0.25</v>
          </cell>
          <cell r="AG1854">
            <v>0.25</v>
          </cell>
          <cell r="AH1854">
            <v>0.25</v>
          </cell>
          <cell r="AI1854">
            <v>0.25</v>
          </cell>
          <cell r="AJ1854">
            <v>0.25</v>
          </cell>
          <cell r="AK1854">
            <v>0.25</v>
          </cell>
          <cell r="AL1854">
            <v>0.25</v>
          </cell>
          <cell r="AM1854">
            <v>0.25</v>
          </cell>
          <cell r="AN1854">
            <v>0.25</v>
          </cell>
          <cell r="AO1854">
            <v>0.25</v>
          </cell>
          <cell r="AP1854">
            <v>0.25</v>
          </cell>
          <cell r="AQ1854">
            <v>0.25</v>
          </cell>
          <cell r="AR1854">
            <v>0.25</v>
          </cell>
          <cell r="AS1854">
            <v>0.25</v>
          </cell>
          <cell r="AT1854">
            <v>-0.04</v>
          </cell>
          <cell r="AU1854">
            <v>0.92</v>
          </cell>
          <cell r="AV1854">
            <v>20</v>
          </cell>
          <cell r="AY1854" t="str">
            <v/>
          </cell>
          <cell r="AZ1854">
            <v>0.25</v>
          </cell>
          <cell r="BA1854">
            <v>0.25</v>
          </cell>
        </row>
        <row r="1855">
          <cell r="A1855" t="str">
            <v>ORLANDO S.A.S. DI ORLANDO LUIGI E C.</v>
          </cell>
          <cell r="D1855" t="str">
            <v>VIA VALLEAMBROSIA, 67</v>
          </cell>
          <cell r="E1855">
            <v>20089</v>
          </cell>
          <cell r="F1855" t="str">
            <v>ROZZANO</v>
          </cell>
          <cell r="G1855" t="str">
            <v>MI</v>
          </cell>
          <cell r="H1855" t="str">
            <v>ITALIA</v>
          </cell>
          <cell r="M1855" t="str">
            <v>UFFICIO ACQUISTI</v>
          </cell>
          <cell r="N1855" t="str">
            <v>02 57515856</v>
          </cell>
          <cell r="O1855" t="str">
            <v>338 5207303</v>
          </cell>
          <cell r="P1855" t="str">
            <v>orlandoluigi.sas@gmail.com</v>
          </cell>
          <cell r="R1855" t="str">
            <v>BONIFICO BANCARIO, ALLA DATA DELLA NOSTRA CONFERMA D'ORDINE</v>
          </cell>
          <cell r="X1855">
            <v>0.25</v>
          </cell>
          <cell r="Y1855">
            <v>-0.04</v>
          </cell>
          <cell r="AB1855">
            <v>0.25</v>
          </cell>
          <cell r="AC1855">
            <v>0.25</v>
          </cell>
          <cell r="AD1855">
            <v>0.25</v>
          </cell>
          <cell r="AE1855">
            <v>0.25</v>
          </cell>
          <cell r="AF1855">
            <v>0.25</v>
          </cell>
          <cell r="AG1855">
            <v>0.25</v>
          </cell>
          <cell r="AH1855">
            <v>0.25</v>
          </cell>
          <cell r="AI1855">
            <v>0.25</v>
          </cell>
          <cell r="AJ1855">
            <v>0.25</v>
          </cell>
          <cell r="AK1855">
            <v>0.25</v>
          </cell>
          <cell r="AL1855">
            <v>0.25</v>
          </cell>
          <cell r="AM1855">
            <v>0.25</v>
          </cell>
          <cell r="AN1855">
            <v>0.25</v>
          </cell>
          <cell r="AO1855">
            <v>0.25</v>
          </cell>
          <cell r="AP1855">
            <v>0.25</v>
          </cell>
          <cell r="AQ1855">
            <v>0.25</v>
          </cell>
          <cell r="AR1855">
            <v>0.25</v>
          </cell>
          <cell r="AS1855">
            <v>0.25</v>
          </cell>
          <cell r="AT1855">
            <v>-0.04</v>
          </cell>
          <cell r="AU1855">
            <v>0.92</v>
          </cell>
          <cell r="AV1855">
            <v>20</v>
          </cell>
          <cell r="AY1855" t="str">
            <v/>
          </cell>
          <cell r="AZ1855">
            <v>0.25</v>
          </cell>
          <cell r="BA1855">
            <v>0.25</v>
          </cell>
        </row>
        <row r="1856">
          <cell r="A1856" t="str">
            <v>OROS SRL</v>
          </cell>
          <cell r="D1856" t="str">
            <v xml:space="preserve">PIAZZA MANIFATTURA, 1 </v>
          </cell>
          <cell r="E1856">
            <v>38068</v>
          </cell>
          <cell r="F1856" t="str">
            <v>ROVERETO</v>
          </cell>
          <cell r="G1856" t="str">
            <v>TN</v>
          </cell>
          <cell r="H1856" t="str">
            <v>ITALIA</v>
          </cell>
          <cell r="J1856" t="str">
            <v>02268490220</v>
          </cell>
          <cell r="M1856" t="str">
            <v>UFFICIO ACQUISTI</v>
          </cell>
          <cell r="N1856" t="str">
            <v>0464 443424</v>
          </cell>
          <cell r="O1856" t="str">
            <v>Nadia Manfredi 348 6837171</v>
          </cell>
          <cell r="P1856" t="str">
            <v>nadia.manfredi@orosinfissi.it</v>
          </cell>
          <cell r="R1856" t="str">
            <v>BONIFICO BANCARIO, ALLA DATA DELLA NOSTRA CONFERMA D'ORDINE</v>
          </cell>
          <cell r="X1856">
            <v>0.25</v>
          </cell>
          <cell r="Y1856">
            <v>-0.04</v>
          </cell>
          <cell r="AB1856">
            <v>0.25</v>
          </cell>
          <cell r="AC1856">
            <v>0.25</v>
          </cell>
          <cell r="AD1856">
            <v>0.25</v>
          </cell>
          <cell r="AE1856">
            <v>0.25</v>
          </cell>
          <cell r="AF1856">
            <v>0.25</v>
          </cell>
          <cell r="AG1856">
            <v>0.25</v>
          </cell>
          <cell r="AH1856">
            <v>0.25</v>
          </cell>
          <cell r="AI1856">
            <v>0.25</v>
          </cell>
          <cell r="AJ1856">
            <v>0.25</v>
          </cell>
          <cell r="AK1856">
            <v>0.25</v>
          </cell>
          <cell r="AL1856">
            <v>0.25</v>
          </cell>
          <cell r="AM1856">
            <v>0.25</v>
          </cell>
          <cell r="AN1856">
            <v>0.25</v>
          </cell>
          <cell r="AO1856">
            <v>0.25</v>
          </cell>
          <cell r="AP1856">
            <v>0.25</v>
          </cell>
          <cell r="AQ1856">
            <v>0.25</v>
          </cell>
          <cell r="AR1856">
            <v>0.25</v>
          </cell>
          <cell r="AS1856">
            <v>0.25</v>
          </cell>
          <cell r="AT1856">
            <v>-0.04</v>
          </cell>
          <cell r="AU1856">
            <v>0.92</v>
          </cell>
          <cell r="AV1856">
            <v>20</v>
          </cell>
          <cell r="AY1856" t="str">
            <v/>
          </cell>
          <cell r="AZ1856">
            <v>0.25</v>
          </cell>
          <cell r="BA1856">
            <v>0.25</v>
          </cell>
        </row>
        <row r="1857">
          <cell r="A1857" t="str">
            <v xml:space="preserve">ORSI INFISSI </v>
          </cell>
          <cell r="D1857" t="str">
            <v>VIA UMBRIA, 57  59</v>
          </cell>
          <cell r="E1857">
            <v>57017</v>
          </cell>
          <cell r="F1857" t="str">
            <v>STAGNO</v>
          </cell>
          <cell r="G1857" t="str">
            <v>LI</v>
          </cell>
          <cell r="H1857" t="str">
            <v>ITALIA</v>
          </cell>
          <cell r="J1857" t="str">
            <v>01702390491</v>
          </cell>
          <cell r="M1857" t="str">
            <v>UFFICIO ACQUISTI</v>
          </cell>
          <cell r="N1857" t="str">
            <v>0586 943435</v>
          </cell>
          <cell r="P1857" t="str">
            <v>info@orsiinfissi.it</v>
          </cell>
          <cell r="R1857" t="str">
            <v>BONIFICO BANCARIO, ALLA DATA DELLA NOSTRA CONFERMA D'ORDINE</v>
          </cell>
          <cell r="X1857">
            <v>0.25</v>
          </cell>
          <cell r="Y1857">
            <v>-0.04</v>
          </cell>
          <cell r="AB1857">
            <v>0.25</v>
          </cell>
          <cell r="AC1857">
            <v>0.25</v>
          </cell>
          <cell r="AD1857">
            <v>0.25</v>
          </cell>
          <cell r="AE1857">
            <v>0.25</v>
          </cell>
          <cell r="AF1857">
            <v>0.25</v>
          </cell>
          <cell r="AG1857">
            <v>0.25</v>
          </cell>
          <cell r="AH1857">
            <v>0.25</v>
          </cell>
          <cell r="AI1857">
            <v>0.25</v>
          </cell>
          <cell r="AJ1857">
            <v>0.25</v>
          </cell>
          <cell r="AK1857">
            <v>0.25</v>
          </cell>
          <cell r="AL1857">
            <v>0.25</v>
          </cell>
          <cell r="AM1857">
            <v>0.25</v>
          </cell>
          <cell r="AN1857">
            <v>0.25</v>
          </cell>
          <cell r="AO1857">
            <v>0.25</v>
          </cell>
          <cell r="AP1857">
            <v>0.25</v>
          </cell>
          <cell r="AQ1857">
            <v>0.25</v>
          </cell>
          <cell r="AR1857">
            <v>0.25</v>
          </cell>
          <cell r="AS1857">
            <v>0.25</v>
          </cell>
          <cell r="AT1857">
            <v>-0.04</v>
          </cell>
          <cell r="AU1857">
            <v>0.92</v>
          </cell>
          <cell r="AV1857">
            <v>20</v>
          </cell>
          <cell r="AY1857" t="str">
            <v/>
          </cell>
          <cell r="AZ1857">
            <v>0.25</v>
          </cell>
          <cell r="BA1857">
            <v>0.25</v>
          </cell>
        </row>
        <row r="1858">
          <cell r="A1858" t="str">
            <v>ORSOLINI AMEDEO SPA</v>
          </cell>
          <cell r="D1858" t="str">
            <v>STRADA PROVINCIALE VASANELLESE, 4</v>
          </cell>
          <cell r="E1858" t="str">
            <v>01039</v>
          </cell>
          <cell r="F1858" t="str">
            <v>VITERBO</v>
          </cell>
          <cell r="G1858" t="str">
            <v>VT</v>
          </cell>
          <cell r="H1858" t="str">
            <v>ITALIA</v>
          </cell>
          <cell r="J1858" t="str">
            <v>00548820562</v>
          </cell>
          <cell r="M1858" t="str">
            <v>UFFICIO ACQUISTI</v>
          </cell>
          <cell r="N1858" t="str">
            <v>0761 7571</v>
          </cell>
          <cell r="O1858" t="str">
            <v>328 9025916 ALESSANDRO</v>
          </cell>
          <cell r="P1858" t="str">
            <v>perotti.immobiliare@orsolini.it</v>
          </cell>
          <cell r="R1858" t="str">
            <v>BONIFICO BANCARIO, ALLA DATA DELLA NOSTRA CONFERMA D'ORDINE</v>
          </cell>
          <cell r="X1858">
            <v>0</v>
          </cell>
          <cell r="Y1858">
            <v>-0.04</v>
          </cell>
          <cell r="AB1858">
            <v>0</v>
          </cell>
          <cell r="AC1858">
            <v>0</v>
          </cell>
          <cell r="AD1858">
            <v>0</v>
          </cell>
          <cell r="AE1858">
            <v>0</v>
          </cell>
          <cell r="AF1858">
            <v>0</v>
          </cell>
          <cell r="AG1858">
            <v>0</v>
          </cell>
          <cell r="AH1858">
            <v>0</v>
          </cell>
          <cell r="AI1858">
            <v>0</v>
          </cell>
          <cell r="AJ1858">
            <v>0</v>
          </cell>
          <cell r="AK1858">
            <v>0</v>
          </cell>
          <cell r="AL1858">
            <v>0</v>
          </cell>
          <cell r="AM1858">
            <v>0</v>
          </cell>
          <cell r="AN1858">
            <v>0</v>
          </cell>
          <cell r="AO1858">
            <v>0</v>
          </cell>
          <cell r="AP1858">
            <v>0</v>
          </cell>
          <cell r="AQ1858">
            <v>0</v>
          </cell>
          <cell r="AR1858">
            <v>0</v>
          </cell>
          <cell r="AS1858">
            <v>0</v>
          </cell>
          <cell r="AT1858">
            <v>-0.04</v>
          </cell>
          <cell r="AU1858">
            <v>0.92</v>
          </cell>
          <cell r="AV1858">
            <v>20</v>
          </cell>
          <cell r="AZ1858">
            <v>0</v>
          </cell>
          <cell r="BA1858">
            <v>0</v>
          </cell>
        </row>
        <row r="1859">
          <cell r="A1859" t="str">
            <v>OSAM</v>
          </cell>
          <cell r="D1859" t="str">
            <v>CONTRADA STRASATTO, 9</v>
          </cell>
          <cell r="E1859" t="str">
            <v>91022</v>
          </cell>
          <cell r="F1859" t="str">
            <v>CASTELVETRANO</v>
          </cell>
          <cell r="G1859" t="str">
            <v>TP</v>
          </cell>
          <cell r="H1859" t="str">
            <v>ITALIA</v>
          </cell>
          <cell r="M1859" t="str">
            <v>UFFICIO ACQUISTI</v>
          </cell>
          <cell r="N1859" t="str">
            <v>0924 908949</v>
          </cell>
          <cell r="P1859" t="str">
            <v>info@osam-infissi.it</v>
          </cell>
          <cell r="R1859" t="str">
            <v>BONIFICO BANCARIO, ALLA DATA DELLA NOSTRA CONFERMA D'ORDINE</v>
          </cell>
          <cell r="X1859">
            <v>0.25</v>
          </cell>
          <cell r="Y1859">
            <v>-0.04</v>
          </cell>
          <cell r="AB1859">
            <v>0.25</v>
          </cell>
          <cell r="AC1859">
            <v>0.25</v>
          </cell>
          <cell r="AD1859">
            <v>0.25</v>
          </cell>
          <cell r="AE1859">
            <v>0.25</v>
          </cell>
          <cell r="AF1859">
            <v>0.25</v>
          </cell>
          <cell r="AG1859">
            <v>0.25</v>
          </cell>
          <cell r="AH1859">
            <v>0.25</v>
          </cell>
          <cell r="AI1859">
            <v>0.25</v>
          </cell>
          <cell r="AJ1859">
            <v>0.25</v>
          </cell>
          <cell r="AK1859">
            <v>0.25</v>
          </cell>
          <cell r="AL1859">
            <v>0.25</v>
          </cell>
          <cell r="AM1859">
            <v>0.25</v>
          </cell>
          <cell r="AN1859">
            <v>0.25</v>
          </cell>
          <cell r="AO1859">
            <v>0.25</v>
          </cell>
          <cell r="AP1859">
            <v>0.25</v>
          </cell>
          <cell r="AQ1859">
            <v>0.25</v>
          </cell>
          <cell r="AR1859">
            <v>0.25</v>
          </cell>
          <cell r="AS1859">
            <v>0.25</v>
          </cell>
          <cell r="AT1859">
            <v>-0.04</v>
          </cell>
          <cell r="AU1859">
            <v>0.92</v>
          </cell>
          <cell r="AV1859">
            <v>20</v>
          </cell>
          <cell r="AY1859" t="str">
            <v/>
          </cell>
          <cell r="AZ1859">
            <v>0.25</v>
          </cell>
          <cell r="BA1859">
            <v>0.25</v>
          </cell>
        </row>
        <row r="1860">
          <cell r="A1860" t="str">
            <v xml:space="preserve">OSM di Pisano Francesco </v>
          </cell>
          <cell r="B1860" t="str">
            <v>14/02/23 NON INTERESSATI</v>
          </cell>
          <cell r="D1860" t="str">
            <v>TRAVERSA LA PIZZUTA, 15</v>
          </cell>
          <cell r="E1860">
            <v>96100</v>
          </cell>
          <cell r="F1860" t="str">
            <v>SIRACUSA</v>
          </cell>
          <cell r="G1860" t="str">
            <v>SR</v>
          </cell>
          <cell r="H1860" t="str">
            <v>ITALIA</v>
          </cell>
          <cell r="I1860" t="str">
            <v>PSNFNC76L15I54S</v>
          </cell>
          <cell r="J1860" t="str">
            <v>01185470893</v>
          </cell>
          <cell r="K1860" t="str">
            <v>M5UXCR1</v>
          </cell>
          <cell r="M1860" t="str">
            <v>UFFICIO ACQUISTI</v>
          </cell>
          <cell r="N1860" t="str">
            <v>0931 758600</v>
          </cell>
          <cell r="O1860" t="str">
            <v>331 8976813</v>
          </cell>
          <cell r="P1860" t="str">
            <v>uffuciotecnico@pisanoserramenti.com- -info@pisanoserramenti.com</v>
          </cell>
          <cell r="R1860" t="str">
            <v>BONIFICO BANCARIO, ALLA DATA DELLA NOSTRA CONFERMA D'ORDINE</v>
          </cell>
          <cell r="X1860">
            <v>0.25</v>
          </cell>
          <cell r="Y1860">
            <v>-0.04</v>
          </cell>
          <cell r="AB1860">
            <v>0.25</v>
          </cell>
          <cell r="AC1860">
            <v>0.25</v>
          </cell>
          <cell r="AD1860">
            <v>0.25</v>
          </cell>
          <cell r="AE1860">
            <v>0.25</v>
          </cell>
          <cell r="AF1860">
            <v>0.25</v>
          </cell>
          <cell r="AG1860">
            <v>0.25</v>
          </cell>
          <cell r="AH1860">
            <v>0.25</v>
          </cell>
          <cell r="AI1860">
            <v>0.25</v>
          </cell>
          <cell r="AJ1860">
            <v>0.25</v>
          </cell>
          <cell r="AK1860">
            <v>0.25</v>
          </cell>
          <cell r="AL1860">
            <v>0.25</v>
          </cell>
          <cell r="AM1860">
            <v>0.25</v>
          </cell>
          <cell r="AN1860">
            <v>0.25</v>
          </cell>
          <cell r="AO1860">
            <v>0.25</v>
          </cell>
          <cell r="AP1860">
            <v>0.25</v>
          </cell>
          <cell r="AQ1860">
            <v>0.25</v>
          </cell>
          <cell r="AR1860">
            <v>0.25</v>
          </cell>
          <cell r="AS1860">
            <v>0.25</v>
          </cell>
          <cell r="AT1860">
            <v>-0.04</v>
          </cell>
          <cell r="AU1860">
            <v>0.92</v>
          </cell>
          <cell r="AV1860">
            <v>20</v>
          </cell>
          <cell r="AY1860" t="str">
            <v/>
          </cell>
          <cell r="AZ1860">
            <v>0.25</v>
          </cell>
          <cell r="BA1860">
            <v>0.25</v>
          </cell>
        </row>
        <row r="1861">
          <cell r="A1861" t="str">
            <v>OTTIMO</v>
          </cell>
          <cell r="D1861" t="str">
            <v>VIA CASTELLANA 90/A</v>
          </cell>
          <cell r="E1861" t="str">
            <v>30030</v>
          </cell>
          <cell r="F1861" t="str">
            <v>MARTELLAGO</v>
          </cell>
          <cell r="G1861" t="str">
            <v>VE</v>
          </cell>
          <cell r="H1861" t="str">
            <v>ITALIA</v>
          </cell>
          <cell r="M1861" t="str">
            <v>UFFICIO ACQUISTI</v>
          </cell>
          <cell r="N1861" t="str">
            <v>041 5402772</v>
          </cell>
          <cell r="P1861" t="str">
            <v>info@ottimo.it</v>
          </cell>
          <cell r="R1861" t="str">
            <v>BONIFICO BANCARIO, ALLA DATA DELLA NOSTRA CONFERMA D'ORDINE</v>
          </cell>
          <cell r="X1861">
            <v>0.25</v>
          </cell>
          <cell r="Y1861">
            <v>-0.04</v>
          </cell>
          <cell r="AB1861">
            <v>0.25</v>
          </cell>
          <cell r="AC1861">
            <v>0.25</v>
          </cell>
          <cell r="AD1861">
            <v>0.25</v>
          </cell>
          <cell r="AE1861">
            <v>0.25</v>
          </cell>
          <cell r="AF1861">
            <v>0.25</v>
          </cell>
          <cell r="AG1861">
            <v>0.25</v>
          </cell>
          <cell r="AH1861">
            <v>0.25</v>
          </cell>
          <cell r="AI1861">
            <v>0.25</v>
          </cell>
          <cell r="AJ1861">
            <v>0.25</v>
          </cell>
          <cell r="AK1861">
            <v>0.25</v>
          </cell>
          <cell r="AL1861">
            <v>0.25</v>
          </cell>
          <cell r="AM1861">
            <v>0.25</v>
          </cell>
          <cell r="AN1861">
            <v>0.25</v>
          </cell>
          <cell r="AO1861">
            <v>0.25</v>
          </cell>
          <cell r="AP1861">
            <v>0.25</v>
          </cell>
          <cell r="AQ1861">
            <v>0.25</v>
          </cell>
          <cell r="AR1861">
            <v>0.25</v>
          </cell>
          <cell r="AS1861">
            <v>0.25</v>
          </cell>
          <cell r="AT1861">
            <v>-0.04</v>
          </cell>
          <cell r="AU1861">
            <v>0.92</v>
          </cell>
          <cell r="AV1861">
            <v>20</v>
          </cell>
          <cell r="AY1861" t="str">
            <v/>
          </cell>
          <cell r="AZ1861">
            <v>0.25</v>
          </cell>
          <cell r="BA1861">
            <v>0.25</v>
          </cell>
        </row>
        <row r="1862">
          <cell r="A1862" t="str">
            <v>P &amp; G CONTROL S.R.L.</v>
          </cell>
          <cell r="D1862" t="str">
            <v>VIA B.BOSCO, 31  3</v>
          </cell>
          <cell r="E1862">
            <v>16121</v>
          </cell>
          <cell r="F1862" t="str">
            <v>GENOVA</v>
          </cell>
          <cell r="G1862" t="str">
            <v>GE</v>
          </cell>
          <cell r="H1862" t="str">
            <v>ITALIA</v>
          </cell>
          <cell r="J1862">
            <v>14226590996</v>
          </cell>
          <cell r="M1862" t="str">
            <v>UFFICIO ACQUISTI</v>
          </cell>
          <cell r="N1862" t="str">
            <v>010 8461182</v>
          </cell>
          <cell r="O1862" t="str">
            <v>320 6581000</v>
          </cell>
          <cell r="R1862" t="str">
            <v>BONIFICO BANCARIO, ALLA DATA DELLA NOSTRA CONFERMA D'ORDINE</v>
          </cell>
          <cell r="X1862">
            <v>0.25</v>
          </cell>
          <cell r="Y1862">
            <v>-0.04</v>
          </cell>
          <cell r="AB1862">
            <v>0.25</v>
          </cell>
          <cell r="AC1862">
            <v>0.25</v>
          </cell>
          <cell r="AD1862">
            <v>0.25</v>
          </cell>
          <cell r="AE1862">
            <v>0.25</v>
          </cell>
          <cell r="AF1862">
            <v>0.25</v>
          </cell>
          <cell r="AG1862">
            <v>0.25</v>
          </cell>
          <cell r="AH1862">
            <v>0.25</v>
          </cell>
          <cell r="AI1862">
            <v>0.25</v>
          </cell>
          <cell r="AJ1862">
            <v>0.25</v>
          </cell>
          <cell r="AK1862">
            <v>0.25</v>
          </cell>
          <cell r="AL1862">
            <v>0.25</v>
          </cell>
          <cell r="AM1862">
            <v>0.25</v>
          </cell>
          <cell r="AN1862">
            <v>0.25</v>
          </cell>
          <cell r="AO1862">
            <v>0.25</v>
          </cell>
          <cell r="AP1862">
            <v>0.25</v>
          </cell>
          <cell r="AQ1862">
            <v>0.25</v>
          </cell>
          <cell r="AR1862">
            <v>0.25</v>
          </cell>
          <cell r="AS1862">
            <v>0.25</v>
          </cell>
          <cell r="AT1862">
            <v>-0.04</v>
          </cell>
          <cell r="AU1862">
            <v>0.92</v>
          </cell>
          <cell r="AV1862">
            <v>20</v>
          </cell>
          <cell r="AY1862" t="str">
            <v/>
          </cell>
          <cell r="AZ1862">
            <v>0.25</v>
          </cell>
          <cell r="BA1862">
            <v>0.25</v>
          </cell>
        </row>
        <row r="1863">
          <cell r="A1863" t="str">
            <v>P. &amp; APPLICA S.A.S. DI DEL MONTE RAFFAELE E ANTONIA &amp; C.</v>
          </cell>
          <cell r="D1863" t="str">
            <v>VIA MONTELLO, 1</v>
          </cell>
          <cell r="E1863" t="str">
            <v>20094</v>
          </cell>
          <cell r="F1863" t="str">
            <v>CORSICO</v>
          </cell>
          <cell r="G1863" t="str">
            <v>MI</v>
          </cell>
          <cell r="H1863" t="str">
            <v>ITALIA</v>
          </cell>
          <cell r="J1863" t="str">
            <v>07718320158</v>
          </cell>
          <cell r="K1863" t="str">
            <v>T9K4ZHO</v>
          </cell>
          <cell r="M1863" t="str">
            <v>UFFICIO ACQUISTI</v>
          </cell>
          <cell r="N1863" t="str">
            <v>0244 052820</v>
          </cell>
          <cell r="P1863" t="str">
            <v>delmonte.applica85@gmail.com</v>
          </cell>
          <cell r="R1863" t="str">
            <v>BONIFICO BANCARIO, ALLA DATA DELLA NOSTRA CONFERMA D'ORDINE</v>
          </cell>
          <cell r="X1863">
            <v>0.25</v>
          </cell>
          <cell r="Y1863">
            <v>-0.04</v>
          </cell>
          <cell r="AB1863">
            <v>0.25</v>
          </cell>
          <cell r="AC1863">
            <v>0.25</v>
          </cell>
          <cell r="AD1863">
            <v>0.25</v>
          </cell>
          <cell r="AE1863">
            <v>0.25</v>
          </cell>
          <cell r="AF1863">
            <v>0.25</v>
          </cell>
          <cell r="AG1863">
            <v>0.25</v>
          </cell>
          <cell r="AH1863">
            <v>0.25</v>
          </cell>
          <cell r="AI1863">
            <v>0.25</v>
          </cell>
          <cell r="AJ1863">
            <v>0.25</v>
          </cell>
          <cell r="AK1863">
            <v>0.25</v>
          </cell>
          <cell r="AL1863">
            <v>0.25</v>
          </cell>
          <cell r="AM1863">
            <v>0.25</v>
          </cell>
          <cell r="AN1863">
            <v>0.25</v>
          </cell>
          <cell r="AO1863">
            <v>0.25</v>
          </cell>
          <cell r="AP1863">
            <v>0.25</v>
          </cell>
          <cell r="AQ1863">
            <v>0.25</v>
          </cell>
          <cell r="AR1863">
            <v>0.25</v>
          </cell>
          <cell r="AS1863">
            <v>0.25</v>
          </cell>
          <cell r="AT1863">
            <v>-0.04</v>
          </cell>
          <cell r="AU1863">
            <v>0.92</v>
          </cell>
          <cell r="AV1863">
            <v>20</v>
          </cell>
          <cell r="AY1863" t="str">
            <v/>
          </cell>
          <cell r="AZ1863">
            <v>0.25</v>
          </cell>
          <cell r="BA1863">
            <v>0.25</v>
          </cell>
        </row>
        <row r="1864">
          <cell r="A1864" t="str">
            <v>P.A. SERRAMENTI DI NADREA PERRINI &amp; C SNC</v>
          </cell>
          <cell r="D1864" t="str">
            <v>VIA LADINO 11</v>
          </cell>
          <cell r="E1864" t="str">
            <v>44124</v>
          </cell>
          <cell r="F1864" t="str">
            <v>POROTTO</v>
          </cell>
          <cell r="G1864" t="str">
            <v>FE</v>
          </cell>
          <cell r="H1864" t="str">
            <v>ITALIA</v>
          </cell>
          <cell r="J1864" t="str">
            <v>01447540384</v>
          </cell>
          <cell r="M1864" t="str">
            <v>UFFICIO ACQUISTI</v>
          </cell>
          <cell r="N1864" t="str">
            <v>0532 730336</v>
          </cell>
          <cell r="O1864" t="str">
            <v>335 6465738</v>
          </cell>
          <cell r="P1864" t="str">
            <v>info@paserramenti.com</v>
          </cell>
          <cell r="R1864" t="str">
            <v>BONIFICO BANCARIO, ALLA DATA DELLA NOSTRA CONFERMA D'ORDINE</v>
          </cell>
          <cell r="X1864">
            <v>0.25</v>
          </cell>
          <cell r="Y1864">
            <v>-0.04</v>
          </cell>
          <cell r="AB1864">
            <v>0.25</v>
          </cell>
          <cell r="AC1864">
            <v>0.25</v>
          </cell>
          <cell r="AD1864">
            <v>0.25</v>
          </cell>
          <cell r="AE1864">
            <v>0.25</v>
          </cell>
          <cell r="AF1864">
            <v>0.25</v>
          </cell>
          <cell r="AG1864">
            <v>0.25</v>
          </cell>
          <cell r="AH1864">
            <v>0.25</v>
          </cell>
          <cell r="AI1864">
            <v>0.25</v>
          </cell>
          <cell r="AJ1864">
            <v>0.25</v>
          </cell>
          <cell r="AK1864">
            <v>0.25</v>
          </cell>
          <cell r="AL1864">
            <v>0.25</v>
          </cell>
          <cell r="AM1864">
            <v>0.25</v>
          </cell>
          <cell r="AN1864">
            <v>0.25</v>
          </cell>
          <cell r="AO1864">
            <v>0.25</v>
          </cell>
          <cell r="AP1864">
            <v>0.25</v>
          </cell>
          <cell r="AQ1864">
            <v>0.25</v>
          </cell>
          <cell r="AR1864">
            <v>0.25</v>
          </cell>
          <cell r="AS1864">
            <v>0.25</v>
          </cell>
          <cell r="AT1864">
            <v>-0.04</v>
          </cell>
          <cell r="AU1864">
            <v>0.92</v>
          </cell>
          <cell r="AV1864">
            <v>20</v>
          </cell>
          <cell r="AY1864" t="str">
            <v/>
          </cell>
          <cell r="AZ1864">
            <v>0.25</v>
          </cell>
          <cell r="BA1864">
            <v>0.25</v>
          </cell>
        </row>
        <row r="1865">
          <cell r="A1865" t="str">
            <v>P.C.A. SERRAMENTI</v>
          </cell>
          <cell r="D1865" t="str">
            <v>C.SO CAIROLI, 17 19</v>
          </cell>
          <cell r="E1865">
            <v>28921</v>
          </cell>
          <cell r="F1865" t="str">
            <v>VERBANIA INTRA</v>
          </cell>
          <cell r="G1865" t="str">
            <v>VB</v>
          </cell>
          <cell r="H1865" t="str">
            <v>ITALIA</v>
          </cell>
          <cell r="J1865" t="str">
            <v>08809011219</v>
          </cell>
          <cell r="M1865" t="str">
            <v>UFFICIO ACQUISTI</v>
          </cell>
          <cell r="N1865" t="str">
            <v>0323 348936</v>
          </cell>
          <cell r="O1865" t="str">
            <v>349 3992505</v>
          </cell>
          <cell r="P1865" t="str">
            <v>pca-serramenti@outlook.it</v>
          </cell>
          <cell r="R1865" t="str">
            <v>BONIFICO BANCARIO, ALLA DATA DELLA NOSTRA CONFERMA D'ORDINE</v>
          </cell>
          <cell r="X1865">
            <v>0.25</v>
          </cell>
          <cell r="Y1865">
            <v>-0.04</v>
          </cell>
          <cell r="AB1865">
            <v>0.25</v>
          </cell>
          <cell r="AC1865">
            <v>0.25</v>
          </cell>
          <cell r="AD1865">
            <v>0.25</v>
          </cell>
          <cell r="AE1865">
            <v>0.25</v>
          </cell>
          <cell r="AF1865">
            <v>0.25</v>
          </cell>
          <cell r="AG1865">
            <v>0.25</v>
          </cell>
          <cell r="AH1865">
            <v>0.25</v>
          </cell>
          <cell r="AI1865">
            <v>0.25</v>
          </cell>
          <cell r="AJ1865">
            <v>0.25</v>
          </cell>
          <cell r="AK1865">
            <v>0.25</v>
          </cell>
          <cell r="AL1865">
            <v>0.25</v>
          </cell>
          <cell r="AM1865">
            <v>0.25</v>
          </cell>
          <cell r="AN1865">
            <v>0.25</v>
          </cell>
          <cell r="AO1865">
            <v>0.25</v>
          </cell>
          <cell r="AP1865">
            <v>0.25</v>
          </cell>
          <cell r="AQ1865">
            <v>0.25</v>
          </cell>
          <cell r="AR1865">
            <v>0.25</v>
          </cell>
          <cell r="AS1865">
            <v>0.25</v>
          </cell>
          <cell r="AT1865">
            <v>-0.04</v>
          </cell>
          <cell r="AU1865">
            <v>0.92</v>
          </cell>
          <cell r="AV1865">
            <v>20</v>
          </cell>
          <cell r="AZ1865">
            <v>0.25</v>
          </cell>
          <cell r="BA1865">
            <v>0.25</v>
          </cell>
        </row>
        <row r="1866">
          <cell r="A1866" t="str">
            <v>P.D.M. PORTE SRL</v>
          </cell>
          <cell r="D1866" t="str">
            <v>VIA PADANIA, SNC</v>
          </cell>
          <cell r="E1866" t="str">
            <v>25038</v>
          </cell>
          <cell r="F1866" t="str">
            <v>ROVATO</v>
          </cell>
          <cell r="G1866" t="str">
            <v>BS</v>
          </cell>
          <cell r="H1866" t="str">
            <v>ITALIA</v>
          </cell>
          <cell r="J1866" t="str">
            <v>02397090982</v>
          </cell>
          <cell r="M1866" t="str">
            <v>UFFICIO ACQUISTI</v>
          </cell>
          <cell r="N1866" t="str">
            <v>030 7242639</v>
          </cell>
          <cell r="P1866" t="str">
            <v>info@pdmporte.it</v>
          </cell>
          <cell r="R1866" t="str">
            <v>BONIFICO BANCARIO, ALLA DATA DELLA NOSTRA CONFERMA D'ORDINE</v>
          </cell>
          <cell r="X1866">
            <v>0.2</v>
          </cell>
          <cell r="Y1866">
            <v>-0.04</v>
          </cell>
          <cell r="AB1866">
            <v>0.2</v>
          </cell>
          <cell r="AC1866">
            <v>0.2</v>
          </cell>
          <cell r="AD1866">
            <v>0.2</v>
          </cell>
          <cell r="AE1866">
            <v>0.2</v>
          </cell>
          <cell r="AF1866">
            <v>0.2</v>
          </cell>
          <cell r="AG1866">
            <v>0.2</v>
          </cell>
          <cell r="AH1866">
            <v>0.2</v>
          </cell>
          <cell r="AI1866">
            <v>0.2</v>
          </cell>
          <cell r="AJ1866">
            <v>0.2</v>
          </cell>
          <cell r="AK1866">
            <v>0.2</v>
          </cell>
          <cell r="AL1866">
            <v>0.2</v>
          </cell>
          <cell r="AM1866">
            <v>0.2</v>
          </cell>
          <cell r="AN1866">
            <v>0.2</v>
          </cell>
          <cell r="AO1866">
            <v>0.2</v>
          </cell>
          <cell r="AP1866">
            <v>0.2</v>
          </cell>
          <cell r="AQ1866">
            <v>0.2</v>
          </cell>
          <cell r="AR1866">
            <v>0.2</v>
          </cell>
          <cell r="AS1866">
            <v>0.2</v>
          </cell>
          <cell r="AT1866">
            <v>-0.04</v>
          </cell>
          <cell r="AU1866">
            <v>0.92</v>
          </cell>
          <cell r="AV1866">
            <v>20</v>
          </cell>
          <cell r="AZ1866">
            <v>0.2</v>
          </cell>
          <cell r="BA1866">
            <v>0.2</v>
          </cell>
        </row>
        <row r="1867">
          <cell r="A1867" t="str">
            <v>P.F. PORTE FINESTRE</v>
          </cell>
          <cell r="B1867" t="str">
            <v>BUONA BELL'AZIENDA   RICHIAMARE META' GENNAIO</v>
          </cell>
          <cell r="D1867" t="str">
            <v>VIA CURTATONA, 5 G</v>
          </cell>
          <cell r="E1867" t="str">
            <v>41126</v>
          </cell>
          <cell r="F1867" t="str">
            <v>MODENA</v>
          </cell>
          <cell r="G1867" t="str">
            <v>MO</v>
          </cell>
          <cell r="H1867" t="str">
            <v>ITALIA</v>
          </cell>
          <cell r="M1867" t="str">
            <v>UFFICIO ACQUISTI</v>
          </cell>
          <cell r="N1867" t="str">
            <v>059 284771</v>
          </cell>
          <cell r="P1867" t="str">
            <v>alessandro@pfportefinestre.it</v>
          </cell>
          <cell r="R1867" t="str">
            <v>BONIFICO BANCARIO, ALLA DATA DELLA NOSTRA CONFERMA D'ORDINE</v>
          </cell>
          <cell r="X1867">
            <v>0.2</v>
          </cell>
          <cell r="Y1867">
            <v>-0.04</v>
          </cell>
          <cell r="AB1867">
            <v>0.2</v>
          </cell>
          <cell r="AC1867">
            <v>0.2</v>
          </cell>
          <cell r="AD1867">
            <v>0.2</v>
          </cell>
          <cell r="AE1867">
            <v>0.2</v>
          </cell>
          <cell r="AF1867">
            <v>0.2</v>
          </cell>
          <cell r="AG1867">
            <v>0.2</v>
          </cell>
          <cell r="AH1867">
            <v>0.2</v>
          </cell>
          <cell r="AI1867">
            <v>0.2</v>
          </cell>
          <cell r="AJ1867">
            <v>0.2</v>
          </cell>
          <cell r="AK1867">
            <v>0.2</v>
          </cell>
          <cell r="AL1867">
            <v>0.2</v>
          </cell>
          <cell r="AM1867">
            <v>0.2</v>
          </cell>
          <cell r="AN1867">
            <v>0.2</v>
          </cell>
          <cell r="AO1867">
            <v>0.2</v>
          </cell>
          <cell r="AP1867">
            <v>0.2</v>
          </cell>
          <cell r="AQ1867">
            <v>0.2</v>
          </cell>
          <cell r="AR1867">
            <v>0.2</v>
          </cell>
          <cell r="AS1867">
            <v>0.2</v>
          </cell>
          <cell r="AT1867">
            <v>-0.04</v>
          </cell>
          <cell r="AU1867">
            <v>0.92</v>
          </cell>
          <cell r="AV1867">
            <v>20</v>
          </cell>
          <cell r="AZ1867">
            <v>0.2</v>
          </cell>
          <cell r="BA1867">
            <v>0.2</v>
          </cell>
        </row>
        <row r="1868">
          <cell r="A1868" t="str">
            <v>P.F. PORTEFINESTRE</v>
          </cell>
          <cell r="D1868" t="str">
            <v>VIA CURTATONA, 5G (ANG. VIA EMILIA EST)</v>
          </cell>
          <cell r="E1868">
            <v>41126</v>
          </cell>
          <cell r="F1868" t="str">
            <v>MODENA</v>
          </cell>
          <cell r="G1868" t="str">
            <v>MO</v>
          </cell>
          <cell r="H1868" t="str">
            <v>ITALIA</v>
          </cell>
          <cell r="M1868" t="str">
            <v>UFFICIO ACQUISTI</v>
          </cell>
          <cell r="N1868" t="str">
            <v>059 284771</v>
          </cell>
          <cell r="O1868" t="str">
            <v>Alessandro Toni 320 3325185</v>
          </cell>
          <cell r="P1868" t="str">
            <v>alessandro@pfportefinestre.it</v>
          </cell>
          <cell r="R1868" t="str">
            <v>BONIFICO BANCARIO, ALLA DATA DELLA NOSTRA CONFERMA D'ORDINE</v>
          </cell>
          <cell r="X1868">
            <v>0.25</v>
          </cell>
          <cell r="Y1868">
            <v>-0.04</v>
          </cell>
          <cell r="AB1868">
            <v>0.25</v>
          </cell>
          <cell r="AC1868">
            <v>0.25</v>
          </cell>
          <cell r="AD1868">
            <v>0.25</v>
          </cell>
          <cell r="AE1868">
            <v>0.25</v>
          </cell>
          <cell r="AF1868">
            <v>0.25</v>
          </cell>
          <cell r="AG1868">
            <v>0.25</v>
          </cell>
          <cell r="AH1868">
            <v>0.25</v>
          </cell>
          <cell r="AI1868">
            <v>0.25</v>
          </cell>
          <cell r="AJ1868">
            <v>0.25</v>
          </cell>
          <cell r="AK1868">
            <v>0.25</v>
          </cell>
          <cell r="AL1868">
            <v>0.25</v>
          </cell>
          <cell r="AM1868">
            <v>0.25</v>
          </cell>
          <cell r="AN1868">
            <v>0.25</v>
          </cell>
          <cell r="AO1868">
            <v>0.25</v>
          </cell>
          <cell r="AP1868">
            <v>0.25</v>
          </cell>
          <cell r="AQ1868">
            <v>0.25</v>
          </cell>
          <cell r="AR1868">
            <v>0.25</v>
          </cell>
          <cell r="AS1868">
            <v>0.25</v>
          </cell>
          <cell r="AT1868">
            <v>-0.04</v>
          </cell>
          <cell r="AU1868">
            <v>0.92</v>
          </cell>
          <cell r="AV1868">
            <v>20</v>
          </cell>
          <cell r="AY1868" t="str">
            <v/>
          </cell>
          <cell r="AZ1868">
            <v>0.25</v>
          </cell>
          <cell r="BA1868">
            <v>0.25</v>
          </cell>
        </row>
        <row r="1869">
          <cell r="A1869" t="str">
            <v>P.M.2 INFISSI</v>
          </cell>
          <cell r="D1869" t="str">
            <v>VIA DEI PIANETI, 10</v>
          </cell>
          <cell r="E1869" t="str">
            <v>72015</v>
          </cell>
          <cell r="F1869" t="str">
            <v>PEZZE DI GRECO</v>
          </cell>
          <cell r="G1869" t="str">
            <v>BR</v>
          </cell>
          <cell r="H1869" t="str">
            <v>ITALIA</v>
          </cell>
          <cell r="J1869" t="str">
            <v>01671150744</v>
          </cell>
          <cell r="M1869" t="str">
            <v>UFFICIO ACQUISTI</v>
          </cell>
          <cell r="O1869" t="str">
            <v>339 7965556</v>
          </cell>
          <cell r="R1869" t="str">
            <v>BONIFICO BANCARIO, ALLA DATA DELLA NOSTRA CONFERMA D'ORDINE</v>
          </cell>
          <cell r="X1869">
            <v>0.25</v>
          </cell>
          <cell r="Y1869">
            <v>-0.04</v>
          </cell>
          <cell r="AB1869">
            <v>0.25</v>
          </cell>
          <cell r="AC1869">
            <v>0.25</v>
          </cell>
          <cell r="AD1869">
            <v>0.25</v>
          </cell>
          <cell r="AE1869">
            <v>0.25</v>
          </cell>
          <cell r="AF1869">
            <v>0.25</v>
          </cell>
          <cell r="AG1869">
            <v>0.25</v>
          </cell>
          <cell r="AH1869">
            <v>0.25</v>
          </cell>
          <cell r="AI1869">
            <v>0.25</v>
          </cell>
          <cell r="AJ1869">
            <v>0.25</v>
          </cell>
          <cell r="AK1869">
            <v>0.25</v>
          </cell>
          <cell r="AL1869">
            <v>0.25</v>
          </cell>
          <cell r="AM1869">
            <v>0.25</v>
          </cell>
          <cell r="AN1869">
            <v>0.25</v>
          </cell>
          <cell r="AO1869">
            <v>0.25</v>
          </cell>
          <cell r="AP1869">
            <v>0.25</v>
          </cell>
          <cell r="AQ1869">
            <v>0.25</v>
          </cell>
          <cell r="AR1869">
            <v>0.25</v>
          </cell>
          <cell r="AS1869">
            <v>0.25</v>
          </cell>
          <cell r="AT1869">
            <v>-0.04</v>
          </cell>
          <cell r="AU1869">
            <v>0.92</v>
          </cell>
          <cell r="AV1869">
            <v>20</v>
          </cell>
          <cell r="AZ1869">
            <v>0.25</v>
          </cell>
          <cell r="BA1869">
            <v>0.25</v>
          </cell>
        </row>
        <row r="1870">
          <cell r="A1870" t="str">
            <v>P.N. SERRAMENTI S.r.l.</v>
          </cell>
          <cell r="D1870" t="str">
            <v>VIA GRAMSCI, 42</v>
          </cell>
          <cell r="E1870">
            <v>95030</v>
          </cell>
          <cell r="F1870" t="str">
            <v>GRAVINA DI CATANIA</v>
          </cell>
          <cell r="G1870" t="str">
            <v>CT</v>
          </cell>
          <cell r="H1870" t="str">
            <v>ITALIA</v>
          </cell>
          <cell r="J1870" t="str">
            <v>05255960873</v>
          </cell>
          <cell r="M1870" t="str">
            <v>UFFICIO ACQUISTI</v>
          </cell>
          <cell r="N1870" t="str">
            <v>095 7545338</v>
          </cell>
          <cell r="P1870" t="str">
            <v>info@pnserramenti.com</v>
          </cell>
          <cell r="R1870" t="str">
            <v>BONIFICO BANCARIO, ALLA DATA DELLA NOSTRA CONFERMA D'ORDINE</v>
          </cell>
          <cell r="X1870">
            <v>0.25</v>
          </cell>
          <cell r="Y1870">
            <v>-0.04</v>
          </cell>
          <cell r="AB1870">
            <v>0.25</v>
          </cell>
          <cell r="AC1870">
            <v>0.25</v>
          </cell>
          <cell r="AD1870">
            <v>0.25</v>
          </cell>
          <cell r="AE1870">
            <v>0.25</v>
          </cell>
          <cell r="AF1870">
            <v>0.25</v>
          </cell>
          <cell r="AG1870">
            <v>0.25</v>
          </cell>
          <cell r="AH1870">
            <v>0.25</v>
          </cell>
          <cell r="AI1870">
            <v>0.25</v>
          </cell>
          <cell r="AJ1870">
            <v>0.25</v>
          </cell>
          <cell r="AK1870">
            <v>0.25</v>
          </cell>
          <cell r="AL1870">
            <v>0.25</v>
          </cell>
          <cell r="AM1870">
            <v>0.25</v>
          </cell>
          <cell r="AN1870">
            <v>0.25</v>
          </cell>
          <cell r="AO1870">
            <v>0.25</v>
          </cell>
          <cell r="AP1870">
            <v>0.25</v>
          </cell>
          <cell r="AQ1870">
            <v>0.25</v>
          </cell>
          <cell r="AR1870">
            <v>0.25</v>
          </cell>
          <cell r="AS1870">
            <v>0.25</v>
          </cell>
          <cell r="AT1870">
            <v>-0.04</v>
          </cell>
          <cell r="AU1870">
            <v>0.92</v>
          </cell>
          <cell r="AV1870">
            <v>20</v>
          </cell>
          <cell r="AY1870" t="str">
            <v/>
          </cell>
          <cell r="AZ1870">
            <v>0.25</v>
          </cell>
          <cell r="BA1870">
            <v>0.25</v>
          </cell>
        </row>
        <row r="1871">
          <cell r="A1871" t="str">
            <v>P.S.Z. SNC DI SAMUELLI SERGIO &amp; C.</v>
          </cell>
          <cell r="D1871" t="str">
            <v>VIA E. FERMI, 14 16</v>
          </cell>
          <cell r="E1871">
            <v>25087</v>
          </cell>
          <cell r="F1871" t="str">
            <v>CUNETTONE DI SALO'</v>
          </cell>
          <cell r="G1871" t="str">
            <v>BS</v>
          </cell>
          <cell r="H1871" t="str">
            <v>ITALIA</v>
          </cell>
          <cell r="I1871" t="str">
            <v>0154702170</v>
          </cell>
          <cell r="J1871" t="str">
            <v>00636500985</v>
          </cell>
          <cell r="M1871" t="str">
            <v>UFFICIO ACQUISTI</v>
          </cell>
          <cell r="N1871" t="str">
            <v>0365 520406</v>
          </cell>
          <cell r="P1871" t="str">
            <v>piessezeta@virgilio.it</v>
          </cell>
          <cell r="R1871" t="str">
            <v>BONIFICO BANCARIO, ALLA DATA DELLA NOSTRA CONFERMA D'ORDINE</v>
          </cell>
          <cell r="X1871">
            <v>0.25</v>
          </cell>
          <cell r="Y1871">
            <v>-0.04</v>
          </cell>
          <cell r="AB1871">
            <v>0.25</v>
          </cell>
          <cell r="AC1871">
            <v>0.25</v>
          </cell>
          <cell r="AD1871">
            <v>0.25</v>
          </cell>
          <cell r="AE1871">
            <v>0.25</v>
          </cell>
          <cell r="AF1871">
            <v>0.25</v>
          </cell>
          <cell r="AG1871">
            <v>0.25</v>
          </cell>
          <cell r="AH1871">
            <v>0.25</v>
          </cell>
          <cell r="AI1871">
            <v>0.25</v>
          </cell>
          <cell r="AJ1871">
            <v>0.25</v>
          </cell>
          <cell r="AK1871">
            <v>0.25</v>
          </cell>
          <cell r="AL1871">
            <v>0.25</v>
          </cell>
          <cell r="AM1871">
            <v>0.25</v>
          </cell>
          <cell r="AN1871">
            <v>0.25</v>
          </cell>
          <cell r="AO1871">
            <v>0.25</v>
          </cell>
          <cell r="AP1871">
            <v>0.25</v>
          </cell>
          <cell r="AQ1871">
            <v>0.25</v>
          </cell>
          <cell r="AR1871">
            <v>0.25</v>
          </cell>
          <cell r="AS1871">
            <v>0.25</v>
          </cell>
          <cell r="AT1871">
            <v>-0.04</v>
          </cell>
          <cell r="AU1871">
            <v>0.92</v>
          </cell>
          <cell r="AV1871">
            <v>20</v>
          </cell>
          <cell r="AY1871" t="str">
            <v/>
          </cell>
          <cell r="AZ1871">
            <v>0.25</v>
          </cell>
          <cell r="BA1871">
            <v>0.25</v>
          </cell>
        </row>
        <row r="1872">
          <cell r="A1872" t="str">
            <v>P.T. SERRAMENTI</v>
          </cell>
          <cell r="B1872" t="str">
            <v>NON RISPONDE  31\08\2020  RISENTIRE IN OTTOBRE    A SETTEMBRE COMPRO CAMPIONI   EX ACQUASTOP ORA LE FA LUI 05/12 RIBADITO CHE LE FANNO ARTIGIANALMENTE, LE TESTANO E LE CERTIFICANO PURE!</v>
          </cell>
          <cell r="D1872" t="str">
            <v>VIA DELLE FIERE, 34</v>
          </cell>
          <cell r="E1872">
            <v>44123</v>
          </cell>
          <cell r="F1872" t="str">
            <v>FERRARA</v>
          </cell>
          <cell r="G1872" t="str">
            <v>FE</v>
          </cell>
          <cell r="H1872" t="str">
            <v>ITALIA</v>
          </cell>
          <cell r="M1872" t="str">
            <v>UFFICIO ACQUISTI</v>
          </cell>
          <cell r="N1872" t="str">
            <v>0532 724080</v>
          </cell>
          <cell r="O1872" t="str">
            <v>340 3789126</v>
          </cell>
          <cell r="P1872" t="str">
            <v>ptserramenti@libero.it</v>
          </cell>
          <cell r="R1872" t="str">
            <v>BONIFICO BANCARIO, ALLA DATA DELLA NOSTRA CONFERMA D'ORDINE</v>
          </cell>
          <cell r="X1872">
            <v>0.25</v>
          </cell>
          <cell r="Y1872">
            <v>-0.04</v>
          </cell>
          <cell r="AB1872">
            <v>0.25</v>
          </cell>
          <cell r="AC1872">
            <v>0.25</v>
          </cell>
          <cell r="AD1872">
            <v>0.25</v>
          </cell>
          <cell r="AE1872">
            <v>0.25</v>
          </cell>
          <cell r="AF1872">
            <v>0.25</v>
          </cell>
          <cell r="AG1872">
            <v>0.25</v>
          </cell>
          <cell r="AH1872">
            <v>0.25</v>
          </cell>
          <cell r="AI1872">
            <v>0.25</v>
          </cell>
          <cell r="AJ1872">
            <v>0.25</v>
          </cell>
          <cell r="AK1872">
            <v>0.25</v>
          </cell>
          <cell r="AL1872">
            <v>0.25</v>
          </cell>
          <cell r="AM1872">
            <v>0.25</v>
          </cell>
          <cell r="AN1872">
            <v>0.25</v>
          </cell>
          <cell r="AO1872">
            <v>0.25</v>
          </cell>
          <cell r="AP1872">
            <v>0.25</v>
          </cell>
          <cell r="AQ1872">
            <v>0.25</v>
          </cell>
          <cell r="AR1872">
            <v>0.25</v>
          </cell>
          <cell r="AS1872">
            <v>0.25</v>
          </cell>
          <cell r="AT1872">
            <v>-0.04</v>
          </cell>
          <cell r="AU1872">
            <v>0.92</v>
          </cell>
          <cell r="AV1872">
            <v>20</v>
          </cell>
          <cell r="AY1872" t="str">
            <v/>
          </cell>
          <cell r="AZ1872">
            <v>0.25</v>
          </cell>
          <cell r="BA1872">
            <v>0.25</v>
          </cell>
        </row>
        <row r="1873">
          <cell r="A1873" t="str">
            <v>PACCHIONI SERRAMENTI</v>
          </cell>
          <cell r="B1873" t="str">
            <v>CLIENTE AS.CHIAMO PERCHE' DEVE FARE UN RILIEVO</v>
          </cell>
          <cell r="D1873" t="str">
            <v>VIA A.VOLTA, 50</v>
          </cell>
          <cell r="E1873">
            <v>46020</v>
          </cell>
          <cell r="F1873" t="str">
            <v>MOGLIA DI SERMIDE</v>
          </cell>
          <cell r="G1873" t="str">
            <v>MN</v>
          </cell>
          <cell r="H1873" t="str">
            <v>ITALIA</v>
          </cell>
          <cell r="M1873" t="str">
            <v>UFFICIO ACQUISTI</v>
          </cell>
          <cell r="N1873" t="str">
            <v>0386 62201</v>
          </cell>
          <cell r="P1873" t="str">
            <v>info@pacchioniserramenti.it</v>
          </cell>
          <cell r="R1873" t="str">
            <v>BONIFICO BANCARIO, ALLA DATA DELLA NOSTRA CONFERMA D'ORDINE</v>
          </cell>
          <cell r="X1873">
            <v>0.25</v>
          </cell>
          <cell r="Y1873">
            <v>-0.04</v>
          </cell>
          <cell r="AB1873">
            <v>0.25</v>
          </cell>
          <cell r="AC1873">
            <v>0.25</v>
          </cell>
          <cell r="AD1873">
            <v>0.25</v>
          </cell>
          <cell r="AE1873">
            <v>0.25</v>
          </cell>
          <cell r="AF1873">
            <v>0.25</v>
          </cell>
          <cell r="AG1873">
            <v>0.25</v>
          </cell>
          <cell r="AH1873">
            <v>0.25</v>
          </cell>
          <cell r="AI1873">
            <v>0.25</v>
          </cell>
          <cell r="AJ1873">
            <v>0.25</v>
          </cell>
          <cell r="AK1873">
            <v>0.25</v>
          </cell>
          <cell r="AL1873">
            <v>0.25</v>
          </cell>
          <cell r="AM1873">
            <v>0.25</v>
          </cell>
          <cell r="AN1873">
            <v>0.25</v>
          </cell>
          <cell r="AO1873">
            <v>0.25</v>
          </cell>
          <cell r="AP1873">
            <v>0.25</v>
          </cell>
          <cell r="AQ1873">
            <v>0.25</v>
          </cell>
          <cell r="AR1873">
            <v>0.25</v>
          </cell>
          <cell r="AS1873">
            <v>0.25</v>
          </cell>
          <cell r="AT1873">
            <v>-0.04</v>
          </cell>
          <cell r="AU1873">
            <v>0.92</v>
          </cell>
          <cell r="AV1873">
            <v>20</v>
          </cell>
          <cell r="AY1873" t="str">
            <v/>
          </cell>
          <cell r="AZ1873">
            <v>0.25</v>
          </cell>
          <cell r="BA1873">
            <v>0.25</v>
          </cell>
        </row>
        <row r="1874">
          <cell r="A1874" t="str">
            <v>PACE STEFANO</v>
          </cell>
          <cell r="D1874" t="str">
            <v>VIA MONTE CIRCEO 309/A</v>
          </cell>
          <cell r="E1874" t="str">
            <v>04017</v>
          </cell>
          <cell r="F1874" t="str">
            <v>SAN FELICE CIRCEO</v>
          </cell>
          <cell r="G1874" t="str">
            <v>LT</v>
          </cell>
          <cell r="H1874" t="str">
            <v>ITALIA</v>
          </cell>
          <cell r="I1874" t="str">
            <v>PCASFN72E27H501N</v>
          </cell>
          <cell r="J1874" t="str">
            <v>05040071002</v>
          </cell>
          <cell r="M1874" t="str">
            <v>UFFICIO ACQUISTI</v>
          </cell>
          <cell r="O1874" t="str">
            <v>360 347416</v>
          </cell>
          <cell r="P1874" t="str">
            <v>ps.serramenti@gmail.com</v>
          </cell>
          <cell r="R1874" t="str">
            <v>BONIFICO BANCARIO, ALLA DATA DELLA NOSTRA CONFERMA D'ORDINE</v>
          </cell>
          <cell r="X1874">
            <v>0.25</v>
          </cell>
          <cell r="Y1874">
            <v>-0.04</v>
          </cell>
          <cell r="AB1874">
            <v>0.25</v>
          </cell>
          <cell r="AC1874">
            <v>0.25</v>
          </cell>
          <cell r="AD1874">
            <v>0.25</v>
          </cell>
          <cell r="AE1874">
            <v>0.25</v>
          </cell>
          <cell r="AF1874">
            <v>0.25</v>
          </cell>
          <cell r="AG1874">
            <v>0.25</v>
          </cell>
          <cell r="AH1874">
            <v>0.25</v>
          </cell>
          <cell r="AI1874">
            <v>0.25</v>
          </cell>
          <cell r="AJ1874">
            <v>0.25</v>
          </cell>
          <cell r="AK1874">
            <v>0.25</v>
          </cell>
          <cell r="AL1874">
            <v>0.25</v>
          </cell>
          <cell r="AM1874">
            <v>0.25</v>
          </cell>
          <cell r="AN1874">
            <v>0.25</v>
          </cell>
          <cell r="AO1874">
            <v>0.25</v>
          </cell>
          <cell r="AP1874">
            <v>0.25</v>
          </cell>
          <cell r="AQ1874">
            <v>0.25</v>
          </cell>
          <cell r="AR1874">
            <v>0.25</v>
          </cell>
          <cell r="AS1874">
            <v>0.25</v>
          </cell>
          <cell r="AT1874">
            <v>-0.04</v>
          </cell>
          <cell r="AU1874">
            <v>0.92</v>
          </cell>
          <cell r="AV1874">
            <v>20</v>
          </cell>
          <cell r="AY1874" t="str">
            <v/>
          </cell>
          <cell r="AZ1874">
            <v>0.25</v>
          </cell>
          <cell r="BA1874">
            <v>0.25</v>
          </cell>
        </row>
        <row r="1875">
          <cell r="A1875" t="str">
            <v>PACINI AVVOLGIBILI SNC</v>
          </cell>
          <cell r="D1875" t="str">
            <v>VIA IDROVORA, 8 (TRAV.VIA TORRE LA FELCE)</v>
          </cell>
          <cell r="E1875" t="str">
            <v>04100</v>
          </cell>
          <cell r="F1875" t="str">
            <v>LATINA</v>
          </cell>
          <cell r="G1875" t="str">
            <v>LT</v>
          </cell>
          <cell r="H1875" t="str">
            <v>ITALIA</v>
          </cell>
          <cell r="J1875" t="str">
            <v>01926180595</v>
          </cell>
          <cell r="M1875" t="str">
            <v>UFFICIO ACQUISTI</v>
          </cell>
          <cell r="N1875" t="str">
            <v>0773 489701</v>
          </cell>
          <cell r="O1875" t="str">
            <v>324 5528709</v>
          </cell>
          <cell r="P1875" t="str">
            <v>paciniavvolg@alice.it</v>
          </cell>
          <cell r="R1875" t="str">
            <v>BONIFICO BANCARIO, ALLA DATA DELLA NOSTRA CONFERMA D'ORDINE</v>
          </cell>
          <cell r="X1875">
            <v>0.2</v>
          </cell>
          <cell r="Y1875">
            <v>-0.04</v>
          </cell>
          <cell r="AB1875">
            <v>0.2</v>
          </cell>
          <cell r="AC1875">
            <v>0.2</v>
          </cell>
          <cell r="AD1875">
            <v>0.2</v>
          </cell>
          <cell r="AE1875">
            <v>0.2</v>
          </cell>
          <cell r="AF1875">
            <v>0.2</v>
          </cell>
          <cell r="AG1875">
            <v>0.2</v>
          </cell>
          <cell r="AH1875">
            <v>0.2</v>
          </cell>
          <cell r="AI1875">
            <v>0.2</v>
          </cell>
          <cell r="AJ1875">
            <v>0.2</v>
          </cell>
          <cell r="AK1875">
            <v>0.2</v>
          </cell>
          <cell r="AL1875">
            <v>0.2</v>
          </cell>
          <cell r="AM1875">
            <v>0.2</v>
          </cell>
          <cell r="AN1875">
            <v>0.2</v>
          </cell>
          <cell r="AO1875">
            <v>0.2</v>
          </cell>
          <cell r="AP1875">
            <v>0.2</v>
          </cell>
          <cell r="AQ1875">
            <v>0.2</v>
          </cell>
          <cell r="AR1875">
            <v>0.2</v>
          </cell>
          <cell r="AS1875">
            <v>0.2</v>
          </cell>
          <cell r="AT1875">
            <v>-0.04</v>
          </cell>
          <cell r="AU1875">
            <v>0.92</v>
          </cell>
          <cell r="AV1875">
            <v>20</v>
          </cell>
          <cell r="AZ1875">
            <v>0.2</v>
          </cell>
          <cell r="BA1875">
            <v>0.2</v>
          </cell>
        </row>
        <row r="1876">
          <cell r="A1876" t="str">
            <v>PACINO FABBRO FERRAIO DI STEFANO BARTALUCCI</v>
          </cell>
          <cell r="D1876" t="str">
            <v>VIA G. B. VICO, 59</v>
          </cell>
          <cell r="E1876" t="str">
            <v>C</v>
          </cell>
          <cell r="F1876" t="str">
            <v>EMPOLI</v>
          </cell>
          <cell r="G1876" t="str">
            <v>FI</v>
          </cell>
          <cell r="H1876" t="str">
            <v>ITALIA</v>
          </cell>
          <cell r="J1876" t="str">
            <v>02217570486</v>
          </cell>
          <cell r="M1876" t="str">
            <v>UFFICIO ACQUISTI</v>
          </cell>
          <cell r="N1876" t="str">
            <v>0571 592156</v>
          </cell>
          <cell r="O1876" t="str">
            <v>335 293952</v>
          </cell>
          <cell r="P1876" t="str">
            <v>pacinofabbro@gmail.com</v>
          </cell>
          <cell r="R1876" t="str">
            <v>BONIFICO BANCARIO, ALLA DATA DELLA NOSTRA CONFERMA D'ORDINE</v>
          </cell>
          <cell r="X1876">
            <v>0.25</v>
          </cell>
          <cell r="Y1876">
            <v>-0.04</v>
          </cell>
          <cell r="AB1876">
            <v>0.25</v>
          </cell>
          <cell r="AC1876">
            <v>0.25</v>
          </cell>
          <cell r="AD1876">
            <v>0.25</v>
          </cell>
          <cell r="AE1876">
            <v>0.25</v>
          </cell>
          <cell r="AF1876">
            <v>0.25</v>
          </cell>
          <cell r="AG1876">
            <v>0.25</v>
          </cell>
          <cell r="AH1876">
            <v>0.25</v>
          </cell>
          <cell r="AI1876">
            <v>0.25</v>
          </cell>
          <cell r="AJ1876">
            <v>0.25</v>
          </cell>
          <cell r="AK1876">
            <v>0.25</v>
          </cell>
          <cell r="AL1876">
            <v>0.25</v>
          </cell>
          <cell r="AM1876">
            <v>0.25</v>
          </cell>
          <cell r="AN1876">
            <v>0.25</v>
          </cell>
          <cell r="AO1876">
            <v>0.25</v>
          </cell>
          <cell r="AP1876">
            <v>0.25</v>
          </cell>
          <cell r="AQ1876">
            <v>0.25</v>
          </cell>
          <cell r="AR1876">
            <v>0.25</v>
          </cell>
          <cell r="AS1876">
            <v>0.25</v>
          </cell>
          <cell r="AT1876">
            <v>-0.04</v>
          </cell>
          <cell r="AU1876">
            <v>0.92</v>
          </cell>
          <cell r="AV1876">
            <v>20</v>
          </cell>
          <cell r="AY1876" t="str">
            <v/>
          </cell>
          <cell r="AZ1876">
            <v>0.25</v>
          </cell>
          <cell r="BA1876">
            <v>0.25</v>
          </cell>
        </row>
        <row r="1877">
          <cell r="A1877" t="str">
            <v>PADANA INFISS S.R.L.</v>
          </cell>
          <cell r="D1877" t="str">
            <v>STRADA CIPATA, 34</v>
          </cell>
          <cell r="E1877">
            <v>46100</v>
          </cell>
          <cell r="F1877" t="str">
            <v>MANTOVA</v>
          </cell>
          <cell r="G1877" t="str">
            <v>MN</v>
          </cell>
          <cell r="H1877" t="str">
            <v>ITALIA</v>
          </cell>
          <cell r="I1877" t="str">
            <v>01925520205</v>
          </cell>
          <cell r="J1877" t="str">
            <v>0192550205</v>
          </cell>
          <cell r="M1877" t="str">
            <v>UFFICIO ACQUISTI</v>
          </cell>
          <cell r="N1877" t="str">
            <v>0376 302472</v>
          </cell>
          <cell r="O1877" t="str">
            <v>Eugenio Solci 328 8396849</v>
          </cell>
          <cell r="P1877" t="str">
            <v>info@padanainfissi.it - ufftecnico@padanainfissi.it</v>
          </cell>
          <cell r="R1877" t="str">
            <v>BONIFICO BANCARIO, ALLA DATA DELLA NOSTRA CONFERMA D'ORDINE</v>
          </cell>
          <cell r="X1877">
            <v>0.25</v>
          </cell>
          <cell r="Y1877">
            <v>-0.04</v>
          </cell>
          <cell r="AB1877">
            <v>0.25</v>
          </cell>
          <cell r="AC1877">
            <v>0.25</v>
          </cell>
          <cell r="AD1877">
            <v>0.25</v>
          </cell>
          <cell r="AE1877">
            <v>0.25</v>
          </cell>
          <cell r="AF1877">
            <v>0.25</v>
          </cell>
          <cell r="AG1877">
            <v>0.25</v>
          </cell>
          <cell r="AH1877">
            <v>0.25</v>
          </cell>
          <cell r="AI1877">
            <v>0.25</v>
          </cell>
          <cell r="AJ1877">
            <v>0.25</v>
          </cell>
          <cell r="AK1877">
            <v>0.25</v>
          </cell>
          <cell r="AL1877">
            <v>0.25</v>
          </cell>
          <cell r="AM1877">
            <v>0.25</v>
          </cell>
          <cell r="AN1877">
            <v>0.25</v>
          </cell>
          <cell r="AO1877">
            <v>0.25</v>
          </cell>
          <cell r="AP1877">
            <v>0.25</v>
          </cell>
          <cell r="AQ1877">
            <v>0.25</v>
          </cell>
          <cell r="AR1877">
            <v>0.25</v>
          </cell>
          <cell r="AS1877">
            <v>0.25</v>
          </cell>
          <cell r="AT1877">
            <v>-0.04</v>
          </cell>
          <cell r="AU1877">
            <v>0.92</v>
          </cell>
          <cell r="AV1877">
            <v>20</v>
          </cell>
          <cell r="AY1877" t="str">
            <v/>
          </cell>
          <cell r="AZ1877">
            <v>0.25</v>
          </cell>
          <cell r="BA1877">
            <v>0.25</v>
          </cell>
        </row>
        <row r="1878">
          <cell r="A1878" t="str">
            <v>PADOVAN GUIDO</v>
          </cell>
          <cell r="D1878" t="str">
            <v xml:space="preserve">VIA SAN ROCCO, 48 </v>
          </cell>
          <cell r="E1878" t="str">
            <v>10053</v>
          </cell>
          <cell r="F1878" t="str">
            <v>BUSSOLENO</v>
          </cell>
          <cell r="G1878" t="str">
            <v>TO</v>
          </cell>
          <cell r="H1878" t="str">
            <v>ITALIA</v>
          </cell>
          <cell r="I1878" t="str">
            <v>PDVGDU66T27L219L</v>
          </cell>
          <cell r="J1878" t="str">
            <v>09265730011</v>
          </cell>
          <cell r="M1878" t="str">
            <v>UFFICIO ACQUISTI</v>
          </cell>
          <cell r="O1878" t="str">
            <v>340 8444460</v>
          </cell>
          <cell r="P1878" t="str">
            <v>padovanoich@gmail.com</v>
          </cell>
          <cell r="R1878" t="str">
            <v>BONIFICO BANCARIO, ALLA DATA DELLA NOSTRA CONFERMA D'ORDINE</v>
          </cell>
          <cell r="X1878">
            <v>0.25</v>
          </cell>
          <cell r="Y1878">
            <v>-0.04</v>
          </cell>
          <cell r="AB1878">
            <v>0.25</v>
          </cell>
          <cell r="AC1878">
            <v>0.25</v>
          </cell>
          <cell r="AD1878">
            <v>0.25</v>
          </cell>
          <cell r="AE1878">
            <v>0.25</v>
          </cell>
          <cell r="AF1878">
            <v>0.25</v>
          </cell>
          <cell r="AG1878">
            <v>0.25</v>
          </cell>
          <cell r="AH1878">
            <v>0.25</v>
          </cell>
          <cell r="AI1878">
            <v>0.25</v>
          </cell>
          <cell r="AJ1878">
            <v>0.25</v>
          </cell>
          <cell r="AK1878">
            <v>0.25</v>
          </cell>
          <cell r="AL1878">
            <v>0.25</v>
          </cell>
          <cell r="AM1878">
            <v>0.25</v>
          </cell>
          <cell r="AN1878">
            <v>0.25</v>
          </cell>
          <cell r="AO1878">
            <v>0.25</v>
          </cell>
          <cell r="AP1878">
            <v>0.25</v>
          </cell>
          <cell r="AQ1878">
            <v>0.25</v>
          </cell>
          <cell r="AR1878">
            <v>0.25</v>
          </cell>
          <cell r="AS1878">
            <v>0.25</v>
          </cell>
          <cell r="AT1878">
            <v>-0.04</v>
          </cell>
          <cell r="AU1878">
            <v>0.92</v>
          </cell>
          <cell r="AV1878">
            <v>20</v>
          </cell>
          <cell r="AZ1878">
            <v>0.25</v>
          </cell>
          <cell r="BA1878">
            <v>0.25</v>
          </cell>
        </row>
        <row r="1879">
          <cell r="A1879" t="str">
            <v>PAGANI SPA DI PAGANI PAOLO &amp; FIGLI</v>
          </cell>
          <cell r="D1879" t="str">
            <v>VIA NICOLA AMATI, 2/3/7</v>
          </cell>
          <cell r="E1879" t="str">
            <v>25030</v>
          </cell>
          <cell r="F1879" t="str">
            <v>URAGO D'OGLIO</v>
          </cell>
          <cell r="G1879" t="str">
            <v>BS</v>
          </cell>
          <cell r="H1879" t="str">
            <v>ITALIA</v>
          </cell>
          <cell r="J1879" t="str">
            <v>01742770983</v>
          </cell>
          <cell r="M1879" t="str">
            <v>UFFICIO ACQUISTI</v>
          </cell>
          <cell r="N1879" t="str">
            <v>030 717178</v>
          </cell>
          <cell r="P1879" t="str">
            <v>info@paganispa.it</v>
          </cell>
          <cell r="R1879" t="str">
            <v>BONIFICO BANCARIO, ALLA DATA DELLA NOSTRA CONFERMA D'ORDINE</v>
          </cell>
          <cell r="X1879">
            <v>0.2</v>
          </cell>
          <cell r="Y1879">
            <v>-0.04</v>
          </cell>
          <cell r="AB1879">
            <v>0.2</v>
          </cell>
          <cell r="AC1879">
            <v>0.2</v>
          </cell>
          <cell r="AD1879">
            <v>0.2</v>
          </cell>
          <cell r="AE1879">
            <v>0.2</v>
          </cell>
          <cell r="AF1879">
            <v>0.2</v>
          </cell>
          <cell r="AG1879">
            <v>0.2</v>
          </cell>
          <cell r="AH1879">
            <v>0.2</v>
          </cell>
          <cell r="AI1879">
            <v>0.2</v>
          </cell>
          <cell r="AJ1879">
            <v>0.2</v>
          </cell>
          <cell r="AK1879">
            <v>0.2</v>
          </cell>
          <cell r="AL1879">
            <v>0.2</v>
          </cell>
          <cell r="AM1879">
            <v>0.2</v>
          </cell>
          <cell r="AN1879">
            <v>0.2</v>
          </cell>
          <cell r="AO1879">
            <v>0.2</v>
          </cell>
          <cell r="AP1879">
            <v>0.2</v>
          </cell>
          <cell r="AQ1879">
            <v>0.2</v>
          </cell>
          <cell r="AR1879">
            <v>0.2</v>
          </cell>
          <cell r="AS1879">
            <v>0.2</v>
          </cell>
          <cell r="AT1879">
            <v>-0.04</v>
          </cell>
          <cell r="AU1879">
            <v>0.92</v>
          </cell>
          <cell r="AV1879">
            <v>20</v>
          </cell>
          <cell r="AZ1879">
            <v>0.2</v>
          </cell>
          <cell r="BA1879">
            <v>0.2</v>
          </cell>
        </row>
        <row r="1880">
          <cell r="A1880" t="str">
            <v>PALAZZOLO MICHELE E FIGLIO</v>
          </cell>
          <cell r="D1880" t="str">
            <v>CONTRADA SAN GIOVANNI</v>
          </cell>
          <cell r="E1880" t="str">
            <v>90045</v>
          </cell>
          <cell r="F1880" t="str">
            <v>CINISI</v>
          </cell>
          <cell r="G1880" t="str">
            <v>PA</v>
          </cell>
          <cell r="H1880" t="str">
            <v>ITALIA</v>
          </cell>
          <cell r="M1880" t="str">
            <v>UFFICIO ACQUISTI</v>
          </cell>
          <cell r="N1880" t="str">
            <v>091 8665402</v>
          </cell>
          <cell r="O1880" t="str">
            <v>339 5215568 GIUSEPPE</v>
          </cell>
          <cell r="P1880" t="str">
            <v>info@pmgroup.it</v>
          </cell>
          <cell r="R1880" t="str">
            <v>BONIFICO BANCARIO, ALLA DATA DELLA NOSTRA CONFERMA D'ORDINE</v>
          </cell>
          <cell r="X1880">
            <v>0.25</v>
          </cell>
          <cell r="Y1880">
            <v>-0.04</v>
          </cell>
          <cell r="AB1880">
            <v>0.25</v>
          </cell>
          <cell r="AC1880">
            <v>0.25</v>
          </cell>
          <cell r="AD1880">
            <v>0.25</v>
          </cell>
          <cell r="AE1880">
            <v>0.25</v>
          </cell>
          <cell r="AF1880">
            <v>0.25</v>
          </cell>
          <cell r="AG1880">
            <v>0.25</v>
          </cell>
          <cell r="AH1880">
            <v>0.25</v>
          </cell>
          <cell r="AI1880">
            <v>0.25</v>
          </cell>
          <cell r="AJ1880">
            <v>0.25</v>
          </cell>
          <cell r="AK1880">
            <v>0.25</v>
          </cell>
          <cell r="AL1880">
            <v>0.25</v>
          </cell>
          <cell r="AM1880">
            <v>0.25</v>
          </cell>
          <cell r="AN1880">
            <v>0.25</v>
          </cell>
          <cell r="AO1880">
            <v>0.25</v>
          </cell>
          <cell r="AP1880">
            <v>0.25</v>
          </cell>
          <cell r="AQ1880">
            <v>0.25</v>
          </cell>
          <cell r="AR1880">
            <v>0.25</v>
          </cell>
          <cell r="AS1880">
            <v>0.25</v>
          </cell>
          <cell r="AT1880">
            <v>-0.04</v>
          </cell>
          <cell r="AU1880">
            <v>0.92</v>
          </cell>
          <cell r="AV1880">
            <v>20</v>
          </cell>
          <cell r="AY1880" t="str">
            <v/>
          </cell>
          <cell r="AZ1880">
            <v>0.25</v>
          </cell>
          <cell r="BA1880">
            <v>0.25</v>
          </cell>
        </row>
        <row r="1881">
          <cell r="A1881" t="str">
            <v>PALONI SERRAMENTI SRL</v>
          </cell>
          <cell r="D1881" t="str">
            <v>VIA VANZETTI, 14</v>
          </cell>
          <cell r="E1881" t="str">
            <v>05100</v>
          </cell>
          <cell r="F1881" t="str">
            <v>TERNI</v>
          </cell>
          <cell r="G1881" t="str">
            <v>TR</v>
          </cell>
          <cell r="H1881" t="str">
            <v>ITALIA</v>
          </cell>
          <cell r="J1881" t="str">
            <v>01437260555</v>
          </cell>
          <cell r="K1881" t="str">
            <v>KRRH6B9</v>
          </cell>
          <cell r="M1881" t="str">
            <v>UFFICIO ACQUISTI</v>
          </cell>
          <cell r="N1881" t="str">
            <v>0744 390110</v>
          </cell>
          <cell r="O1881" t="str">
            <v>328 3311706 MAURIZIO</v>
          </cell>
          <cell r="P1881" t="str">
            <v>maurizio.p@paloniserramenti.com</v>
          </cell>
          <cell r="R1881" t="str">
            <v>BONIFICO BANCARIO, ALLA DATA DELLA NOSTRA CONFERMA D'ORDINE</v>
          </cell>
          <cell r="Y1881">
            <v>-0.04</v>
          </cell>
          <cell r="AT1881">
            <v>-0.04</v>
          </cell>
          <cell r="AV1881">
            <v>20</v>
          </cell>
          <cell r="AZ1881">
            <v>0</v>
          </cell>
          <cell r="BA1881">
            <v>0</v>
          </cell>
        </row>
        <row r="1882">
          <cell r="A1882" t="str">
            <v>PANDOLFI SRL</v>
          </cell>
          <cell r="D1882" t="str">
            <v>VIA UGO FOSCOLO 19</v>
          </cell>
          <cell r="F1882" t="str">
            <v>MONZA</v>
          </cell>
          <cell r="G1882" t="str">
            <v>MB</v>
          </cell>
          <cell r="H1882" t="str">
            <v>ITALIA</v>
          </cell>
          <cell r="J1882" t="str">
            <v>10406640960</v>
          </cell>
          <cell r="M1882" t="str">
            <v>UFFICIO ACQUISTI</v>
          </cell>
          <cell r="N1882" t="str">
            <v>039 836065</v>
          </cell>
          <cell r="O1882" t="str">
            <v>347 6962340 PARIDE TREMOLADA</v>
          </cell>
          <cell r="R1882" t="str">
            <v>BONIFICO BANCARIO, ALLA DATA DELLA NOSTRA CONFERMA D'ORDINE</v>
          </cell>
          <cell r="X1882">
            <v>0.25</v>
          </cell>
          <cell r="Y1882">
            <v>-0.04</v>
          </cell>
          <cell r="AB1882">
            <v>0.25</v>
          </cell>
          <cell r="AC1882">
            <v>0.25</v>
          </cell>
          <cell r="AD1882">
            <v>0.25</v>
          </cell>
          <cell r="AE1882">
            <v>0.25</v>
          </cell>
          <cell r="AF1882">
            <v>0.25</v>
          </cell>
          <cell r="AG1882">
            <v>0.25</v>
          </cell>
          <cell r="AH1882">
            <v>0.25</v>
          </cell>
          <cell r="AI1882">
            <v>0.25</v>
          </cell>
          <cell r="AJ1882">
            <v>0.25</v>
          </cell>
          <cell r="AK1882">
            <v>0.25</v>
          </cell>
          <cell r="AL1882">
            <v>0.25</v>
          </cell>
          <cell r="AM1882">
            <v>0.25</v>
          </cell>
          <cell r="AN1882">
            <v>0.25</v>
          </cell>
          <cell r="AO1882">
            <v>0.25</v>
          </cell>
          <cell r="AP1882">
            <v>0.25</v>
          </cell>
          <cell r="AQ1882">
            <v>0.25</v>
          </cell>
          <cell r="AR1882">
            <v>0.25</v>
          </cell>
          <cell r="AS1882">
            <v>0.25</v>
          </cell>
          <cell r="AT1882">
            <v>-0.04</v>
          </cell>
          <cell r="AU1882">
            <v>0.92</v>
          </cell>
          <cell r="AV1882">
            <v>20</v>
          </cell>
          <cell r="AY1882" t="str">
            <v/>
          </cell>
          <cell r="AZ1882">
            <v>0.25</v>
          </cell>
          <cell r="BA1882">
            <v>0.25</v>
          </cell>
        </row>
        <row r="1883">
          <cell r="A1883" t="str">
            <v>PANFILI SERRAMENTI</v>
          </cell>
          <cell r="D1883" t="str">
            <v>CORSO MAZZINI, 38</v>
          </cell>
          <cell r="E1883">
            <v>17011</v>
          </cell>
          <cell r="F1883" t="str">
            <v xml:space="preserve">ALBISOLA SUPERIORE </v>
          </cell>
          <cell r="G1883" t="str">
            <v>SV</v>
          </cell>
          <cell r="H1883" t="str">
            <v>ITALIA</v>
          </cell>
          <cell r="M1883" t="str">
            <v>UFFICIO ACQUISTI</v>
          </cell>
          <cell r="N1883" t="str">
            <v>019 2512513</v>
          </cell>
          <cell r="P1883" t="str">
            <v>info@panfiliserramenti.it</v>
          </cell>
          <cell r="R1883" t="str">
            <v>BONIFICO BANCARIO, ALLA DATA DELLA NOSTRA CONFERMA D'ORDINE</v>
          </cell>
          <cell r="X1883">
            <v>0.25</v>
          </cell>
          <cell r="Y1883">
            <v>-0.04</v>
          </cell>
          <cell r="AB1883">
            <v>0.25</v>
          </cell>
          <cell r="AC1883">
            <v>0.25</v>
          </cell>
          <cell r="AD1883">
            <v>0.25</v>
          </cell>
          <cell r="AE1883">
            <v>0.25</v>
          </cell>
          <cell r="AF1883">
            <v>0.25</v>
          </cell>
          <cell r="AG1883">
            <v>0.25</v>
          </cell>
          <cell r="AH1883">
            <v>0.25</v>
          </cell>
          <cell r="AI1883">
            <v>0.25</v>
          </cell>
          <cell r="AJ1883">
            <v>0.25</v>
          </cell>
          <cell r="AK1883">
            <v>0.25</v>
          </cell>
          <cell r="AL1883">
            <v>0.25</v>
          </cell>
          <cell r="AM1883">
            <v>0.25</v>
          </cell>
          <cell r="AN1883">
            <v>0.25</v>
          </cell>
          <cell r="AO1883">
            <v>0.25</v>
          </cell>
          <cell r="AP1883">
            <v>0.25</v>
          </cell>
          <cell r="AQ1883">
            <v>0.25</v>
          </cell>
          <cell r="AR1883">
            <v>0.25</v>
          </cell>
          <cell r="AS1883">
            <v>0.25</v>
          </cell>
          <cell r="AT1883">
            <v>-0.04</v>
          </cell>
          <cell r="AU1883">
            <v>0.92</v>
          </cell>
          <cell r="AV1883">
            <v>20</v>
          </cell>
          <cell r="AY1883" t="str">
            <v/>
          </cell>
          <cell r="AZ1883">
            <v>0.25</v>
          </cell>
          <cell r="BA1883">
            <v>0.25</v>
          </cell>
        </row>
        <row r="1884">
          <cell r="A1884" t="str">
            <v>PANIZZA SISTEMI DI APERTURA SRL</v>
          </cell>
          <cell r="B1884" t="str">
            <v>RIVENDITORE ACQUASTOP</v>
          </cell>
          <cell r="D1884" t="str">
            <v>VIA G. DELEDDA 12</v>
          </cell>
          <cell r="E1884" t="str">
            <v xml:space="preserve">44124 </v>
          </cell>
          <cell r="F1884" t="str">
            <v xml:space="preserve">FERRARA </v>
          </cell>
          <cell r="G1884" t="str">
            <v>FE</v>
          </cell>
          <cell r="H1884" t="str">
            <v>ITALIA</v>
          </cell>
          <cell r="M1884" t="str">
            <v>UFFICIO ACQUISTI</v>
          </cell>
          <cell r="N1884" t="str">
            <v>0532 91276</v>
          </cell>
          <cell r="O1884" t="str">
            <v xml:space="preserve">329 8632863 MICHELE PANIZZA </v>
          </cell>
          <cell r="P1884" t="str">
            <v>michele@panizzasda.it</v>
          </cell>
          <cell r="R1884" t="str">
            <v>BONIFICO BANCARIO, ALLA DATA DELLA NOSTRA CONFERMA D'ORDINE</v>
          </cell>
          <cell r="X1884">
            <v>0.25</v>
          </cell>
          <cell r="Y1884">
            <v>-0.04</v>
          </cell>
          <cell r="AB1884">
            <v>0.25</v>
          </cell>
          <cell r="AC1884">
            <v>0.25</v>
          </cell>
          <cell r="AD1884">
            <v>0.25</v>
          </cell>
          <cell r="AE1884">
            <v>0.25</v>
          </cell>
          <cell r="AF1884">
            <v>0.25</v>
          </cell>
          <cell r="AG1884">
            <v>0.25</v>
          </cell>
          <cell r="AH1884">
            <v>0.25</v>
          </cell>
          <cell r="AI1884">
            <v>0.25</v>
          </cell>
          <cell r="AJ1884">
            <v>0.25</v>
          </cell>
          <cell r="AK1884">
            <v>0.25</v>
          </cell>
          <cell r="AL1884">
            <v>0.25</v>
          </cell>
          <cell r="AM1884">
            <v>0.25</v>
          </cell>
          <cell r="AN1884">
            <v>0.25</v>
          </cell>
          <cell r="AO1884">
            <v>0.25</v>
          </cell>
          <cell r="AP1884">
            <v>0.25</v>
          </cell>
          <cell r="AQ1884">
            <v>0.25</v>
          </cell>
          <cell r="AR1884">
            <v>0.25</v>
          </cell>
          <cell r="AS1884">
            <v>0.25</v>
          </cell>
          <cell r="AT1884">
            <v>-0.04</v>
          </cell>
          <cell r="AU1884">
            <v>0.92</v>
          </cell>
          <cell r="AV1884">
            <v>20</v>
          </cell>
          <cell r="AY1884" t="str">
            <v/>
          </cell>
          <cell r="AZ1884">
            <v>0.25</v>
          </cell>
          <cell r="BA1884">
            <v>0.25</v>
          </cell>
        </row>
        <row r="1885">
          <cell r="A1885" t="str">
            <v>PANORAMI PORTE E FINESTRE</v>
          </cell>
          <cell r="B1885" t="str">
            <v>LASCIATO DEPLIAN -MP</v>
          </cell>
          <cell r="D1885" t="str">
            <v>VIA BRAJA EX PARCO DORIA</v>
          </cell>
          <cell r="E1885">
            <v>17100</v>
          </cell>
          <cell r="F1885" t="str">
            <v>SAVONA</v>
          </cell>
          <cell r="G1885" t="str">
            <v>SV</v>
          </cell>
          <cell r="H1885" t="str">
            <v>ITALIA</v>
          </cell>
          <cell r="J1885" t="str">
            <v>01568600090</v>
          </cell>
          <cell r="M1885" t="str">
            <v>UFFICIO ACQUISTI</v>
          </cell>
          <cell r="N1885" t="str">
            <v>019 2209934</v>
          </cell>
          <cell r="P1885" t="str">
            <v>info@panoramisrl.it</v>
          </cell>
          <cell r="R1885" t="str">
            <v>BONIFICO BANCARIO, ALLA DATA DELLA NOSTRA CONFERMA D'ORDINE</v>
          </cell>
          <cell r="X1885">
            <v>0.25</v>
          </cell>
          <cell r="Y1885">
            <v>-0.04</v>
          </cell>
          <cell r="AB1885">
            <v>0.25</v>
          </cell>
          <cell r="AC1885">
            <v>0.25</v>
          </cell>
          <cell r="AD1885">
            <v>0.25</v>
          </cell>
          <cell r="AE1885">
            <v>0.25</v>
          </cell>
          <cell r="AF1885">
            <v>0.25</v>
          </cell>
          <cell r="AG1885">
            <v>0.25</v>
          </cell>
          <cell r="AH1885">
            <v>0.25</v>
          </cell>
          <cell r="AI1885">
            <v>0.25</v>
          </cell>
          <cell r="AJ1885">
            <v>0.25</v>
          </cell>
          <cell r="AK1885">
            <v>0.25</v>
          </cell>
          <cell r="AL1885">
            <v>0.25</v>
          </cell>
          <cell r="AM1885">
            <v>0.25</v>
          </cell>
          <cell r="AN1885">
            <v>0.25</v>
          </cell>
          <cell r="AO1885">
            <v>0.25</v>
          </cell>
          <cell r="AP1885">
            <v>0.25</v>
          </cell>
          <cell r="AQ1885">
            <v>0.25</v>
          </cell>
          <cell r="AR1885">
            <v>0.25</v>
          </cell>
          <cell r="AS1885">
            <v>0.25</v>
          </cell>
          <cell r="AT1885">
            <v>-0.04</v>
          </cell>
          <cell r="AU1885">
            <v>0.92</v>
          </cell>
          <cell r="AV1885">
            <v>20</v>
          </cell>
          <cell r="AY1885" t="str">
            <v/>
          </cell>
          <cell r="AZ1885">
            <v>0.25</v>
          </cell>
          <cell r="BA1885">
            <v>0.25</v>
          </cell>
        </row>
        <row r="1886">
          <cell r="A1886" t="str">
            <v>PAOLINI INFISSI S.R.L.</v>
          </cell>
          <cell r="D1886" t="str">
            <v>VIA TRIESTE, 37</v>
          </cell>
          <cell r="E1886">
            <v>37047</v>
          </cell>
          <cell r="F1886" t="str">
            <v xml:space="preserve">SAN BONIFACIO </v>
          </cell>
          <cell r="G1886" t="str">
            <v>VR</v>
          </cell>
          <cell r="H1886" t="str">
            <v>ITALIA</v>
          </cell>
          <cell r="M1886" t="str">
            <v>UFFICIO ACQUISTI</v>
          </cell>
          <cell r="N1886" t="str">
            <v>045 761 0775</v>
          </cell>
          <cell r="R1886" t="str">
            <v>BONIFICO BANCARIO, ALLA DATA DELLA NOSTRA CONFERMA D'ORDINE</v>
          </cell>
          <cell r="X1886">
            <v>0.25</v>
          </cell>
          <cell r="Y1886">
            <v>-0.04</v>
          </cell>
          <cell r="AB1886">
            <v>0.25</v>
          </cell>
          <cell r="AC1886">
            <v>0.25</v>
          </cell>
          <cell r="AD1886">
            <v>0.25</v>
          </cell>
          <cell r="AE1886">
            <v>0.25</v>
          </cell>
          <cell r="AF1886">
            <v>0.25</v>
          </cell>
          <cell r="AG1886">
            <v>0.25</v>
          </cell>
          <cell r="AH1886">
            <v>0.25</v>
          </cell>
          <cell r="AI1886">
            <v>0.25</v>
          </cell>
          <cell r="AJ1886">
            <v>0.25</v>
          </cell>
          <cell r="AK1886">
            <v>0.25</v>
          </cell>
          <cell r="AL1886">
            <v>0.25</v>
          </cell>
          <cell r="AM1886">
            <v>0.25</v>
          </cell>
          <cell r="AN1886">
            <v>0.25</v>
          </cell>
          <cell r="AO1886">
            <v>0.25</v>
          </cell>
          <cell r="AP1886">
            <v>0.25</v>
          </cell>
          <cell r="AQ1886">
            <v>0.25</v>
          </cell>
          <cell r="AR1886">
            <v>0.25</v>
          </cell>
          <cell r="AS1886">
            <v>0.25</v>
          </cell>
          <cell r="AT1886">
            <v>-0.04</v>
          </cell>
          <cell r="AU1886">
            <v>0.92</v>
          </cell>
          <cell r="AV1886">
            <v>20</v>
          </cell>
          <cell r="AY1886" t="str">
            <v/>
          </cell>
          <cell r="AZ1886">
            <v>0.25</v>
          </cell>
          <cell r="BA1886">
            <v>0.25</v>
          </cell>
        </row>
        <row r="1887">
          <cell r="A1887" t="str">
            <v>PAOLONI SERRAMENTI</v>
          </cell>
          <cell r="D1887" t="str">
            <v>VIALE S DANIELE, 72</v>
          </cell>
          <cell r="E1887" t="str">
            <v>33010</v>
          </cell>
          <cell r="F1887" t="str">
            <v>COLUGNA DI TOVAGNACCO</v>
          </cell>
          <cell r="G1887" t="str">
            <v>UD</v>
          </cell>
          <cell r="H1887" t="str">
            <v>ITALIA</v>
          </cell>
          <cell r="J1887" t="str">
            <v>01797690300</v>
          </cell>
          <cell r="K1887" t="str">
            <v>KRRH6B9</v>
          </cell>
          <cell r="M1887" t="str">
            <v>UFFICIO ACQUISTI</v>
          </cell>
          <cell r="N1887" t="str">
            <v>0432 540251</v>
          </cell>
          <cell r="P1887" t="str">
            <v>paoloni.serramenti@gmail.com</v>
          </cell>
          <cell r="R1887" t="str">
            <v>BONIFICO BANCARIO, ALLA DATA DELLA NOSTRA CONFERMA D'ORDINE</v>
          </cell>
          <cell r="X1887">
            <v>0.25</v>
          </cell>
          <cell r="Y1887">
            <v>-0.04</v>
          </cell>
          <cell r="AB1887">
            <v>0.25</v>
          </cell>
          <cell r="AC1887">
            <v>0.25</v>
          </cell>
          <cell r="AD1887">
            <v>0.25</v>
          </cell>
          <cell r="AE1887">
            <v>0.25</v>
          </cell>
          <cell r="AF1887">
            <v>0.25</v>
          </cell>
          <cell r="AG1887">
            <v>0.25</v>
          </cell>
          <cell r="AH1887">
            <v>0.25</v>
          </cell>
          <cell r="AI1887">
            <v>0.25</v>
          </cell>
          <cell r="AJ1887">
            <v>0.25</v>
          </cell>
          <cell r="AK1887">
            <v>0.25</v>
          </cell>
          <cell r="AL1887">
            <v>0.25</v>
          </cell>
          <cell r="AM1887">
            <v>0.25</v>
          </cell>
          <cell r="AN1887">
            <v>0.25</v>
          </cell>
          <cell r="AO1887">
            <v>0.25</v>
          </cell>
          <cell r="AP1887">
            <v>0.25</v>
          </cell>
          <cell r="AQ1887">
            <v>0.25</v>
          </cell>
          <cell r="AR1887">
            <v>0.25</v>
          </cell>
          <cell r="AS1887">
            <v>0.25</v>
          </cell>
          <cell r="AT1887">
            <v>-0.04</v>
          </cell>
          <cell r="AU1887">
            <v>0.92</v>
          </cell>
          <cell r="AV1887">
            <v>20</v>
          </cell>
          <cell r="AY1887" t="str">
            <v/>
          </cell>
          <cell r="AZ1887">
            <v>0.25</v>
          </cell>
          <cell r="BA1887">
            <v>0.25</v>
          </cell>
        </row>
        <row r="1888">
          <cell r="A1888" t="str">
            <v>PARACCHINI SERRAMENTI</v>
          </cell>
          <cell r="D1888" t="str">
            <v>VIA FAVA, 80</v>
          </cell>
          <cell r="E1888">
            <v>28024</v>
          </cell>
          <cell r="F1888" t="str">
            <v>GOZZANO</v>
          </cell>
          <cell r="G1888" t="str">
            <v>NO</v>
          </cell>
          <cell r="H1888" t="str">
            <v>ITALIA</v>
          </cell>
          <cell r="M1888" t="str">
            <v>UFFICIO ACQUISTI</v>
          </cell>
          <cell r="N1888" t="str">
            <v>349 4545571</v>
          </cell>
          <cell r="P1888" t="str">
            <v>alberto@serramentiparacchini.com</v>
          </cell>
          <cell r="R1888" t="str">
            <v>BONIFICO BANCARIO, ALLA DATA DELLA NOSTRA CONFERMA D'ORDINE</v>
          </cell>
          <cell r="X1888">
            <v>0.25</v>
          </cell>
          <cell r="Y1888">
            <v>-0.04</v>
          </cell>
          <cell r="AB1888">
            <v>0.25</v>
          </cell>
          <cell r="AC1888">
            <v>0.25</v>
          </cell>
          <cell r="AD1888">
            <v>0.25</v>
          </cell>
          <cell r="AE1888">
            <v>0.25</v>
          </cell>
          <cell r="AF1888">
            <v>0.25</v>
          </cell>
          <cell r="AG1888">
            <v>0.25</v>
          </cell>
          <cell r="AH1888">
            <v>0.25</v>
          </cell>
          <cell r="AI1888">
            <v>0.25</v>
          </cell>
          <cell r="AJ1888">
            <v>0.25</v>
          </cell>
          <cell r="AK1888">
            <v>0.25</v>
          </cell>
          <cell r="AL1888">
            <v>0.25</v>
          </cell>
          <cell r="AM1888">
            <v>0.25</v>
          </cell>
          <cell r="AN1888">
            <v>0.25</v>
          </cell>
          <cell r="AO1888">
            <v>0.25</v>
          </cell>
          <cell r="AP1888">
            <v>0.25</v>
          </cell>
          <cell r="AQ1888">
            <v>0.25</v>
          </cell>
          <cell r="AR1888">
            <v>0.25</v>
          </cell>
          <cell r="AS1888">
            <v>0.25</v>
          </cell>
          <cell r="AT1888">
            <v>-0.04</v>
          </cell>
          <cell r="AU1888">
            <v>0.92</v>
          </cell>
          <cell r="AV1888">
            <v>20</v>
          </cell>
          <cell r="AZ1888">
            <v>0.25</v>
          </cell>
          <cell r="BA1888">
            <v>0.25</v>
          </cell>
        </row>
        <row r="1889">
          <cell r="A1889" t="str">
            <v>PARISI G. FABBRO</v>
          </cell>
          <cell r="D1889" t="str">
            <v>VIA DELL'INDUSTRIA, 4</v>
          </cell>
          <cell r="E1889">
            <v>26016</v>
          </cell>
          <cell r="F1889" t="str">
            <v>SPINO D'ADDA</v>
          </cell>
          <cell r="G1889" t="str">
            <v>CR</v>
          </cell>
          <cell r="H1889" t="str">
            <v>ITALIA</v>
          </cell>
          <cell r="J1889" t="str">
            <v>10959410159</v>
          </cell>
          <cell r="M1889" t="str">
            <v>UFFICIO ACQUISTI</v>
          </cell>
          <cell r="O1889" t="str">
            <v>338 2640156</v>
          </cell>
          <cell r="R1889" t="str">
            <v>BONIFICO BANCARIO, ALLA DATA DELLA NOSTRA CONFERMA D'ORDINE</v>
          </cell>
          <cell r="X1889">
            <v>0.25</v>
          </cell>
          <cell r="Y1889">
            <v>-0.04</v>
          </cell>
          <cell r="AB1889">
            <v>0.25</v>
          </cell>
          <cell r="AC1889">
            <v>0.25</v>
          </cell>
          <cell r="AD1889">
            <v>0.25</v>
          </cell>
          <cell r="AE1889">
            <v>0.25</v>
          </cell>
          <cell r="AF1889">
            <v>0.25</v>
          </cell>
          <cell r="AG1889">
            <v>0.25</v>
          </cell>
          <cell r="AH1889">
            <v>0.25</v>
          </cell>
          <cell r="AI1889">
            <v>0.25</v>
          </cell>
          <cell r="AJ1889">
            <v>0.25</v>
          </cell>
          <cell r="AK1889">
            <v>0.25</v>
          </cell>
          <cell r="AL1889">
            <v>0.25</v>
          </cell>
          <cell r="AM1889">
            <v>0.25</v>
          </cell>
          <cell r="AN1889">
            <v>0.25</v>
          </cell>
          <cell r="AO1889">
            <v>0.25</v>
          </cell>
          <cell r="AP1889">
            <v>0.25</v>
          </cell>
          <cell r="AQ1889">
            <v>0.25</v>
          </cell>
          <cell r="AR1889">
            <v>0.25</v>
          </cell>
          <cell r="AS1889">
            <v>0.25</v>
          </cell>
          <cell r="AT1889">
            <v>-0.04</v>
          </cell>
          <cell r="AU1889">
            <v>0.92</v>
          </cell>
          <cell r="AV1889">
            <v>20</v>
          </cell>
          <cell r="AY1889" t="str">
            <v/>
          </cell>
          <cell r="AZ1889">
            <v>0.25</v>
          </cell>
          <cell r="BA1889">
            <v>0.25</v>
          </cell>
        </row>
        <row r="1890">
          <cell r="A1890" t="str">
            <v>PARISI GIOVANNI</v>
          </cell>
          <cell r="D1890" t="str">
            <v>VIA S. PERTINI, 1</v>
          </cell>
          <cell r="E1890">
            <v>81034</v>
          </cell>
          <cell r="F1890" t="str">
            <v>MONDRAGONE</v>
          </cell>
          <cell r="G1890" t="str">
            <v>CE</v>
          </cell>
          <cell r="H1890" t="str">
            <v>ITALIA</v>
          </cell>
          <cell r="I1890" t="str">
            <v>PRSGNN66B26F352B</v>
          </cell>
          <cell r="J1890" t="str">
            <v>02027260617</v>
          </cell>
          <cell r="K1890" t="str">
            <v>M5UXCR1</v>
          </cell>
          <cell r="M1890" t="str">
            <v>UFFICIO ACQUISTI</v>
          </cell>
          <cell r="N1890" t="str">
            <v>0823 970195</v>
          </cell>
          <cell r="P1890" t="str">
            <v>dittagiovanniparisi@gmail.com</v>
          </cell>
          <cell r="R1890" t="str">
            <v>BONIFICO BANCARIO, ALLA DATA DELLA NOSTRA CONFERMA D'ORDINE</v>
          </cell>
          <cell r="X1890">
            <v>0.25</v>
          </cell>
          <cell r="Y1890">
            <v>-0.04</v>
          </cell>
          <cell r="AB1890">
            <v>0.25</v>
          </cell>
          <cell r="AC1890">
            <v>0.25</v>
          </cell>
          <cell r="AD1890">
            <v>0.25</v>
          </cell>
          <cell r="AE1890">
            <v>0.25</v>
          </cell>
          <cell r="AF1890">
            <v>0.25</v>
          </cell>
          <cell r="AG1890">
            <v>0.25</v>
          </cell>
          <cell r="AH1890">
            <v>0.25</v>
          </cell>
          <cell r="AI1890">
            <v>0.25</v>
          </cell>
          <cell r="AJ1890">
            <v>0.25</v>
          </cell>
          <cell r="AK1890">
            <v>0.25</v>
          </cell>
          <cell r="AL1890">
            <v>0.25</v>
          </cell>
          <cell r="AM1890">
            <v>0.25</v>
          </cell>
          <cell r="AN1890">
            <v>0.25</v>
          </cell>
          <cell r="AO1890">
            <v>0.25</v>
          </cell>
          <cell r="AP1890">
            <v>0.25</v>
          </cell>
          <cell r="AQ1890">
            <v>0.25</v>
          </cell>
          <cell r="AR1890">
            <v>0.25</v>
          </cell>
          <cell r="AS1890">
            <v>0.25</v>
          </cell>
          <cell r="AT1890">
            <v>-0.04</v>
          </cell>
          <cell r="AU1890">
            <v>0.92</v>
          </cell>
          <cell r="AV1890">
            <v>20</v>
          </cell>
          <cell r="AY1890" t="str">
            <v/>
          </cell>
          <cell r="AZ1890">
            <v>0.25</v>
          </cell>
          <cell r="BA1890">
            <v>0.25</v>
          </cell>
          <cell r="BF1890" t="str">
            <v>CLICK RAPID con carpenteria 18/11/2020</v>
          </cell>
        </row>
        <row r="1891">
          <cell r="A1891" t="str">
            <v>PAROLARI LORIS</v>
          </cell>
          <cell r="D1891" t="str">
            <v>VIA DELL'ALBOLA, 161</v>
          </cell>
          <cell r="E1891">
            <v>38066</v>
          </cell>
          <cell r="F1891" t="str">
            <v>RIVA DEL GARDA</v>
          </cell>
          <cell r="G1891" t="str">
            <v>TN</v>
          </cell>
          <cell r="H1891" t="str">
            <v>ITALIA</v>
          </cell>
          <cell r="M1891" t="str">
            <v>UFFICIO ACQUISTI</v>
          </cell>
          <cell r="N1891" t="str">
            <v>0464 557991</v>
          </cell>
          <cell r="P1891" t="str">
            <v>info@lorisparolari.it</v>
          </cell>
          <cell r="R1891" t="str">
            <v>BONIFICO BANCARIO, ALLA DATA DELLA NOSTRA CONFERMA D'ORDINE</v>
          </cell>
          <cell r="X1891">
            <v>0.25</v>
          </cell>
          <cell r="Y1891">
            <v>-0.04</v>
          </cell>
          <cell r="AB1891">
            <v>0.25</v>
          </cell>
          <cell r="AC1891">
            <v>0.25</v>
          </cell>
          <cell r="AD1891">
            <v>0.25</v>
          </cell>
          <cell r="AE1891">
            <v>0.25</v>
          </cell>
          <cell r="AF1891">
            <v>0.25</v>
          </cell>
          <cell r="AG1891">
            <v>0.25</v>
          </cell>
          <cell r="AH1891">
            <v>0.25</v>
          </cell>
          <cell r="AI1891">
            <v>0.25</v>
          </cell>
          <cell r="AJ1891">
            <v>0.25</v>
          </cell>
          <cell r="AK1891">
            <v>0.25</v>
          </cell>
          <cell r="AL1891">
            <v>0.25</v>
          </cell>
          <cell r="AM1891">
            <v>0.25</v>
          </cell>
          <cell r="AN1891">
            <v>0.25</v>
          </cell>
          <cell r="AO1891">
            <v>0.25</v>
          </cell>
          <cell r="AP1891">
            <v>0.25</v>
          </cell>
          <cell r="AQ1891">
            <v>0.25</v>
          </cell>
          <cell r="AR1891">
            <v>0.25</v>
          </cell>
          <cell r="AS1891">
            <v>0.25</v>
          </cell>
          <cell r="AT1891">
            <v>-0.04</v>
          </cell>
          <cell r="AU1891">
            <v>0.92</v>
          </cell>
          <cell r="AV1891">
            <v>20</v>
          </cell>
          <cell r="AY1891" t="str">
            <v/>
          </cell>
          <cell r="AZ1891">
            <v>0.25</v>
          </cell>
          <cell r="BA1891">
            <v>0.25</v>
          </cell>
        </row>
        <row r="1892">
          <cell r="A1892" t="str">
            <v>PARRI FABRIZIO</v>
          </cell>
          <cell r="D1892" t="str">
            <v>VIA ROSSINI 10/E</v>
          </cell>
          <cell r="E1892" t="str">
            <v>57023</v>
          </cell>
          <cell r="F1892" t="str">
            <v>CECINA</v>
          </cell>
          <cell r="G1892" t="str">
            <v>LI</v>
          </cell>
          <cell r="H1892" t="str">
            <v>ITALIA</v>
          </cell>
          <cell r="J1892" t="str">
            <v>01069570495</v>
          </cell>
          <cell r="M1892" t="str">
            <v>UFFICIO ACQUISTI</v>
          </cell>
          <cell r="N1892" t="str">
            <v>0586 681693</v>
          </cell>
          <cell r="R1892" t="str">
            <v>BONIFICO BANCARIO, ALLA DATA DELLA NOSTRA CONFERMA D'ORDINE</v>
          </cell>
          <cell r="X1892">
            <v>0.25</v>
          </cell>
          <cell r="Y1892">
            <v>-0.04</v>
          </cell>
          <cell r="AB1892">
            <v>0.25</v>
          </cell>
          <cell r="AC1892">
            <v>0.25</v>
          </cell>
          <cell r="AD1892">
            <v>0.25</v>
          </cell>
          <cell r="AE1892">
            <v>0.25</v>
          </cell>
          <cell r="AF1892">
            <v>0.25</v>
          </cell>
          <cell r="AG1892">
            <v>0.25</v>
          </cell>
          <cell r="AH1892">
            <v>0.25</v>
          </cell>
          <cell r="AI1892">
            <v>0.25</v>
          </cell>
          <cell r="AJ1892">
            <v>0.25</v>
          </cell>
          <cell r="AK1892">
            <v>0.25</v>
          </cell>
          <cell r="AL1892">
            <v>0.25</v>
          </cell>
          <cell r="AM1892">
            <v>0.25</v>
          </cell>
          <cell r="AN1892">
            <v>0.25</v>
          </cell>
          <cell r="AO1892">
            <v>0.25</v>
          </cell>
          <cell r="AP1892">
            <v>0.25</v>
          </cell>
          <cell r="AQ1892">
            <v>0.25</v>
          </cell>
          <cell r="AR1892">
            <v>0.25</v>
          </cell>
          <cell r="AS1892">
            <v>0.25</v>
          </cell>
          <cell r="AT1892">
            <v>-0.04</v>
          </cell>
          <cell r="AU1892">
            <v>0.92</v>
          </cell>
          <cell r="AV1892">
            <v>20</v>
          </cell>
          <cell r="AY1892" t="str">
            <v/>
          </cell>
          <cell r="AZ1892">
            <v>0.25</v>
          </cell>
          <cell r="BA1892">
            <v>0.25</v>
          </cell>
        </row>
        <row r="1893">
          <cell r="A1893" t="str">
            <v xml:space="preserve">PASCON ANGELO </v>
          </cell>
          <cell r="D1893" t="str">
            <v>VIA DEGLI ARTIGIANI EST 18</v>
          </cell>
          <cell r="E1893" t="str">
            <v>33054</v>
          </cell>
          <cell r="F1893" t="str">
            <v xml:space="preserve">LIGNANO SABBADORO </v>
          </cell>
          <cell r="G1893" t="str">
            <v>UD</v>
          </cell>
          <cell r="H1893" t="str">
            <v>ITALIA</v>
          </cell>
          <cell r="J1893" t="str">
            <v>01463360303</v>
          </cell>
          <cell r="M1893" t="str">
            <v>UFFICIO ACQUISTI</v>
          </cell>
          <cell r="N1893" t="str">
            <v>0431 720413</v>
          </cell>
          <cell r="O1893" t="str">
            <v>340 9086028</v>
          </cell>
          <cell r="P1893" t="str">
            <v>pasconserramenti@gmail.com</v>
          </cell>
          <cell r="R1893" t="str">
            <v>BONIFICO BANCARIO, ALLA DATA DELLA NOSTRA CONFERMA D'ORDINE</v>
          </cell>
          <cell r="X1893">
            <v>0.25</v>
          </cell>
          <cell r="Y1893">
            <v>-0.04</v>
          </cell>
          <cell r="AB1893">
            <v>0.25</v>
          </cell>
          <cell r="AC1893">
            <v>0.25</v>
          </cell>
          <cell r="AD1893">
            <v>0.25</v>
          </cell>
          <cell r="AE1893">
            <v>0.25</v>
          </cell>
          <cell r="AF1893">
            <v>0.25</v>
          </cell>
          <cell r="AG1893">
            <v>0.25</v>
          </cell>
          <cell r="AH1893">
            <v>0.25</v>
          </cell>
          <cell r="AI1893">
            <v>0.25</v>
          </cell>
          <cell r="AJ1893">
            <v>0.25</v>
          </cell>
          <cell r="AK1893">
            <v>0.25</v>
          </cell>
          <cell r="AL1893">
            <v>0.25</v>
          </cell>
          <cell r="AM1893">
            <v>0.25</v>
          </cell>
          <cell r="AN1893">
            <v>0.25</v>
          </cell>
          <cell r="AO1893">
            <v>0.25</v>
          </cell>
          <cell r="AP1893">
            <v>0.25</v>
          </cell>
          <cell r="AQ1893">
            <v>0.25</v>
          </cell>
          <cell r="AR1893">
            <v>0.25</v>
          </cell>
          <cell r="AS1893">
            <v>0.25</v>
          </cell>
          <cell r="AT1893">
            <v>-0.04</v>
          </cell>
          <cell r="AU1893">
            <v>0.92</v>
          </cell>
          <cell r="AV1893">
            <v>20</v>
          </cell>
          <cell r="AY1893" t="str">
            <v/>
          </cell>
          <cell r="AZ1893">
            <v>0.25</v>
          </cell>
          <cell r="BA1893">
            <v>0.25</v>
          </cell>
        </row>
        <row r="1894">
          <cell r="A1894" t="str">
            <v>PASETTO PROGETTI GEOM. MAURIZIO PASETTO</v>
          </cell>
          <cell r="D1894" t="str">
            <v>VIALE REGINA ELENA 41</v>
          </cell>
          <cell r="E1894" t="str">
            <v>04017</v>
          </cell>
          <cell r="F1894" t="str">
            <v>SAN FELICE CIRCEO</v>
          </cell>
          <cell r="G1894" t="str">
            <v>LT</v>
          </cell>
          <cell r="H1894" t="str">
            <v>ITALIA</v>
          </cell>
          <cell r="J1894" t="str">
            <v>01697440590</v>
          </cell>
          <cell r="M1894" t="str">
            <v>UFFICIO ACQUISTI</v>
          </cell>
          <cell r="N1894" t="str">
            <v>0773 542247</v>
          </cell>
          <cell r="O1894" t="str">
            <v>335 7624080</v>
          </cell>
          <cell r="P1894" t="str">
            <v>info@infissiinpvc.com</v>
          </cell>
          <cell r="R1894" t="str">
            <v>BONIFICO BANCARIO, ALLA DATA DELLA NOSTRA CONFERMA D'ORDINE</v>
          </cell>
          <cell r="X1894">
            <v>0.25</v>
          </cell>
          <cell r="Y1894">
            <v>-0.04</v>
          </cell>
          <cell r="AB1894">
            <v>0.25</v>
          </cell>
          <cell r="AC1894">
            <v>0.25</v>
          </cell>
          <cell r="AD1894">
            <v>0.25</v>
          </cell>
          <cell r="AE1894">
            <v>0.25</v>
          </cell>
          <cell r="AF1894">
            <v>0.25</v>
          </cell>
          <cell r="AG1894">
            <v>0.25</v>
          </cell>
          <cell r="AH1894">
            <v>0.25</v>
          </cell>
          <cell r="AI1894">
            <v>0.25</v>
          </cell>
          <cell r="AJ1894">
            <v>0.25</v>
          </cell>
          <cell r="AK1894">
            <v>0.25</v>
          </cell>
          <cell r="AL1894">
            <v>0.25</v>
          </cell>
          <cell r="AM1894">
            <v>0.25</v>
          </cell>
          <cell r="AN1894">
            <v>0.25</v>
          </cell>
          <cell r="AO1894">
            <v>0.25</v>
          </cell>
          <cell r="AP1894">
            <v>0.25</v>
          </cell>
          <cell r="AQ1894">
            <v>0.25</v>
          </cell>
          <cell r="AR1894">
            <v>0.25</v>
          </cell>
          <cell r="AS1894">
            <v>0.25</v>
          </cell>
          <cell r="AT1894">
            <v>-0.04</v>
          </cell>
          <cell r="AU1894">
            <v>0.92</v>
          </cell>
          <cell r="AV1894">
            <v>20</v>
          </cell>
          <cell r="AY1894" t="str">
            <v/>
          </cell>
          <cell r="AZ1894">
            <v>0.25</v>
          </cell>
          <cell r="BA1894">
            <v>0.25</v>
          </cell>
        </row>
        <row r="1895">
          <cell r="A1895" t="str">
            <v>PASQUINI FABIO</v>
          </cell>
          <cell r="D1895" t="str">
            <v>VIA CROLLALANZA 48</v>
          </cell>
          <cell r="F1895" t="str">
            <v xml:space="preserve">FERMO </v>
          </cell>
          <cell r="G1895" t="str">
            <v>FM</v>
          </cell>
          <cell r="H1895" t="str">
            <v>ITALIA</v>
          </cell>
          <cell r="M1895" t="str">
            <v>UFFICIO ACQUISTI</v>
          </cell>
          <cell r="N1895" t="str">
            <v>0734 226310</v>
          </cell>
          <cell r="O1895" t="str">
            <v>334 3549392</v>
          </cell>
          <cell r="R1895" t="str">
            <v>BONIFICO BANCARIO, ALLA DATA DELLA NOSTRA CONFERMA D'ORDINE</v>
          </cell>
          <cell r="X1895">
            <v>0.25</v>
          </cell>
          <cell r="Y1895">
            <v>-0.04</v>
          </cell>
          <cell r="AB1895">
            <v>0.25</v>
          </cell>
          <cell r="AC1895">
            <v>0.25</v>
          </cell>
          <cell r="AD1895">
            <v>0.25</v>
          </cell>
          <cell r="AE1895">
            <v>0.25</v>
          </cell>
          <cell r="AF1895">
            <v>0.25</v>
          </cell>
          <cell r="AG1895">
            <v>0.25</v>
          </cell>
          <cell r="AH1895">
            <v>0.25</v>
          </cell>
          <cell r="AI1895">
            <v>0.25</v>
          </cell>
          <cell r="AJ1895">
            <v>0.25</v>
          </cell>
          <cell r="AK1895">
            <v>0.25</v>
          </cell>
          <cell r="AL1895">
            <v>0.25</v>
          </cell>
          <cell r="AM1895">
            <v>0.25</v>
          </cell>
          <cell r="AN1895">
            <v>0.25</v>
          </cell>
          <cell r="AO1895">
            <v>0.25</v>
          </cell>
          <cell r="AP1895">
            <v>0.25</v>
          </cell>
          <cell r="AQ1895">
            <v>0.25</v>
          </cell>
          <cell r="AR1895">
            <v>0.25</v>
          </cell>
          <cell r="AS1895">
            <v>0.25</v>
          </cell>
          <cell r="AT1895">
            <v>-0.04</v>
          </cell>
          <cell r="AU1895">
            <v>0.92</v>
          </cell>
          <cell r="AV1895">
            <v>20</v>
          </cell>
          <cell r="AY1895" t="str">
            <v/>
          </cell>
          <cell r="AZ1895">
            <v>0.25</v>
          </cell>
          <cell r="BA1895">
            <v>0.25</v>
          </cell>
        </row>
        <row r="1896">
          <cell r="A1896" t="str">
            <v>PASTORE &amp; C.</v>
          </cell>
          <cell r="D1896" t="str">
            <v>VIA PERGOLESI, 6</v>
          </cell>
          <cell r="E1896">
            <v>28021</v>
          </cell>
          <cell r="F1896" t="str">
            <v>BORGOMANERO</v>
          </cell>
          <cell r="G1896" t="str">
            <v>NO</v>
          </cell>
          <cell r="H1896" t="str">
            <v>ITALIA</v>
          </cell>
          <cell r="M1896" t="str">
            <v>UFFICIO ACQUISTI</v>
          </cell>
          <cell r="N1896" t="str">
            <v>0322 845674</v>
          </cell>
          <cell r="P1896" t="str">
            <v>info@pastoreserramenti.it</v>
          </cell>
          <cell r="R1896" t="str">
            <v>BONIFICO BANCARIO, ALLA DATA DELLA NOSTRA CONFERMA D'ORDINE</v>
          </cell>
          <cell r="X1896">
            <v>0.25</v>
          </cell>
          <cell r="Y1896">
            <v>-0.04</v>
          </cell>
          <cell r="AB1896">
            <v>0.25</v>
          </cell>
          <cell r="AC1896">
            <v>0.25</v>
          </cell>
          <cell r="AD1896">
            <v>0.25</v>
          </cell>
          <cell r="AE1896">
            <v>0.25</v>
          </cell>
          <cell r="AF1896">
            <v>0.25</v>
          </cell>
          <cell r="AG1896">
            <v>0.25</v>
          </cell>
          <cell r="AH1896">
            <v>0.25</v>
          </cell>
          <cell r="AI1896">
            <v>0.25</v>
          </cell>
          <cell r="AJ1896">
            <v>0.25</v>
          </cell>
          <cell r="AK1896">
            <v>0.25</v>
          </cell>
          <cell r="AL1896">
            <v>0.25</v>
          </cell>
          <cell r="AM1896">
            <v>0.25</v>
          </cell>
          <cell r="AN1896">
            <v>0.25</v>
          </cell>
          <cell r="AO1896">
            <v>0.25</v>
          </cell>
          <cell r="AP1896">
            <v>0.25</v>
          </cell>
          <cell r="AQ1896">
            <v>0.25</v>
          </cell>
          <cell r="AR1896">
            <v>0.25</v>
          </cell>
          <cell r="AS1896">
            <v>0.25</v>
          </cell>
          <cell r="AT1896">
            <v>-0.04</v>
          </cell>
          <cell r="AU1896">
            <v>0.92</v>
          </cell>
          <cell r="AV1896">
            <v>20</v>
          </cell>
          <cell r="AZ1896">
            <v>0.25</v>
          </cell>
          <cell r="BA1896">
            <v>0.25</v>
          </cell>
        </row>
        <row r="1897">
          <cell r="A1897" t="str">
            <v>PATERNO SERRAMENTI SNC</v>
          </cell>
          <cell r="D1897" t="str">
            <v>VIA ORAZIO COCCANARI 3</v>
          </cell>
          <cell r="E1897" t="str">
            <v>00010</v>
          </cell>
          <cell r="F1897" t="str">
            <v>VILLA ADRIANA</v>
          </cell>
          <cell r="G1897" t="str">
            <v>RM</v>
          </cell>
          <cell r="H1897" t="str">
            <v>ITALIA</v>
          </cell>
          <cell r="J1897" t="str">
            <v>07869061007</v>
          </cell>
          <cell r="K1897" t="str">
            <v>M5UXCR1</v>
          </cell>
          <cell r="M1897" t="str">
            <v>UFFICIO ACQUISTI</v>
          </cell>
          <cell r="N1897" t="str">
            <v>0774 382603</v>
          </cell>
          <cell r="P1897" t="str">
            <v>paternoserramenti@libero.it</v>
          </cell>
          <cell r="R1897" t="str">
            <v>BONIFICO BANCARIO, ALLA DATA DELLA NOSTRA CONFERMA D'ORDINE</v>
          </cell>
          <cell r="X1897">
            <v>0.25</v>
          </cell>
          <cell r="Y1897">
            <v>-0.04</v>
          </cell>
          <cell r="AB1897">
            <v>0.25</v>
          </cell>
          <cell r="AC1897">
            <v>0.25</v>
          </cell>
          <cell r="AD1897">
            <v>0.25</v>
          </cell>
          <cell r="AE1897">
            <v>0.25</v>
          </cell>
          <cell r="AF1897">
            <v>0.25</v>
          </cell>
          <cell r="AG1897">
            <v>0.25</v>
          </cell>
          <cell r="AH1897">
            <v>0.25</v>
          </cell>
          <cell r="AI1897">
            <v>0.25</v>
          </cell>
          <cell r="AJ1897">
            <v>0.25</v>
          </cell>
          <cell r="AK1897">
            <v>0.25</v>
          </cell>
          <cell r="AL1897">
            <v>0.25</v>
          </cell>
          <cell r="AM1897">
            <v>0.25</v>
          </cell>
          <cell r="AN1897">
            <v>0.25</v>
          </cell>
          <cell r="AO1897">
            <v>0.25</v>
          </cell>
          <cell r="AP1897">
            <v>0.25</v>
          </cell>
          <cell r="AQ1897">
            <v>0.25</v>
          </cell>
          <cell r="AR1897">
            <v>0.25</v>
          </cell>
          <cell r="AS1897">
            <v>0.25</v>
          </cell>
          <cell r="AT1897">
            <v>-0.04</v>
          </cell>
          <cell r="AU1897">
            <v>0.92</v>
          </cell>
          <cell r="AV1897">
            <v>20</v>
          </cell>
          <cell r="AY1897" t="str">
            <v/>
          </cell>
          <cell r="AZ1897">
            <v>0.25</v>
          </cell>
          <cell r="BA1897">
            <v>0.25</v>
          </cell>
          <cell r="BF1897" t="str">
            <v xml:space="preserve"> CLICK RAPID con carpenteria 2020</v>
          </cell>
        </row>
        <row r="1898">
          <cell r="A1898" t="str">
            <v>PATROCCHI RAPPRESENTANZE  Rag. MATTEO PATROCCHI</v>
          </cell>
          <cell r="D1898" t="str">
            <v>VIA G. BOVIO, 3 INT. A</v>
          </cell>
          <cell r="E1898">
            <v>16146</v>
          </cell>
          <cell r="F1898" t="str">
            <v>GENOVA</v>
          </cell>
          <cell r="G1898" t="str">
            <v>GE</v>
          </cell>
          <cell r="H1898" t="str">
            <v>ITALIA</v>
          </cell>
          <cell r="J1898" t="str">
            <v>03662030109</v>
          </cell>
          <cell r="M1898" t="str">
            <v>UFFICIO ACQUISTI</v>
          </cell>
          <cell r="N1898" t="str">
            <v>010 3622952</v>
          </cell>
          <cell r="O1898" t="str">
            <v>335 7296383</v>
          </cell>
          <cell r="P1898" t="str">
            <v>patrocchir@libero.it</v>
          </cell>
          <cell r="R1898" t="str">
            <v>BONIFICO BANCARIO, ALLA DATA DELLA NOSTRA CONFERMA D'ORDINE</v>
          </cell>
          <cell r="X1898">
            <v>0.25</v>
          </cell>
          <cell r="Y1898">
            <v>-0.04</v>
          </cell>
          <cell r="AB1898">
            <v>0.25</v>
          </cell>
          <cell r="AC1898">
            <v>0.25</v>
          </cell>
          <cell r="AD1898">
            <v>0.25</v>
          </cell>
          <cell r="AE1898">
            <v>0.25</v>
          </cell>
          <cell r="AF1898">
            <v>0.25</v>
          </cell>
          <cell r="AG1898">
            <v>0.25</v>
          </cell>
          <cell r="AH1898">
            <v>0.25</v>
          </cell>
          <cell r="AI1898">
            <v>0.25</v>
          </cell>
          <cell r="AJ1898">
            <v>0.25</v>
          </cell>
          <cell r="AK1898">
            <v>0.25</v>
          </cell>
          <cell r="AL1898">
            <v>0.25</v>
          </cell>
          <cell r="AM1898">
            <v>0.25</v>
          </cell>
          <cell r="AN1898">
            <v>0.25</v>
          </cell>
          <cell r="AO1898">
            <v>0.25</v>
          </cell>
          <cell r="AP1898">
            <v>0.25</v>
          </cell>
          <cell r="AQ1898">
            <v>0.25</v>
          </cell>
          <cell r="AR1898">
            <v>0.25</v>
          </cell>
          <cell r="AS1898">
            <v>0.25</v>
          </cell>
          <cell r="AT1898">
            <v>-0.04</v>
          </cell>
          <cell r="AU1898">
            <v>0.92</v>
          </cell>
          <cell r="AV1898">
            <v>20</v>
          </cell>
          <cell r="AY1898" t="str">
            <v/>
          </cell>
          <cell r="AZ1898">
            <v>0.25</v>
          </cell>
          <cell r="BA1898">
            <v>0.25</v>
          </cell>
        </row>
        <row r="1899">
          <cell r="A1899" t="str">
            <v>PAULIN SRL</v>
          </cell>
          <cell r="B1899" t="str">
            <v>GEOM. FABIANO THOMANN</v>
          </cell>
          <cell r="D1899" t="str">
            <v>VIA GREGORCIC, SNC</v>
          </cell>
          <cell r="E1899" t="str">
            <v>34170</v>
          </cell>
          <cell r="F1899" t="str">
            <v>GORIZIA</v>
          </cell>
          <cell r="G1899" t="str">
            <v>GO</v>
          </cell>
          <cell r="H1899" t="str">
            <v>ITALIA</v>
          </cell>
          <cell r="J1899" t="str">
            <v>00558130316</v>
          </cell>
          <cell r="M1899" t="str">
            <v>UFFICIO ACQUISTI</v>
          </cell>
          <cell r="N1899" t="str">
            <v>0481 21325</v>
          </cell>
          <cell r="R1899" t="str">
            <v>BONIFICO BANCARIO, ALLA DATA DELLA NOSTRA CONFERMA D'ORDINE</v>
          </cell>
          <cell r="X1899">
            <v>0.2</v>
          </cell>
          <cell r="Y1899">
            <v>-0.04</v>
          </cell>
          <cell r="AB1899">
            <v>0.2</v>
          </cell>
          <cell r="AC1899">
            <v>0.2</v>
          </cell>
          <cell r="AD1899">
            <v>0.2</v>
          </cell>
          <cell r="AE1899">
            <v>0.2</v>
          </cell>
          <cell r="AF1899">
            <v>0.2</v>
          </cell>
          <cell r="AG1899">
            <v>0.2</v>
          </cell>
          <cell r="AH1899">
            <v>0.2</v>
          </cell>
          <cell r="AI1899">
            <v>0.2</v>
          </cell>
          <cell r="AJ1899">
            <v>0.2</v>
          </cell>
          <cell r="AK1899">
            <v>0.2</v>
          </cell>
          <cell r="AL1899">
            <v>0.2</v>
          </cell>
          <cell r="AM1899">
            <v>0.2</v>
          </cell>
          <cell r="AN1899">
            <v>0.2</v>
          </cell>
          <cell r="AO1899">
            <v>0.2</v>
          </cell>
          <cell r="AP1899">
            <v>0.2</v>
          </cell>
          <cell r="AQ1899">
            <v>0.2</v>
          </cell>
          <cell r="AR1899">
            <v>0.2</v>
          </cell>
          <cell r="AS1899">
            <v>0.2</v>
          </cell>
          <cell r="AT1899">
            <v>-0.04</v>
          </cell>
          <cell r="AU1899">
            <v>0.92</v>
          </cell>
          <cell r="AV1899">
            <v>20</v>
          </cell>
          <cell r="AZ1899">
            <v>0.2</v>
          </cell>
          <cell r="BA1899">
            <v>0.2</v>
          </cell>
        </row>
        <row r="1900">
          <cell r="A1900" t="str">
            <v>PAVANELLO SERRAMENTI</v>
          </cell>
          <cell r="D1900" t="str">
            <v>V.LE DEL LAVORO, 13</v>
          </cell>
          <cell r="E1900" t="str">
            <v>45100</v>
          </cell>
          <cell r="F1900" t="str">
            <v>ROVIGO</v>
          </cell>
          <cell r="G1900" t="str">
            <v>RO</v>
          </cell>
          <cell r="H1900" t="str">
            <v>ITALIA</v>
          </cell>
          <cell r="M1900" t="str">
            <v>UFFICIO ACQUISTI</v>
          </cell>
          <cell r="N1900" t="str">
            <v>0425 474515</v>
          </cell>
          <cell r="R1900" t="str">
            <v>BONIFICO BANCARIO, ALLA DATA DELLA NOSTRA CONFERMA D'ORDINE</v>
          </cell>
          <cell r="X1900">
            <v>0.25</v>
          </cell>
          <cell r="Y1900">
            <v>-0.04</v>
          </cell>
          <cell r="AB1900">
            <v>0.25</v>
          </cell>
          <cell r="AC1900">
            <v>0.25</v>
          </cell>
          <cell r="AD1900">
            <v>0.25</v>
          </cell>
          <cell r="AE1900">
            <v>0.25</v>
          </cell>
          <cell r="AF1900">
            <v>0.25</v>
          </cell>
          <cell r="AG1900">
            <v>0.25</v>
          </cell>
          <cell r="AH1900">
            <v>0.25</v>
          </cell>
          <cell r="AI1900">
            <v>0.25</v>
          </cell>
          <cell r="AJ1900">
            <v>0.25</v>
          </cell>
          <cell r="AK1900">
            <v>0.25</v>
          </cell>
          <cell r="AL1900">
            <v>0.25</v>
          </cell>
          <cell r="AM1900">
            <v>0.25</v>
          </cell>
          <cell r="AN1900">
            <v>0.25</v>
          </cell>
          <cell r="AO1900">
            <v>0.25</v>
          </cell>
          <cell r="AP1900">
            <v>0.25</v>
          </cell>
          <cell r="AQ1900">
            <v>0.25</v>
          </cell>
          <cell r="AR1900">
            <v>0.25</v>
          </cell>
          <cell r="AS1900">
            <v>0.25</v>
          </cell>
          <cell r="AT1900">
            <v>-0.04</v>
          </cell>
          <cell r="AU1900">
            <v>0.92</v>
          </cell>
          <cell r="AV1900">
            <v>20</v>
          </cell>
          <cell r="AY1900" t="str">
            <v/>
          </cell>
          <cell r="AZ1900">
            <v>0.25</v>
          </cell>
          <cell r="BA1900">
            <v>0.25</v>
          </cell>
        </row>
        <row r="1901">
          <cell r="A1901" t="str">
            <v>PC  INFISSI DI PADOLECCHIA CARLO</v>
          </cell>
          <cell r="D1901" t="str">
            <v>VIA NAPOLI, 110</v>
          </cell>
          <cell r="E1901" t="str">
            <v>70123</v>
          </cell>
          <cell r="F1901" t="str">
            <v>BARI</v>
          </cell>
          <cell r="G1901" t="str">
            <v>BA</v>
          </cell>
          <cell r="H1901" t="str">
            <v>ITALIA</v>
          </cell>
          <cell r="J1901" t="str">
            <v>07208070727</v>
          </cell>
          <cell r="M1901" t="str">
            <v>UFFICIO ACQUISTI</v>
          </cell>
          <cell r="N1901" t="str">
            <v>080 5212628</v>
          </cell>
          <cell r="O1901" t="str">
            <v>329 5940249 - 389 0610559</v>
          </cell>
          <cell r="P1901" t="str">
            <v>pcinfissi@libero.it</v>
          </cell>
          <cell r="R1901" t="str">
            <v>BONIFICO BANCARIO, ALLA DATA DELLA NOSTRA CONFERMA D'ORDINE</v>
          </cell>
          <cell r="Y1901">
            <v>-0.04</v>
          </cell>
          <cell r="AT1901">
            <v>-0.04</v>
          </cell>
          <cell r="AV1901">
            <v>20</v>
          </cell>
          <cell r="AZ1901">
            <v>0</v>
          </cell>
          <cell r="BA1901">
            <v>0</v>
          </cell>
        </row>
        <row r="1902">
          <cell r="A1902" t="str">
            <v>PCN SERVICE SERRAMENTI DI PIACENTTE NUNZIO</v>
          </cell>
          <cell r="D1902" t="str">
            <v>VIA GRAMSCRI, 45</v>
          </cell>
          <cell r="E1902">
            <v>20090</v>
          </cell>
          <cell r="F1902" t="str">
            <v>SEGRATE</v>
          </cell>
          <cell r="G1902" t="str">
            <v>MI</v>
          </cell>
          <cell r="H1902" t="str">
            <v>ITALIA</v>
          </cell>
          <cell r="I1902" t="str">
            <v>PCNNNZ77C25L628S</v>
          </cell>
          <cell r="J1902" t="str">
            <v>07905610965</v>
          </cell>
          <cell r="M1902" t="str">
            <v>UFFICIO ACQUISTI</v>
          </cell>
          <cell r="N1902" t="str">
            <v>02 84560286</v>
          </cell>
          <cell r="O1902" t="str">
            <v>393 2249379</v>
          </cell>
          <cell r="P1902" t="str">
            <v>pcservice@tiscali.it</v>
          </cell>
          <cell r="R1902" t="str">
            <v>BONIFICO BANCARIO, ALLA DATA DELLA NOSTRA CONFERMA D'ORDINE</v>
          </cell>
          <cell r="X1902">
            <v>0.25</v>
          </cell>
          <cell r="Y1902">
            <v>-0.04</v>
          </cell>
          <cell r="AB1902">
            <v>0.25</v>
          </cell>
          <cell r="AC1902">
            <v>0.25</v>
          </cell>
          <cell r="AD1902">
            <v>0.25</v>
          </cell>
          <cell r="AE1902">
            <v>0.25</v>
          </cell>
          <cell r="AF1902">
            <v>0.25</v>
          </cell>
          <cell r="AG1902">
            <v>0.25</v>
          </cell>
          <cell r="AH1902">
            <v>0.25</v>
          </cell>
          <cell r="AI1902">
            <v>0.25</v>
          </cell>
          <cell r="AJ1902">
            <v>0.25</v>
          </cell>
          <cell r="AK1902">
            <v>0.25</v>
          </cell>
          <cell r="AL1902">
            <v>0.25</v>
          </cell>
          <cell r="AM1902">
            <v>0.25</v>
          </cell>
          <cell r="AN1902">
            <v>0.25</v>
          </cell>
          <cell r="AO1902">
            <v>0.25</v>
          </cell>
          <cell r="AP1902">
            <v>0.25</v>
          </cell>
          <cell r="AQ1902">
            <v>0.25</v>
          </cell>
          <cell r="AR1902">
            <v>0.25</v>
          </cell>
          <cell r="AS1902">
            <v>0.25</v>
          </cell>
          <cell r="AT1902">
            <v>-0.04</v>
          </cell>
          <cell r="AU1902">
            <v>0.92</v>
          </cell>
          <cell r="AV1902">
            <v>20</v>
          </cell>
          <cell r="AY1902" t="str">
            <v/>
          </cell>
          <cell r="AZ1902">
            <v>0.25</v>
          </cell>
          <cell r="BA1902">
            <v>0.25</v>
          </cell>
        </row>
        <row r="1903">
          <cell r="A1903" t="str">
            <v>PEDICONE SERRAMENTI SNC DI PEDICONE VINCENZO &amp; C.</v>
          </cell>
          <cell r="B1903" t="str">
            <v>ERNESTO</v>
          </cell>
          <cell r="D1903" t="str">
            <v>VIA C. BRUSCHELLI, 28</v>
          </cell>
          <cell r="E1903" t="str">
            <v>64100</v>
          </cell>
          <cell r="F1903" t="str">
            <v>TERAMO</v>
          </cell>
          <cell r="G1903" t="str">
            <v>TE</v>
          </cell>
          <cell r="H1903" t="str">
            <v>ITALIA</v>
          </cell>
          <cell r="J1903" t="str">
            <v>01426690671</v>
          </cell>
          <cell r="M1903" t="str">
            <v>UFFICIO ACQUISTI</v>
          </cell>
          <cell r="N1903" t="str">
            <v>0861221986</v>
          </cell>
          <cell r="R1903" t="str">
            <v>BONIFICO BANCARIO, ALLA DATA DELLA NOSTRA CONFERMA D'ORDINE</v>
          </cell>
          <cell r="X1903">
            <v>0.25</v>
          </cell>
          <cell r="Y1903">
            <v>-0.04</v>
          </cell>
          <cell r="AB1903">
            <v>0.25</v>
          </cell>
          <cell r="AC1903">
            <v>0.25</v>
          </cell>
          <cell r="AD1903">
            <v>0.25</v>
          </cell>
          <cell r="AE1903">
            <v>0.25</v>
          </cell>
          <cell r="AF1903">
            <v>0.25</v>
          </cell>
          <cell r="AG1903">
            <v>0.25</v>
          </cell>
          <cell r="AH1903">
            <v>0.25</v>
          </cell>
          <cell r="AI1903">
            <v>0.25</v>
          </cell>
          <cell r="AJ1903">
            <v>0.25</v>
          </cell>
          <cell r="AK1903">
            <v>0.25</v>
          </cell>
          <cell r="AL1903">
            <v>0.25</v>
          </cell>
          <cell r="AM1903">
            <v>0.25</v>
          </cell>
          <cell r="AN1903">
            <v>0.25</v>
          </cell>
          <cell r="AO1903">
            <v>0.25</v>
          </cell>
          <cell r="AP1903">
            <v>0.25</v>
          </cell>
          <cell r="AQ1903">
            <v>0.25</v>
          </cell>
          <cell r="AR1903">
            <v>0.25</v>
          </cell>
          <cell r="AS1903">
            <v>0.25</v>
          </cell>
          <cell r="AT1903">
            <v>-0.04</v>
          </cell>
          <cell r="AU1903">
            <v>0.92</v>
          </cell>
          <cell r="AV1903">
            <v>20</v>
          </cell>
          <cell r="AY1903" t="str">
            <v/>
          </cell>
          <cell r="AZ1903">
            <v>0.25</v>
          </cell>
          <cell r="BA1903">
            <v>0.25</v>
          </cell>
        </row>
        <row r="1904">
          <cell r="A1904" t="str">
            <v>PEDRETTI SERRAMENTI SRL</v>
          </cell>
          <cell r="B1904" t="str">
            <v>MARCO ROTA TECNICO COMM.LE</v>
          </cell>
          <cell r="D1904" t="str">
            <v>VIA G.PAGLIA, 46</v>
          </cell>
          <cell r="E1904" t="str">
            <v>24060</v>
          </cell>
          <cell r="F1904" t="str">
            <v xml:space="preserve">ENDINE GAIANO </v>
          </cell>
          <cell r="G1904" t="str">
            <v>BG</v>
          </cell>
          <cell r="H1904" t="str">
            <v>ITALIA</v>
          </cell>
          <cell r="M1904" t="str">
            <v>UFFICIO ACQUISTI</v>
          </cell>
          <cell r="N1904" t="str">
            <v>035 826180</v>
          </cell>
          <cell r="O1904" t="str">
            <v>346 8087180 MARCO ROTA</v>
          </cell>
          <cell r="P1904" t="str">
            <v>marco@pedrettipvc.it</v>
          </cell>
          <cell r="R1904" t="str">
            <v>BONIFICO BANCARIO, ALLA DATA DELLA NOSTRA CONFERMA D'ORDINE</v>
          </cell>
          <cell r="X1904">
            <v>0.2</v>
          </cell>
          <cell r="Y1904">
            <v>-0.04</v>
          </cell>
          <cell r="AB1904">
            <v>0.2</v>
          </cell>
          <cell r="AC1904">
            <v>0.2</v>
          </cell>
          <cell r="AD1904">
            <v>0.2</v>
          </cell>
          <cell r="AE1904">
            <v>0.2</v>
          </cell>
          <cell r="AF1904">
            <v>0.2</v>
          </cell>
          <cell r="AG1904">
            <v>0.2</v>
          </cell>
          <cell r="AH1904">
            <v>0.2</v>
          </cell>
          <cell r="AI1904">
            <v>0.2</v>
          </cell>
          <cell r="AJ1904">
            <v>0.2</v>
          </cell>
          <cell r="AK1904">
            <v>0.2</v>
          </cell>
          <cell r="AL1904">
            <v>0.2</v>
          </cell>
          <cell r="AM1904">
            <v>0.2</v>
          </cell>
          <cell r="AN1904">
            <v>0.2</v>
          </cell>
          <cell r="AO1904">
            <v>0.2</v>
          </cell>
          <cell r="AP1904">
            <v>0.2</v>
          </cell>
          <cell r="AQ1904">
            <v>0.2</v>
          </cell>
          <cell r="AR1904">
            <v>0.2</v>
          </cell>
          <cell r="AS1904">
            <v>0.2</v>
          </cell>
          <cell r="AT1904">
            <v>-0.04</v>
          </cell>
          <cell r="AU1904">
            <v>0.92</v>
          </cell>
          <cell r="AV1904">
            <v>20</v>
          </cell>
          <cell r="AZ1904">
            <v>0.2</v>
          </cell>
          <cell r="BA1904">
            <v>0.2</v>
          </cell>
        </row>
        <row r="1905">
          <cell r="A1905" t="str">
            <v>PEDUZZI SRL</v>
          </cell>
          <cell r="D1905" t="str">
            <v>VIALE GRAMSCI 233</v>
          </cell>
          <cell r="E1905" t="str">
            <v>20099</v>
          </cell>
          <cell r="F1905" t="str">
            <v>SESTO SAN GIOVANNI</v>
          </cell>
          <cell r="G1905" t="str">
            <v>MI</v>
          </cell>
          <cell r="H1905" t="str">
            <v>ITALIA</v>
          </cell>
          <cell r="M1905" t="str">
            <v>UFFICIO ACQUISTI</v>
          </cell>
          <cell r="N1905" t="str">
            <v>02 2403041</v>
          </cell>
          <cell r="R1905" t="str">
            <v>BONIFICO BANCARIO, ALLA DATA DELLA NOSTRA CONFERMA D'ORDINE</v>
          </cell>
          <cell r="X1905">
            <v>0.25</v>
          </cell>
          <cell r="Y1905">
            <v>-0.04</v>
          </cell>
          <cell r="AB1905">
            <v>0.25</v>
          </cell>
          <cell r="AC1905">
            <v>0.25</v>
          </cell>
          <cell r="AD1905">
            <v>0.25</v>
          </cell>
          <cell r="AE1905">
            <v>0.25</v>
          </cell>
          <cell r="AF1905">
            <v>0.25</v>
          </cell>
          <cell r="AG1905">
            <v>0.25</v>
          </cell>
          <cell r="AH1905">
            <v>0.25</v>
          </cell>
          <cell r="AI1905">
            <v>0.25</v>
          </cell>
          <cell r="AJ1905">
            <v>0.25</v>
          </cell>
          <cell r="AK1905">
            <v>0.25</v>
          </cell>
          <cell r="AL1905">
            <v>0.25</v>
          </cell>
          <cell r="AM1905">
            <v>0.25</v>
          </cell>
          <cell r="AN1905">
            <v>0.25</v>
          </cell>
          <cell r="AO1905">
            <v>0.25</v>
          </cell>
          <cell r="AP1905">
            <v>0.25</v>
          </cell>
          <cell r="AQ1905">
            <v>0.25</v>
          </cell>
          <cell r="AR1905">
            <v>0.25</v>
          </cell>
          <cell r="AS1905">
            <v>0.25</v>
          </cell>
          <cell r="AT1905">
            <v>-0.04</v>
          </cell>
          <cell r="AU1905">
            <v>0.92</v>
          </cell>
          <cell r="AV1905">
            <v>20</v>
          </cell>
          <cell r="AY1905" t="str">
            <v/>
          </cell>
          <cell r="AZ1905">
            <v>0.25</v>
          </cell>
          <cell r="BA1905">
            <v>0.25</v>
          </cell>
        </row>
        <row r="1906">
          <cell r="A1906" t="str">
            <v>PEGOIANI PAVIMENTI</v>
          </cell>
          <cell r="D1906" t="str">
            <v>VIA PONTICELLI, 69</v>
          </cell>
          <cell r="E1906">
            <v>25014</v>
          </cell>
          <cell r="F1906" t="str">
            <v>CASTENDOLO</v>
          </cell>
          <cell r="G1906" t="str">
            <v>BS</v>
          </cell>
          <cell r="H1906" t="str">
            <v>ITALIA</v>
          </cell>
          <cell r="I1906" t="str">
            <v>02355830981</v>
          </cell>
          <cell r="J1906" t="str">
            <v>02355830981</v>
          </cell>
          <cell r="M1906" t="str">
            <v>UFFICIO ACQUISTI</v>
          </cell>
          <cell r="N1906" t="str">
            <v>030 2131510</v>
          </cell>
          <cell r="P1906" t="str">
            <v>info@pegoianipavimenti.it</v>
          </cell>
          <cell r="R1906" t="str">
            <v>BONIFICO BANCARIO, ALLA DATA DELLA NOSTRA CONFERMA D'ORDINE</v>
          </cell>
          <cell r="X1906">
            <v>0.25</v>
          </cell>
          <cell r="Y1906">
            <v>-0.04</v>
          </cell>
          <cell r="AB1906">
            <v>0.25</v>
          </cell>
          <cell r="AC1906">
            <v>0.25</v>
          </cell>
          <cell r="AD1906">
            <v>0.25</v>
          </cell>
          <cell r="AE1906">
            <v>0.25</v>
          </cell>
          <cell r="AF1906">
            <v>0.25</v>
          </cell>
          <cell r="AG1906">
            <v>0.25</v>
          </cell>
          <cell r="AH1906">
            <v>0.25</v>
          </cell>
          <cell r="AI1906">
            <v>0.25</v>
          </cell>
          <cell r="AJ1906">
            <v>0.25</v>
          </cell>
          <cell r="AK1906">
            <v>0.25</v>
          </cell>
          <cell r="AL1906">
            <v>0.25</v>
          </cell>
          <cell r="AM1906">
            <v>0.25</v>
          </cell>
          <cell r="AN1906">
            <v>0.25</v>
          </cell>
          <cell r="AO1906">
            <v>0.25</v>
          </cell>
          <cell r="AP1906">
            <v>0.25</v>
          </cell>
          <cell r="AQ1906">
            <v>0.25</v>
          </cell>
          <cell r="AR1906">
            <v>0.25</v>
          </cell>
          <cell r="AS1906">
            <v>0.25</v>
          </cell>
          <cell r="AT1906">
            <v>-0.04</v>
          </cell>
          <cell r="AU1906">
            <v>0.92</v>
          </cell>
          <cell r="AV1906">
            <v>20</v>
          </cell>
          <cell r="AZ1906">
            <v>0.25</v>
          </cell>
          <cell r="BA1906">
            <v>0.25</v>
          </cell>
        </row>
        <row r="1907">
          <cell r="A1907" t="str">
            <v>PELOSI INFISSI</v>
          </cell>
          <cell r="D1907" t="str">
            <v>VIA NAPOLI, 23</v>
          </cell>
          <cell r="E1907">
            <v>84014</v>
          </cell>
          <cell r="F1907" t="str">
            <v>NOCERA INFERIORE</v>
          </cell>
          <cell r="G1907" t="str">
            <v>SA</v>
          </cell>
          <cell r="H1907" t="str">
            <v>ITALIA</v>
          </cell>
          <cell r="I1907" t="str">
            <v>PLSLGU88T16F912F</v>
          </cell>
          <cell r="J1907" t="str">
            <v>04932870654</v>
          </cell>
          <cell r="M1907" t="str">
            <v>UFFICIO ACQUISTI</v>
          </cell>
          <cell r="N1907" t="str">
            <v>081 3449025</v>
          </cell>
          <cell r="O1907" t="str">
            <v>Aniello 320 8352718</v>
          </cell>
          <cell r="R1907" t="str">
            <v>BONIFICO BANCARIO, ALLA DATA DELLA NOSTRA CONFERMA D'ORDINE</v>
          </cell>
          <cell r="X1907">
            <v>0.25</v>
          </cell>
          <cell r="Y1907">
            <v>-0.04</v>
          </cell>
          <cell r="AB1907">
            <v>0.25</v>
          </cell>
          <cell r="AC1907">
            <v>0.25</v>
          </cell>
          <cell r="AD1907">
            <v>0.25</v>
          </cell>
          <cell r="AE1907">
            <v>0.25</v>
          </cell>
          <cell r="AF1907">
            <v>0.25</v>
          </cell>
          <cell r="AG1907">
            <v>0.25</v>
          </cell>
          <cell r="AH1907">
            <v>0.25</v>
          </cell>
          <cell r="AI1907">
            <v>0.25</v>
          </cell>
          <cell r="AJ1907">
            <v>0.25</v>
          </cell>
          <cell r="AK1907">
            <v>0.25</v>
          </cell>
          <cell r="AL1907">
            <v>0.25</v>
          </cell>
          <cell r="AM1907">
            <v>0.25</v>
          </cell>
          <cell r="AN1907">
            <v>0.25</v>
          </cell>
          <cell r="AO1907">
            <v>0.25</v>
          </cell>
          <cell r="AP1907">
            <v>0.25</v>
          </cell>
          <cell r="AQ1907">
            <v>0.25</v>
          </cell>
          <cell r="AR1907">
            <v>0.25</v>
          </cell>
          <cell r="AS1907">
            <v>0.25</v>
          </cell>
          <cell r="AT1907">
            <v>-0.04</v>
          </cell>
          <cell r="AU1907">
            <v>0.92</v>
          </cell>
          <cell r="AV1907">
            <v>20</v>
          </cell>
          <cell r="AZ1907">
            <v>0.25</v>
          </cell>
          <cell r="BA1907">
            <v>0.25</v>
          </cell>
        </row>
        <row r="1908">
          <cell r="A1908" t="str">
            <v>PELUFFO PORTE S.R.L. UNIPERSONALE</v>
          </cell>
          <cell r="D1908" t="str">
            <v>PIAZZA G. MAMELI, 5/3</v>
          </cell>
          <cell r="E1908">
            <v>17100</v>
          </cell>
          <cell r="F1908" t="str">
            <v>SAVONA</v>
          </cell>
          <cell r="G1908" t="str">
            <v>SV</v>
          </cell>
          <cell r="H1908" t="str">
            <v>ITALIA</v>
          </cell>
          <cell r="J1908" t="str">
            <v>00924270093</v>
          </cell>
          <cell r="K1908" t="str">
            <v>M5UXCR1</v>
          </cell>
          <cell r="L1908" t="str">
            <v>PELUFFO PORTE SRL - VIA PIAVE, 130A - 17047 VADO LIGURE (SV)</v>
          </cell>
          <cell r="M1908" t="str">
            <v>UFFICIO ACQUISTI</v>
          </cell>
          <cell r="N1908" t="str">
            <v>019 886543</v>
          </cell>
          <cell r="P1908" t="str">
            <v>ordini@peluffoporte.com</v>
          </cell>
          <cell r="R1908" t="str">
            <v>BONIFICO BANCARIO, ALLA DATA DELLA NOSTRA CONFERMA D'ORDINE</v>
          </cell>
          <cell r="X1908">
            <v>0.25</v>
          </cell>
          <cell r="Y1908">
            <v>-0.04</v>
          </cell>
          <cell r="AB1908">
            <v>0.25</v>
          </cell>
          <cell r="AC1908">
            <v>0.25</v>
          </cell>
          <cell r="AD1908">
            <v>0.25</v>
          </cell>
          <cell r="AE1908">
            <v>0.25</v>
          </cell>
          <cell r="AF1908">
            <v>0.25</v>
          </cell>
          <cell r="AG1908">
            <v>0.25</v>
          </cell>
          <cell r="AH1908">
            <v>0.25</v>
          </cell>
          <cell r="AI1908">
            <v>0.25</v>
          </cell>
          <cell r="AJ1908">
            <v>0.25</v>
          </cell>
          <cell r="AK1908">
            <v>0.25</v>
          </cell>
          <cell r="AL1908">
            <v>0.25</v>
          </cell>
          <cell r="AM1908">
            <v>0.25</v>
          </cell>
          <cell r="AN1908">
            <v>0.25</v>
          </cell>
          <cell r="AO1908">
            <v>0.25</v>
          </cell>
          <cell r="AP1908">
            <v>0.25</v>
          </cell>
          <cell r="AQ1908">
            <v>0.25</v>
          </cell>
          <cell r="AR1908">
            <v>0.25</v>
          </cell>
          <cell r="AS1908">
            <v>0.25</v>
          </cell>
          <cell r="AT1908">
            <v>-0.04</v>
          </cell>
          <cell r="AU1908">
            <v>0.87</v>
          </cell>
          <cell r="AV1908">
            <v>20</v>
          </cell>
          <cell r="AY1908" t="str">
            <v/>
          </cell>
          <cell r="AZ1908">
            <v>0.25</v>
          </cell>
          <cell r="BA1908">
            <v>0.25</v>
          </cell>
        </row>
        <row r="1909">
          <cell r="A1909" t="str">
            <v>PER CASA</v>
          </cell>
          <cell r="B1909" t="str">
            <v xml:space="preserve">STEFANIA, INVIARE FOTO  </v>
          </cell>
          <cell r="D1909" t="str">
            <v>VIA SAN PELAGIO, 12</v>
          </cell>
          <cell r="E1909" t="str">
            <v>33019</v>
          </cell>
          <cell r="F1909" t="str">
            <v>TRICESIMO</v>
          </cell>
          <cell r="G1909" t="str">
            <v>UD</v>
          </cell>
          <cell r="H1909" t="str">
            <v>ITALIA</v>
          </cell>
          <cell r="M1909" t="str">
            <v>UFFICIO ACQUISTI</v>
          </cell>
          <cell r="N1909" t="str">
            <v>0432 882068</v>
          </cell>
          <cell r="P1909" t="str">
            <v>info@percasa.com</v>
          </cell>
          <cell r="R1909" t="str">
            <v>BONIFICO BANCARIO, ALLA DATA DELLA NOSTRA CONFERMA D'ORDINE</v>
          </cell>
          <cell r="X1909">
            <v>0.25</v>
          </cell>
          <cell r="Y1909">
            <v>-0.04</v>
          </cell>
          <cell r="AB1909">
            <v>0.25</v>
          </cell>
          <cell r="AC1909">
            <v>0.25</v>
          </cell>
          <cell r="AD1909">
            <v>0.25</v>
          </cell>
          <cell r="AE1909">
            <v>0.25</v>
          </cell>
          <cell r="AF1909">
            <v>0.25</v>
          </cell>
          <cell r="AG1909">
            <v>0.25</v>
          </cell>
          <cell r="AH1909">
            <v>0.25</v>
          </cell>
          <cell r="AI1909">
            <v>0.25</v>
          </cell>
          <cell r="AJ1909">
            <v>0.25</v>
          </cell>
          <cell r="AK1909">
            <v>0.25</v>
          </cell>
          <cell r="AL1909">
            <v>0.25</v>
          </cell>
          <cell r="AM1909">
            <v>0.25</v>
          </cell>
          <cell r="AN1909">
            <v>0.25</v>
          </cell>
          <cell r="AO1909">
            <v>0.25</v>
          </cell>
          <cell r="AP1909">
            <v>0.25</v>
          </cell>
          <cell r="AQ1909">
            <v>0.25</v>
          </cell>
          <cell r="AR1909">
            <v>0.25</v>
          </cell>
          <cell r="AS1909">
            <v>0.25</v>
          </cell>
          <cell r="AT1909">
            <v>-0.04</v>
          </cell>
          <cell r="AU1909">
            <v>0.92</v>
          </cell>
          <cell r="AV1909">
            <v>20</v>
          </cell>
          <cell r="AY1909" t="str">
            <v/>
          </cell>
          <cell r="AZ1909">
            <v>0.25</v>
          </cell>
          <cell r="BA1909">
            <v>0.25</v>
          </cell>
        </row>
        <row r="1910">
          <cell r="A1910" t="str">
            <v>PERENZIN SERRAMENTI SRL</v>
          </cell>
          <cell r="D1910" t="str">
            <v>VIA LA CAL 85/BIS</v>
          </cell>
          <cell r="E1910" t="str">
            <v>32020</v>
          </cell>
          <cell r="F1910" t="str">
            <v>LIMANA</v>
          </cell>
          <cell r="G1910" t="str">
            <v>BL</v>
          </cell>
          <cell r="H1910" t="str">
            <v>ITALIA</v>
          </cell>
          <cell r="J1910" t="str">
            <v>01059960250</v>
          </cell>
          <cell r="M1910" t="str">
            <v>UFFICIO ACQUISTI</v>
          </cell>
          <cell r="N1910" t="str">
            <v>0437 967160</v>
          </cell>
          <cell r="P1910" t="str">
            <v>info@perenzinserramenti.it</v>
          </cell>
          <cell r="R1910" t="str">
            <v>BONIFICO BANCARIO, ALLA DATA DELLA NOSTRA CONFERMA D'ORDINE</v>
          </cell>
          <cell r="X1910">
            <v>0.25</v>
          </cell>
          <cell r="Y1910">
            <v>-0.04</v>
          </cell>
          <cell r="AB1910">
            <v>0.25</v>
          </cell>
          <cell r="AC1910">
            <v>0.25</v>
          </cell>
          <cell r="AD1910">
            <v>0.25</v>
          </cell>
          <cell r="AE1910">
            <v>0.25</v>
          </cell>
          <cell r="AF1910">
            <v>0.25</v>
          </cell>
          <cell r="AG1910">
            <v>0.25</v>
          </cell>
          <cell r="AH1910">
            <v>0.25</v>
          </cell>
          <cell r="AI1910">
            <v>0.25</v>
          </cell>
          <cell r="AJ1910">
            <v>0.25</v>
          </cell>
          <cell r="AK1910">
            <v>0.25</v>
          </cell>
          <cell r="AL1910">
            <v>0.25</v>
          </cell>
          <cell r="AM1910">
            <v>0.25</v>
          </cell>
          <cell r="AN1910">
            <v>0.25</v>
          </cell>
          <cell r="AO1910">
            <v>0.25</v>
          </cell>
          <cell r="AP1910">
            <v>0.25</v>
          </cell>
          <cell r="AQ1910">
            <v>0.25</v>
          </cell>
          <cell r="AR1910">
            <v>0.25</v>
          </cell>
          <cell r="AS1910">
            <v>0.25</v>
          </cell>
          <cell r="AT1910">
            <v>-0.04</v>
          </cell>
          <cell r="AU1910">
            <v>0.92</v>
          </cell>
          <cell r="AV1910">
            <v>20</v>
          </cell>
          <cell r="AY1910" t="str">
            <v/>
          </cell>
          <cell r="AZ1910">
            <v>0.25</v>
          </cell>
          <cell r="BA1910">
            <v>0.25</v>
          </cell>
        </row>
        <row r="1911">
          <cell r="A1911" t="str">
            <v>PERINELLI FORNITURE SRL</v>
          </cell>
          <cell r="B1911" t="str">
            <v>BUONO</v>
          </cell>
          <cell r="D1911" t="str">
            <v>VIA MARZAN, 4</v>
          </cell>
          <cell r="E1911" t="str">
            <v>37019</v>
          </cell>
          <cell r="F1911" t="str">
            <v>PESCHIERA DEL GARDA</v>
          </cell>
          <cell r="G1911" t="str">
            <v>VR</v>
          </cell>
          <cell r="H1911" t="str">
            <v>ITALIA</v>
          </cell>
          <cell r="M1911" t="str">
            <v>UFFICIO ACQUISTI</v>
          </cell>
          <cell r="N1911" t="str">
            <v>045 7551749</v>
          </cell>
          <cell r="P1911" t="str">
            <v>info@perinelliforniture.it</v>
          </cell>
          <cell r="R1911" t="str">
            <v>BONIFICO BANCARIO, ALLA DATA DELLA NOSTRA CONFERMA D'ORDINE</v>
          </cell>
          <cell r="Y1911">
            <v>-0.04</v>
          </cell>
          <cell r="AT1911">
            <v>-0.04</v>
          </cell>
          <cell r="AV1911">
            <v>20</v>
          </cell>
          <cell r="AZ1911">
            <v>0</v>
          </cell>
          <cell r="BA1911">
            <v>0</v>
          </cell>
        </row>
        <row r="1912">
          <cell r="A1912" t="str">
            <v>PERRA ANGELO</v>
          </cell>
          <cell r="B1912" t="str">
            <v>SOLO BIGLIETTO DA VISITA</v>
          </cell>
          <cell r="D1912" t="str">
            <v>VIA NIGRA, 21</v>
          </cell>
          <cell r="E1912" t="str">
            <v>09045</v>
          </cell>
          <cell r="F1912" t="str">
            <v>QUARTU S.ELENA</v>
          </cell>
          <cell r="G1912" t="str">
            <v>CA</v>
          </cell>
          <cell r="H1912" t="str">
            <v>ITALIA</v>
          </cell>
          <cell r="M1912" t="str">
            <v>UFFICIO ACQUISTI</v>
          </cell>
          <cell r="O1912" t="str">
            <v>333 9929260</v>
          </cell>
          <cell r="P1912" t="str">
            <v>perra.angelo@tiscali.it</v>
          </cell>
          <cell r="R1912" t="str">
            <v>BONIFICO BANCARIO, ALLA DATA DELLA NOSTRA CONFERMA D'ORDINE</v>
          </cell>
          <cell r="X1912">
            <v>0.25</v>
          </cell>
          <cell r="Y1912">
            <v>-0.04</v>
          </cell>
          <cell r="AB1912">
            <v>0.25</v>
          </cell>
          <cell r="AC1912">
            <v>0.25</v>
          </cell>
          <cell r="AD1912">
            <v>0.25</v>
          </cell>
          <cell r="AE1912">
            <v>0.25</v>
          </cell>
          <cell r="AF1912">
            <v>0.25</v>
          </cell>
          <cell r="AG1912">
            <v>0.25</v>
          </cell>
          <cell r="AH1912">
            <v>0.25</v>
          </cell>
          <cell r="AI1912">
            <v>0.25</v>
          </cell>
          <cell r="AJ1912">
            <v>0.25</v>
          </cell>
          <cell r="AK1912">
            <v>0.25</v>
          </cell>
          <cell r="AL1912">
            <v>0.25</v>
          </cell>
          <cell r="AM1912">
            <v>0.25</v>
          </cell>
          <cell r="AN1912">
            <v>0.25</v>
          </cell>
          <cell r="AO1912">
            <v>0.25</v>
          </cell>
          <cell r="AP1912">
            <v>0.25</v>
          </cell>
          <cell r="AQ1912">
            <v>0.25</v>
          </cell>
          <cell r="AR1912">
            <v>0.25</v>
          </cell>
          <cell r="AS1912">
            <v>0.25</v>
          </cell>
          <cell r="AT1912">
            <v>-0.04</v>
          </cell>
          <cell r="AU1912">
            <v>0.92</v>
          </cell>
          <cell r="AV1912">
            <v>20</v>
          </cell>
          <cell r="AZ1912">
            <v>0.25</v>
          </cell>
          <cell r="BA1912">
            <v>0.25</v>
          </cell>
        </row>
        <row r="1913">
          <cell r="A1913" t="str">
            <v>PERUZZI SRL</v>
          </cell>
          <cell r="D1913" t="str">
            <v>VIA PIETRO FRANCAVILLA, 15</v>
          </cell>
          <cell r="E1913" t="str">
            <v>50142</v>
          </cell>
          <cell r="F1913" t="str">
            <v>FIRENZE</v>
          </cell>
          <cell r="G1913" t="str">
            <v>FI</v>
          </cell>
          <cell r="H1913" t="str">
            <v>ITALIA</v>
          </cell>
          <cell r="I1913" t="str">
            <v>06622810486</v>
          </cell>
          <cell r="J1913" t="str">
            <v>06622810486</v>
          </cell>
          <cell r="M1913" t="str">
            <v>UFFICIO ACQUISTI</v>
          </cell>
          <cell r="N1913" t="str">
            <v>055 720116</v>
          </cell>
          <cell r="P1913" t="str">
            <v>peruzzi@infissiperuzzi.it</v>
          </cell>
          <cell r="R1913" t="str">
            <v>BONIFICO BANCARIO, ALLA DATA DELLA NOSTRA CONFERMA D'ORDINE</v>
          </cell>
          <cell r="X1913">
            <v>0.25</v>
          </cell>
          <cell r="Y1913">
            <v>-0.04</v>
          </cell>
          <cell r="AB1913">
            <v>0.25</v>
          </cell>
          <cell r="AC1913">
            <v>0.25</v>
          </cell>
          <cell r="AD1913">
            <v>0.25</v>
          </cell>
          <cell r="AE1913">
            <v>0.25</v>
          </cell>
          <cell r="AF1913">
            <v>0.25</v>
          </cell>
          <cell r="AG1913">
            <v>0.25</v>
          </cell>
          <cell r="AH1913">
            <v>0.25</v>
          </cell>
          <cell r="AI1913">
            <v>0.25</v>
          </cell>
          <cell r="AJ1913">
            <v>0.25</v>
          </cell>
          <cell r="AK1913">
            <v>0.25</v>
          </cell>
          <cell r="AL1913">
            <v>0.25</v>
          </cell>
          <cell r="AM1913">
            <v>0.25</v>
          </cell>
          <cell r="AN1913">
            <v>0.25</v>
          </cell>
          <cell r="AO1913">
            <v>0.25</v>
          </cell>
          <cell r="AP1913">
            <v>0.25</v>
          </cell>
          <cell r="AQ1913">
            <v>0.25</v>
          </cell>
          <cell r="AR1913">
            <v>0.25</v>
          </cell>
          <cell r="AS1913">
            <v>0.25</v>
          </cell>
          <cell r="AT1913">
            <v>-0.04</v>
          </cell>
          <cell r="AU1913">
            <v>0.92</v>
          </cell>
          <cell r="AV1913">
            <v>20</v>
          </cell>
          <cell r="AZ1913">
            <v>0.25</v>
          </cell>
          <cell r="BA1913">
            <v>0.25</v>
          </cell>
        </row>
        <row r="1914">
          <cell r="A1914" t="str">
            <v>PETRIS STEFANO E C. SNC</v>
          </cell>
          <cell r="B1914" t="str">
            <v>NO SCONTO</v>
          </cell>
          <cell r="D1914" t="str">
            <v>VIA DEL CROGNOLET, 5</v>
          </cell>
          <cell r="E1914" t="str">
            <v>33043</v>
          </cell>
          <cell r="F1914" t="str">
            <v>CIVIDALE DEL FRIULI</v>
          </cell>
          <cell r="G1914" t="str">
            <v>UD</v>
          </cell>
          <cell r="H1914" t="str">
            <v>ITALIA</v>
          </cell>
          <cell r="J1914" t="str">
            <v>00150670305</v>
          </cell>
          <cell r="M1914" t="str">
            <v>UFFICIO ACQUISTI</v>
          </cell>
          <cell r="N1914" t="str">
            <v>0432 733264</v>
          </cell>
          <cell r="R1914" t="str">
            <v>BONIFICO BANCARIO, ALLA DATA DELLA NOSTRA CONFERMA D'ORDINE</v>
          </cell>
          <cell r="X1914">
            <v>0.25</v>
          </cell>
          <cell r="Y1914">
            <v>-0.04</v>
          </cell>
          <cell r="AB1914">
            <v>0.25</v>
          </cell>
          <cell r="AC1914">
            <v>0.25</v>
          </cell>
          <cell r="AD1914">
            <v>0.25</v>
          </cell>
          <cell r="AE1914">
            <v>0.25</v>
          </cell>
          <cell r="AF1914">
            <v>0.25</v>
          </cell>
          <cell r="AG1914">
            <v>0.25</v>
          </cell>
          <cell r="AH1914">
            <v>0.25</v>
          </cell>
          <cell r="AI1914">
            <v>0.25</v>
          </cell>
          <cell r="AJ1914">
            <v>0.25</v>
          </cell>
          <cell r="AK1914">
            <v>0.25</v>
          </cell>
          <cell r="AL1914">
            <v>0.25</v>
          </cell>
          <cell r="AM1914">
            <v>0.25</v>
          </cell>
          <cell r="AN1914">
            <v>0.25</v>
          </cell>
          <cell r="AO1914">
            <v>0.25</v>
          </cell>
          <cell r="AP1914">
            <v>0.25</v>
          </cell>
          <cell r="AQ1914">
            <v>0.25</v>
          </cell>
          <cell r="AR1914">
            <v>0.25</v>
          </cell>
          <cell r="AS1914">
            <v>0.25</v>
          </cell>
          <cell r="AT1914">
            <v>-0.04</v>
          </cell>
          <cell r="AU1914">
            <v>0.92</v>
          </cell>
          <cell r="AV1914">
            <v>20</v>
          </cell>
          <cell r="AY1914" t="str">
            <v/>
          </cell>
          <cell r="AZ1914">
            <v>0.25</v>
          </cell>
          <cell r="BA1914">
            <v>0.25</v>
          </cell>
        </row>
        <row r="1915">
          <cell r="A1915" t="str">
            <v>PEZZO GILBERTO SERRAMENTI</v>
          </cell>
          <cell r="D1915" t="str">
            <v>VIA DI VITTORIO, 52</v>
          </cell>
          <cell r="E1915">
            <v>46045</v>
          </cell>
          <cell r="F1915" t="str">
            <v>MARMIROLO</v>
          </cell>
          <cell r="G1915" t="str">
            <v>MN</v>
          </cell>
          <cell r="H1915" t="str">
            <v>ITALIA</v>
          </cell>
          <cell r="M1915" t="str">
            <v>UFFICIO ACQUISTI</v>
          </cell>
          <cell r="N1915" t="str">
            <v>0376 466781</v>
          </cell>
          <cell r="O1915" t="str">
            <v>Marco 348 8207260</v>
          </cell>
          <cell r="P1915" t="str">
            <v>marco@serramentipezzo.it</v>
          </cell>
          <cell r="R1915" t="str">
            <v>BONIFICO BANCARIO, ALLA DATA DELLA NOSTRA CONFERMA D'ORDINE</v>
          </cell>
          <cell r="X1915">
            <v>0.25</v>
          </cell>
          <cell r="Y1915">
            <v>-0.04</v>
          </cell>
          <cell r="AB1915">
            <v>0.25</v>
          </cell>
          <cell r="AC1915">
            <v>0.25</v>
          </cell>
          <cell r="AD1915">
            <v>0.25</v>
          </cell>
          <cell r="AE1915">
            <v>0.25</v>
          </cell>
          <cell r="AF1915">
            <v>0.25</v>
          </cell>
          <cell r="AG1915">
            <v>0.25</v>
          </cell>
          <cell r="AH1915">
            <v>0.25</v>
          </cell>
          <cell r="AI1915">
            <v>0.25</v>
          </cell>
          <cell r="AJ1915">
            <v>0.25</v>
          </cell>
          <cell r="AK1915">
            <v>0.25</v>
          </cell>
          <cell r="AL1915">
            <v>0.25</v>
          </cell>
          <cell r="AM1915">
            <v>0.25</v>
          </cell>
          <cell r="AN1915">
            <v>0.25</v>
          </cell>
          <cell r="AO1915">
            <v>0.25</v>
          </cell>
          <cell r="AP1915">
            <v>0.25</v>
          </cell>
          <cell r="AQ1915">
            <v>0.25</v>
          </cell>
          <cell r="AR1915">
            <v>0.25</v>
          </cell>
          <cell r="AS1915">
            <v>0.25</v>
          </cell>
          <cell r="AT1915">
            <v>-0.04</v>
          </cell>
          <cell r="AU1915">
            <v>0.92</v>
          </cell>
          <cell r="AV1915">
            <v>20</v>
          </cell>
          <cell r="AY1915" t="str">
            <v/>
          </cell>
          <cell r="AZ1915">
            <v>0.25</v>
          </cell>
          <cell r="BA1915">
            <v>0.25</v>
          </cell>
        </row>
        <row r="1916">
          <cell r="A1916" t="str">
            <v>PF DI SERGIO CIGNARALE</v>
          </cell>
          <cell r="D1916" t="str">
            <v>VIA W.FILLAK, 40 R</v>
          </cell>
          <cell r="E1916">
            <v>16151</v>
          </cell>
          <cell r="F1916" t="str">
            <v>GENOVA</v>
          </cell>
          <cell r="G1916" t="str">
            <v>GE</v>
          </cell>
          <cell r="H1916" t="str">
            <v>ITALIA</v>
          </cell>
          <cell r="J1916">
            <v>1773920994</v>
          </cell>
          <cell r="M1916" t="str">
            <v>UFFICIO ACQUISTI</v>
          </cell>
          <cell r="N1916" t="str">
            <v>010 4075268</v>
          </cell>
          <cell r="O1916" t="str">
            <v>392 8111653</v>
          </cell>
          <cell r="P1916" t="str">
            <v>sergio.pf@libero.it</v>
          </cell>
          <cell r="R1916" t="str">
            <v>BONIFICO BANCARIO, ALLA DATA DELLA NOSTRA CONFERMA D'ORDINE</v>
          </cell>
          <cell r="X1916">
            <v>0.25</v>
          </cell>
          <cell r="Y1916">
            <v>-0.04</v>
          </cell>
          <cell r="AB1916">
            <v>0.25</v>
          </cell>
          <cell r="AC1916">
            <v>0.25</v>
          </cell>
          <cell r="AD1916">
            <v>0.25</v>
          </cell>
          <cell r="AE1916">
            <v>0.25</v>
          </cell>
          <cell r="AF1916">
            <v>0.25</v>
          </cell>
          <cell r="AG1916">
            <v>0.25</v>
          </cell>
          <cell r="AH1916">
            <v>0.25</v>
          </cell>
          <cell r="AI1916">
            <v>0.25</v>
          </cell>
          <cell r="AJ1916">
            <v>0.25</v>
          </cell>
          <cell r="AK1916">
            <v>0.25</v>
          </cell>
          <cell r="AL1916">
            <v>0.25</v>
          </cell>
          <cell r="AM1916">
            <v>0.25</v>
          </cell>
          <cell r="AN1916">
            <v>0.25</v>
          </cell>
          <cell r="AO1916">
            <v>0.25</v>
          </cell>
          <cell r="AP1916">
            <v>0.25</v>
          </cell>
          <cell r="AQ1916">
            <v>0.25</v>
          </cell>
          <cell r="AR1916">
            <v>0.25</v>
          </cell>
          <cell r="AS1916">
            <v>0.25</v>
          </cell>
          <cell r="AT1916">
            <v>-0.04</v>
          </cell>
          <cell r="AU1916">
            <v>0.92</v>
          </cell>
          <cell r="AV1916">
            <v>20</v>
          </cell>
          <cell r="AZ1916">
            <v>0.25</v>
          </cell>
          <cell r="BA1916">
            <v>0.25</v>
          </cell>
        </row>
        <row r="1917">
          <cell r="A1917" t="str">
            <v>PHI PORTE DI  RA.BEN.SRL</v>
          </cell>
          <cell r="B1917" t="str">
            <v>SOLO BIGLIETTO DA VISITA</v>
          </cell>
          <cell r="D1917" t="str">
            <v>VIALE POETTO, 4</v>
          </cell>
          <cell r="E1917" t="str">
            <v>09126</v>
          </cell>
          <cell r="F1917" t="str">
            <v>CAGLIARI</v>
          </cell>
          <cell r="G1917" t="str">
            <v>CA</v>
          </cell>
          <cell r="H1917" t="str">
            <v>ITALIA</v>
          </cell>
          <cell r="J1917" t="str">
            <v>02565650922</v>
          </cell>
          <cell r="L1917" t="str">
            <v>9°STRADA Z.I. MACCHIAREDDU-UTA (CA)</v>
          </cell>
          <cell r="M1917" t="str">
            <v>UFFICIO ACQUISTI</v>
          </cell>
          <cell r="N1917" t="str">
            <v>070 5489156</v>
          </cell>
          <cell r="P1917" t="str">
            <v>info@phiporte.com</v>
          </cell>
          <cell r="R1917" t="str">
            <v>BONIFICO BANCARIO, ALLA DATA DELLA NOSTRA CONFERMA D'ORDINE</v>
          </cell>
          <cell r="X1917">
            <v>0.25</v>
          </cell>
          <cell r="Y1917">
            <v>-0.04</v>
          </cell>
          <cell r="AB1917">
            <v>0.25</v>
          </cell>
          <cell r="AC1917">
            <v>0.25</v>
          </cell>
          <cell r="AD1917">
            <v>0.25</v>
          </cell>
          <cell r="AE1917">
            <v>0.25</v>
          </cell>
          <cell r="AF1917">
            <v>0.25</v>
          </cell>
          <cell r="AG1917">
            <v>0.25</v>
          </cell>
          <cell r="AH1917">
            <v>0.25</v>
          </cell>
          <cell r="AI1917">
            <v>0.25</v>
          </cell>
          <cell r="AJ1917">
            <v>0.25</v>
          </cell>
          <cell r="AK1917">
            <v>0.25</v>
          </cell>
          <cell r="AL1917">
            <v>0.25</v>
          </cell>
          <cell r="AM1917">
            <v>0.25</v>
          </cell>
          <cell r="AN1917">
            <v>0.25</v>
          </cell>
          <cell r="AO1917">
            <v>0.25</v>
          </cell>
          <cell r="AP1917">
            <v>0.25</v>
          </cell>
          <cell r="AQ1917">
            <v>0.25</v>
          </cell>
          <cell r="AR1917">
            <v>0.25</v>
          </cell>
          <cell r="AS1917">
            <v>0.25</v>
          </cell>
          <cell r="AT1917">
            <v>-0.04</v>
          </cell>
          <cell r="AU1917">
            <v>0.92</v>
          </cell>
          <cell r="AV1917">
            <v>20</v>
          </cell>
          <cell r="AZ1917">
            <v>0.25</v>
          </cell>
          <cell r="BA1917">
            <v>0.25</v>
          </cell>
        </row>
        <row r="1918">
          <cell r="A1918" t="str">
            <v>PIANETA INFISSI DI PEDRINI SANDRA E C. SNC</v>
          </cell>
          <cell r="D1918" t="str">
            <v>VIA SIRACUSA 61/63</v>
          </cell>
          <cell r="E1918" t="str">
            <v>47924</v>
          </cell>
          <cell r="F1918" t="str">
            <v>RIMINI</v>
          </cell>
          <cell r="G1918" t="str">
            <v>RN</v>
          </cell>
          <cell r="H1918" t="str">
            <v>ITALIA</v>
          </cell>
          <cell r="J1918" t="str">
            <v>03838620403</v>
          </cell>
          <cell r="M1918" t="str">
            <v>UFFICIO ACQUISTI</v>
          </cell>
          <cell r="N1918" t="str">
            <v>0541 478726</v>
          </cell>
          <cell r="O1918" t="str">
            <v>335 6258427</v>
          </cell>
          <cell r="R1918" t="str">
            <v>BONIFICO BANCARIO, ALLA DATA DELLA NOSTRA CONFERMA D'ORDINE</v>
          </cell>
          <cell r="X1918">
            <v>0.25</v>
          </cell>
          <cell r="Y1918">
            <v>-0.04</v>
          </cell>
          <cell r="AB1918">
            <v>0.25</v>
          </cell>
          <cell r="AC1918">
            <v>0.25</v>
          </cell>
          <cell r="AD1918">
            <v>0.25</v>
          </cell>
          <cell r="AE1918">
            <v>0.25</v>
          </cell>
          <cell r="AF1918">
            <v>0.25</v>
          </cell>
          <cell r="AG1918">
            <v>0.25</v>
          </cell>
          <cell r="AH1918">
            <v>0.25</v>
          </cell>
          <cell r="AI1918">
            <v>0.25</v>
          </cell>
          <cell r="AJ1918">
            <v>0.25</v>
          </cell>
          <cell r="AK1918">
            <v>0.25</v>
          </cell>
          <cell r="AL1918">
            <v>0.25</v>
          </cell>
          <cell r="AM1918">
            <v>0.25</v>
          </cell>
          <cell r="AN1918">
            <v>0.25</v>
          </cell>
          <cell r="AO1918">
            <v>0.25</v>
          </cell>
          <cell r="AP1918">
            <v>0.25</v>
          </cell>
          <cell r="AQ1918">
            <v>0.25</v>
          </cell>
          <cell r="AR1918">
            <v>0.25</v>
          </cell>
          <cell r="AS1918">
            <v>0.25</v>
          </cell>
          <cell r="AT1918">
            <v>-0.04</v>
          </cell>
          <cell r="AU1918">
            <v>0.92</v>
          </cell>
          <cell r="AV1918">
            <v>20</v>
          </cell>
          <cell r="AY1918" t="str">
            <v/>
          </cell>
          <cell r="AZ1918">
            <v>0.25</v>
          </cell>
          <cell r="BA1918">
            <v>0.25</v>
          </cell>
        </row>
        <row r="1919">
          <cell r="A1919" t="str">
            <v>PIANTONI ANTONIO E C. SNC</v>
          </cell>
          <cell r="D1919" t="str">
            <v>VIALE EUROPA, 15</v>
          </cell>
          <cell r="E1919" t="str">
            <v>25036</v>
          </cell>
          <cell r="F1919" t="str">
            <v>PALAZZOLO SULL'OGLIO</v>
          </cell>
          <cell r="G1919" t="str">
            <v>BS</v>
          </cell>
          <cell r="H1919" t="str">
            <v>ITALIA</v>
          </cell>
          <cell r="J1919" t="str">
            <v>00687900985</v>
          </cell>
          <cell r="M1919" t="str">
            <v>UFFICIO ACQUISTI</v>
          </cell>
          <cell r="N1919" t="str">
            <v>030 7301041</v>
          </cell>
          <cell r="R1919" t="str">
            <v>BONIFICO BANCARIO, ALLA DATA DELLA NOSTRA CONFERMA D'ORDINE</v>
          </cell>
          <cell r="Y1919">
            <v>-0.04</v>
          </cell>
          <cell r="AT1919">
            <v>-0.04</v>
          </cell>
          <cell r="AV1919">
            <v>20</v>
          </cell>
          <cell r="AZ1919">
            <v>0</v>
          </cell>
          <cell r="BA1919">
            <v>0</v>
          </cell>
        </row>
        <row r="1920">
          <cell r="A1920" t="str">
            <v>PICARDI SRL</v>
          </cell>
          <cell r="D1920" t="str">
            <v>VIA PALMENTELLA 13</v>
          </cell>
          <cell r="E1920" t="str">
            <v>80011</v>
          </cell>
          <cell r="F1920" t="str">
            <v>ACERRA</v>
          </cell>
          <cell r="G1920" t="str">
            <v>NA</v>
          </cell>
          <cell r="H1920" t="str">
            <v>ITALIA</v>
          </cell>
          <cell r="J1920" t="str">
            <v>03619791217</v>
          </cell>
          <cell r="M1920" t="str">
            <v>UFFICIO ACQUISTI</v>
          </cell>
          <cell r="N1920" t="str">
            <v>081 3192099</v>
          </cell>
          <cell r="O1920" t="str">
            <v>348 5856691</v>
          </cell>
          <cell r="P1920" t="str">
            <v>info@picardisrl.it</v>
          </cell>
          <cell r="R1920" t="str">
            <v>BONIFICO BANCARIO, ALLA DATA DELLA NOSTRA CONFERMA D'ORDINE</v>
          </cell>
          <cell r="X1920">
            <v>0.25</v>
          </cell>
          <cell r="Y1920">
            <v>-0.04</v>
          </cell>
          <cell r="AB1920">
            <v>0.25</v>
          </cell>
          <cell r="AC1920">
            <v>0.25</v>
          </cell>
          <cell r="AD1920">
            <v>0.25</v>
          </cell>
          <cell r="AE1920">
            <v>0.25</v>
          </cell>
          <cell r="AF1920">
            <v>0.25</v>
          </cell>
          <cell r="AG1920">
            <v>0.25</v>
          </cell>
          <cell r="AH1920">
            <v>0.25</v>
          </cell>
          <cell r="AI1920">
            <v>0.25</v>
          </cell>
          <cell r="AJ1920">
            <v>0.25</v>
          </cell>
          <cell r="AK1920">
            <v>0.25</v>
          </cell>
          <cell r="AL1920">
            <v>0.25</v>
          </cell>
          <cell r="AM1920">
            <v>0.25</v>
          </cell>
          <cell r="AN1920">
            <v>0.25</v>
          </cell>
          <cell r="AO1920">
            <v>0.25</v>
          </cell>
          <cell r="AP1920">
            <v>0.25</v>
          </cell>
          <cell r="AQ1920">
            <v>0.25</v>
          </cell>
          <cell r="AR1920">
            <v>0.25</v>
          </cell>
          <cell r="AS1920">
            <v>0.25</v>
          </cell>
          <cell r="AT1920">
            <v>-0.04</v>
          </cell>
          <cell r="AU1920">
            <v>0.92</v>
          </cell>
          <cell r="AV1920">
            <v>20</v>
          </cell>
          <cell r="AY1920" t="str">
            <v/>
          </cell>
          <cell r="AZ1920">
            <v>0.25</v>
          </cell>
          <cell r="BA1920">
            <v>0.25</v>
          </cell>
        </row>
        <row r="1921">
          <cell r="A1921" t="str">
            <v>PICCOLROAZ</v>
          </cell>
          <cell r="D1921" t="str">
            <v>VIA S.G. BOSCO, 3</v>
          </cell>
          <cell r="E1921">
            <v>38068</v>
          </cell>
          <cell r="F1921" t="str">
            <v>ROVERETO</v>
          </cell>
          <cell r="G1921" t="str">
            <v>TN</v>
          </cell>
          <cell r="H1921" t="str">
            <v>ITALIA</v>
          </cell>
          <cell r="M1921" t="str">
            <v>UFFICIO ACQUISTI</v>
          </cell>
          <cell r="O1921" t="str">
            <v>334 9552947</v>
          </cell>
          <cell r="R1921" t="str">
            <v>BONIFICO BANCARIO, ALLA DATA DELLA NOSTRA CONFERMA D'ORDINE</v>
          </cell>
          <cell r="X1921">
            <v>0.25</v>
          </cell>
          <cell r="Y1921">
            <v>-0.04</v>
          </cell>
          <cell r="AB1921">
            <v>0.25</v>
          </cell>
          <cell r="AC1921">
            <v>0.25</v>
          </cell>
          <cell r="AD1921">
            <v>0.25</v>
          </cell>
          <cell r="AE1921">
            <v>0.25</v>
          </cell>
          <cell r="AF1921">
            <v>0.25</v>
          </cell>
          <cell r="AG1921">
            <v>0.25</v>
          </cell>
          <cell r="AH1921">
            <v>0.25</v>
          </cell>
          <cell r="AI1921">
            <v>0.25</v>
          </cell>
          <cell r="AJ1921">
            <v>0.25</v>
          </cell>
          <cell r="AK1921">
            <v>0.25</v>
          </cell>
          <cell r="AL1921">
            <v>0.25</v>
          </cell>
          <cell r="AM1921">
            <v>0.25</v>
          </cell>
          <cell r="AN1921">
            <v>0.25</v>
          </cell>
          <cell r="AO1921">
            <v>0.25</v>
          </cell>
          <cell r="AP1921">
            <v>0.25</v>
          </cell>
          <cell r="AQ1921">
            <v>0.25</v>
          </cell>
          <cell r="AR1921">
            <v>0.25</v>
          </cell>
          <cell r="AS1921">
            <v>0.25</v>
          </cell>
          <cell r="AT1921">
            <v>-0.04</v>
          </cell>
          <cell r="AU1921">
            <v>0.92</v>
          </cell>
          <cell r="AV1921">
            <v>20</v>
          </cell>
          <cell r="AY1921" t="str">
            <v/>
          </cell>
          <cell r="AZ1921">
            <v>0.25</v>
          </cell>
          <cell r="BA1921">
            <v>0.25</v>
          </cell>
        </row>
        <row r="1922">
          <cell r="A1922" t="str">
            <v>PICENO INFISSI</v>
          </cell>
          <cell r="B1922" t="str">
            <v>30/03/23 MANDATA MAIL</v>
          </cell>
          <cell r="D1922" t="str">
            <v>CORSO GIUSEPPE MAZZINI, 130</v>
          </cell>
          <cell r="E1922" t="str">
            <v>63074</v>
          </cell>
          <cell r="F1922" t="str">
            <v>SAN BENEDETTO DEL TRONTO</v>
          </cell>
          <cell r="G1922" t="str">
            <v>AP</v>
          </cell>
          <cell r="H1922" t="str">
            <v>ITALIA</v>
          </cell>
          <cell r="M1922" t="str">
            <v>SIG. MAURIZIO FOSCHI</v>
          </cell>
          <cell r="N1922" t="str">
            <v>0735 584452</v>
          </cell>
          <cell r="O1922" t="str">
            <v>335 6149310 MAURIZIO FOSCHI</v>
          </cell>
          <cell r="P1922" t="str">
            <v>picenoinfissi@gmail.com</v>
          </cell>
          <cell r="R1922" t="str">
            <v>BONIFICO BANCARIO, ALLA DATA DELLA NOSTRA CONFERMA D'ORDINE</v>
          </cell>
          <cell r="X1922">
            <v>0.2</v>
          </cell>
          <cell r="Y1922">
            <v>-0.04</v>
          </cell>
          <cell r="AB1922">
            <v>0.2</v>
          </cell>
          <cell r="AC1922">
            <v>0.2</v>
          </cell>
          <cell r="AD1922">
            <v>0.2</v>
          </cell>
          <cell r="AE1922">
            <v>0.2</v>
          </cell>
          <cell r="AF1922">
            <v>0.2</v>
          </cell>
          <cell r="AG1922">
            <v>0.2</v>
          </cell>
          <cell r="AH1922">
            <v>0.2</v>
          </cell>
          <cell r="AI1922">
            <v>0.2</v>
          </cell>
          <cell r="AJ1922">
            <v>0.2</v>
          </cell>
          <cell r="AK1922">
            <v>0.2</v>
          </cell>
          <cell r="AL1922">
            <v>0.2</v>
          </cell>
          <cell r="AM1922">
            <v>0.2</v>
          </cell>
          <cell r="AN1922">
            <v>0.2</v>
          </cell>
          <cell r="AO1922">
            <v>0.2</v>
          </cell>
          <cell r="AP1922">
            <v>0.2</v>
          </cell>
          <cell r="AQ1922">
            <v>0.2</v>
          </cell>
          <cell r="AR1922">
            <v>0.2</v>
          </cell>
          <cell r="AS1922">
            <v>0.2</v>
          </cell>
          <cell r="AT1922">
            <v>-0.04</v>
          </cell>
          <cell r="AU1922">
            <v>0.92</v>
          </cell>
          <cell r="AV1922">
            <v>20</v>
          </cell>
          <cell r="AZ1922">
            <v>0.2</v>
          </cell>
          <cell r="BA1922">
            <v>0.2</v>
          </cell>
        </row>
        <row r="1923">
          <cell r="A1923" t="str">
            <v>PICUBO SERRAMENTI SRL</v>
          </cell>
          <cell r="D1923" t="str">
            <v>VIA D'ACQUAPEDENTE, 84</v>
          </cell>
          <cell r="E1923" t="str">
            <v>35126</v>
          </cell>
          <cell r="F1923" t="str">
            <v>PADOVA</v>
          </cell>
          <cell r="G1923" t="str">
            <v>PD</v>
          </cell>
          <cell r="H1923" t="str">
            <v>ITALIA</v>
          </cell>
          <cell r="J1923" t="str">
            <v>039648802284</v>
          </cell>
          <cell r="M1923" t="str">
            <v>UFFICIO ACQUISTI</v>
          </cell>
          <cell r="N1923" t="str">
            <v>049 8804319</v>
          </cell>
          <cell r="P1923" t="str">
            <v>commerciale1@picubo.it</v>
          </cell>
          <cell r="R1923" t="str">
            <v>BONIFICO BANCARIO, ALLA DATA DELLA NOSTRA CONFERMA D'ORDINE</v>
          </cell>
          <cell r="X1923">
            <v>0.25</v>
          </cell>
          <cell r="Y1923">
            <v>-0.04</v>
          </cell>
          <cell r="AB1923">
            <v>0.25</v>
          </cell>
          <cell r="AC1923">
            <v>0.25</v>
          </cell>
          <cell r="AD1923">
            <v>0.25</v>
          </cell>
          <cell r="AE1923">
            <v>0.25</v>
          </cell>
          <cell r="AF1923">
            <v>0.25</v>
          </cell>
          <cell r="AG1923">
            <v>0.25</v>
          </cell>
          <cell r="AH1923">
            <v>0.25</v>
          </cell>
          <cell r="AI1923">
            <v>0.25</v>
          </cell>
          <cell r="AJ1923">
            <v>0.25</v>
          </cell>
          <cell r="AK1923">
            <v>0.25</v>
          </cell>
          <cell r="AL1923">
            <v>0.25</v>
          </cell>
          <cell r="AM1923">
            <v>0.25</v>
          </cell>
          <cell r="AN1923">
            <v>0.25</v>
          </cell>
          <cell r="AO1923">
            <v>0.25</v>
          </cell>
          <cell r="AP1923">
            <v>0.25</v>
          </cell>
          <cell r="AQ1923">
            <v>0.25</v>
          </cell>
          <cell r="AR1923">
            <v>0.25</v>
          </cell>
          <cell r="AS1923">
            <v>0.25</v>
          </cell>
          <cell r="AT1923">
            <v>-0.04</v>
          </cell>
          <cell r="AU1923">
            <v>0.92</v>
          </cell>
          <cell r="AV1923">
            <v>20</v>
          </cell>
          <cell r="AZ1923">
            <v>0.25</v>
          </cell>
          <cell r="BA1923">
            <v>0.25</v>
          </cell>
        </row>
        <row r="1924">
          <cell r="A1924" t="str">
            <v>PIEMME SRLS</v>
          </cell>
          <cell r="B1924" t="str">
            <v>PROPOSTA DI COLLABORAZIONE - CHIEDERE A MARCO</v>
          </cell>
          <cell r="D1924" t="str">
            <v>VIA NAPOLI, 15B</v>
          </cell>
          <cell r="E1924">
            <v>61037</v>
          </cell>
          <cell r="F1924" t="str">
            <v>MONDOLFO</v>
          </cell>
          <cell r="G1924" t="str">
            <v>PU</v>
          </cell>
          <cell r="H1924" t="str">
            <v>ITALIA</v>
          </cell>
          <cell r="J1924" t="str">
            <v>02605690417</v>
          </cell>
          <cell r="L1924" t="str">
            <v>VIA STERPETTINE, 43 - 61037 MONDOLFO (PU)</v>
          </cell>
          <cell r="M1924" t="str">
            <v>UFFICIO ACQUISTI</v>
          </cell>
          <cell r="N1924" t="str">
            <v>0721 967365</v>
          </cell>
          <cell r="O1924" t="str">
            <v>331 4887850</v>
          </cell>
          <cell r="P1924" t="str">
            <v>info@piemmeporte.com</v>
          </cell>
          <cell r="R1924" t="str">
            <v>BONIFICO BANCARIO, ALLA DATA DELLA NOSTRA CONFERMA D'ORDINE</v>
          </cell>
          <cell r="X1924">
            <v>0.25</v>
          </cell>
          <cell r="Y1924">
            <v>-0.04</v>
          </cell>
          <cell r="AB1924">
            <v>0.25</v>
          </cell>
          <cell r="AC1924">
            <v>0.25</v>
          </cell>
          <cell r="AD1924">
            <v>0.25</v>
          </cell>
          <cell r="AE1924">
            <v>0.25</v>
          </cell>
          <cell r="AF1924">
            <v>0.25</v>
          </cell>
          <cell r="AG1924">
            <v>0.25</v>
          </cell>
          <cell r="AH1924">
            <v>0.25</v>
          </cell>
          <cell r="AI1924">
            <v>0.25</v>
          </cell>
          <cell r="AJ1924">
            <v>0.25</v>
          </cell>
          <cell r="AK1924">
            <v>0.25</v>
          </cell>
          <cell r="AL1924">
            <v>0.25</v>
          </cell>
          <cell r="AM1924">
            <v>0.25</v>
          </cell>
          <cell r="AN1924">
            <v>0.25</v>
          </cell>
          <cell r="AO1924">
            <v>0.25</v>
          </cell>
          <cell r="AP1924">
            <v>0.25</v>
          </cell>
          <cell r="AQ1924">
            <v>0.25</v>
          </cell>
          <cell r="AR1924">
            <v>0.25</v>
          </cell>
          <cell r="AS1924">
            <v>0.25</v>
          </cell>
          <cell r="AT1924">
            <v>-0.04</v>
          </cell>
          <cell r="AU1924">
            <v>0.88</v>
          </cell>
          <cell r="AV1924">
            <v>20</v>
          </cell>
          <cell r="AY1924" t="str">
            <v/>
          </cell>
          <cell r="AZ1924">
            <v>0.25</v>
          </cell>
          <cell r="BA1924">
            <v>0.25</v>
          </cell>
        </row>
        <row r="1925">
          <cell r="A1925" t="str">
            <v>PIEMMEGI SERRAMENTI</v>
          </cell>
          <cell r="D1925" t="str">
            <v>VIA POVEGLIANO 29</v>
          </cell>
          <cell r="E1925" t="str">
            <v>31050</v>
          </cell>
          <cell r="F1925" t="str">
            <v>POVEGLIANO</v>
          </cell>
          <cell r="G1925" t="str">
            <v>TV</v>
          </cell>
          <cell r="H1925" t="str">
            <v>ITALIA</v>
          </cell>
          <cell r="M1925" t="str">
            <v>UFFICIO ACQUISTI</v>
          </cell>
          <cell r="N1925" t="str">
            <v>0422 872131</v>
          </cell>
          <cell r="O1925" t="str">
            <v>347 8490539</v>
          </cell>
          <cell r="P1925" t="str">
            <v>info@piemmegiserramenti.com</v>
          </cell>
          <cell r="R1925" t="str">
            <v>BONIFICO BANCARIO, ALLA DATA DELLA NOSTRA CONFERMA D'ORDINE</v>
          </cell>
          <cell r="X1925">
            <v>0.25</v>
          </cell>
          <cell r="Y1925">
            <v>-0.04</v>
          </cell>
          <cell r="AB1925">
            <v>0.25</v>
          </cell>
          <cell r="AC1925">
            <v>0.25</v>
          </cell>
          <cell r="AD1925">
            <v>0.25</v>
          </cell>
          <cell r="AE1925">
            <v>0.25</v>
          </cell>
          <cell r="AF1925">
            <v>0.25</v>
          </cell>
          <cell r="AG1925">
            <v>0.25</v>
          </cell>
          <cell r="AH1925">
            <v>0.25</v>
          </cell>
          <cell r="AI1925">
            <v>0.25</v>
          </cell>
          <cell r="AJ1925">
            <v>0.25</v>
          </cell>
          <cell r="AK1925">
            <v>0.25</v>
          </cell>
          <cell r="AL1925">
            <v>0.25</v>
          </cell>
          <cell r="AM1925">
            <v>0.25</v>
          </cell>
          <cell r="AN1925">
            <v>0.25</v>
          </cell>
          <cell r="AO1925">
            <v>0.25</v>
          </cell>
          <cell r="AP1925">
            <v>0.25</v>
          </cell>
          <cell r="AQ1925">
            <v>0.25</v>
          </cell>
          <cell r="AR1925">
            <v>0.25</v>
          </cell>
          <cell r="AS1925">
            <v>0.25</v>
          </cell>
          <cell r="AT1925">
            <v>-0.04</v>
          </cell>
          <cell r="AU1925">
            <v>0.92</v>
          </cell>
          <cell r="AV1925">
            <v>20</v>
          </cell>
          <cell r="AY1925" t="str">
            <v/>
          </cell>
          <cell r="AZ1925">
            <v>0.25</v>
          </cell>
          <cell r="BA1925">
            <v>0.25</v>
          </cell>
        </row>
        <row r="1926">
          <cell r="A1926" t="str">
            <v>PIERO GONINI</v>
          </cell>
          <cell r="D1926" t="str">
            <v>VIA CAPRERA, 37-39R</v>
          </cell>
          <cell r="E1926">
            <v>16146</v>
          </cell>
          <cell r="F1926" t="str">
            <v>GENOVA</v>
          </cell>
          <cell r="G1926" t="str">
            <v>GE</v>
          </cell>
          <cell r="H1926" t="str">
            <v>ITALIA</v>
          </cell>
          <cell r="I1926">
            <v>2091030995</v>
          </cell>
          <cell r="J1926">
            <v>2091030995</v>
          </cell>
          <cell r="K1926" t="str">
            <v>M5UXCR1</v>
          </cell>
          <cell r="M1926" t="str">
            <v>UFFICIO ACQUISTI</v>
          </cell>
          <cell r="N1926" t="str">
            <v>010 3776408</v>
          </cell>
          <cell r="O1926" t="str">
            <v>335 6948444</v>
          </cell>
          <cell r="P1926" t="str">
            <v>od@opendooritalia.it</v>
          </cell>
          <cell r="R1926" t="str">
            <v>BONIFICO BANCARIO, ALLA DATA DELLA NOSTRA CONFERMA D'ORDINE</v>
          </cell>
          <cell r="X1926">
            <v>0.25</v>
          </cell>
          <cell r="Y1926">
            <v>-0.04</v>
          </cell>
          <cell r="AB1926">
            <v>0.25</v>
          </cell>
          <cell r="AC1926">
            <v>0.25</v>
          </cell>
          <cell r="AD1926">
            <v>0.25</v>
          </cell>
          <cell r="AE1926">
            <v>0.25</v>
          </cell>
          <cell r="AF1926">
            <v>0.25</v>
          </cell>
          <cell r="AG1926">
            <v>0.25</v>
          </cell>
          <cell r="AH1926">
            <v>0.25</v>
          </cell>
          <cell r="AI1926">
            <v>0.25</v>
          </cell>
          <cell r="AJ1926">
            <v>0.25</v>
          </cell>
          <cell r="AK1926">
            <v>0.25</v>
          </cell>
          <cell r="AL1926">
            <v>0.25</v>
          </cell>
          <cell r="AM1926">
            <v>0.25</v>
          </cell>
          <cell r="AN1926">
            <v>0.25</v>
          </cell>
          <cell r="AO1926">
            <v>0.25</v>
          </cell>
          <cell r="AP1926">
            <v>0.25</v>
          </cell>
          <cell r="AQ1926">
            <v>0.25</v>
          </cell>
          <cell r="AR1926">
            <v>0.25</v>
          </cell>
          <cell r="AS1926">
            <v>0.25</v>
          </cell>
          <cell r="AT1926">
            <v>-0.04</v>
          </cell>
          <cell r="AU1926">
            <v>0.92</v>
          </cell>
          <cell r="AV1926">
            <v>20</v>
          </cell>
          <cell r="AY1926" t="str">
            <v/>
          </cell>
          <cell r="AZ1926">
            <v>0.25</v>
          </cell>
          <cell r="BA1926">
            <v>0.25</v>
          </cell>
        </row>
        <row r="1927">
          <cell r="A1927" t="str">
            <v>PIERO LIVIETTI S.N.C. DI EMILIO E PAOLO LIVIETTI</v>
          </cell>
          <cell r="D1927" t="str">
            <v>VIA XXV APRILE, 4</v>
          </cell>
          <cell r="E1927">
            <v>21022</v>
          </cell>
          <cell r="F1927" t="str">
            <v>AZZATE</v>
          </cell>
          <cell r="G1927" t="str">
            <v>VA</v>
          </cell>
          <cell r="H1927" t="str">
            <v>ITALIA</v>
          </cell>
          <cell r="J1927" t="str">
            <v>01560860122</v>
          </cell>
          <cell r="M1927" t="str">
            <v>UFFICIO ACQUISTI</v>
          </cell>
          <cell r="N1927" t="str">
            <v>0332 459334</v>
          </cell>
          <cell r="O1927" t="str">
            <v>336 853997</v>
          </cell>
          <cell r="P1927" t="str">
            <v>pieroliviettisnc@libero.it</v>
          </cell>
          <cell r="R1927" t="str">
            <v>BONIFICO BANCARIO, ALLA DATA DELLA NOSTRA CONFERMA D'ORDINE</v>
          </cell>
          <cell r="X1927">
            <v>0.25</v>
          </cell>
          <cell r="Y1927">
            <v>-0.04</v>
          </cell>
          <cell r="AB1927">
            <v>0.25</v>
          </cell>
          <cell r="AC1927">
            <v>0.25</v>
          </cell>
          <cell r="AD1927">
            <v>0.25</v>
          </cell>
          <cell r="AE1927">
            <v>0.25</v>
          </cell>
          <cell r="AF1927">
            <v>0.25</v>
          </cell>
          <cell r="AG1927">
            <v>0.25</v>
          </cell>
          <cell r="AH1927">
            <v>0.25</v>
          </cell>
          <cell r="AI1927">
            <v>0.25</v>
          </cell>
          <cell r="AJ1927">
            <v>0.25</v>
          </cell>
          <cell r="AK1927">
            <v>0.25</v>
          </cell>
          <cell r="AL1927">
            <v>0.25</v>
          </cell>
          <cell r="AM1927">
            <v>0.25</v>
          </cell>
          <cell r="AN1927">
            <v>0.25</v>
          </cell>
          <cell r="AO1927">
            <v>0.25</v>
          </cell>
          <cell r="AP1927">
            <v>0.25</v>
          </cell>
          <cell r="AQ1927">
            <v>0.25</v>
          </cell>
          <cell r="AR1927">
            <v>0.25</v>
          </cell>
          <cell r="AS1927">
            <v>0.25</v>
          </cell>
          <cell r="AT1927">
            <v>-0.04</v>
          </cell>
          <cell r="AU1927">
            <v>0.92</v>
          </cell>
          <cell r="AV1927">
            <v>20</v>
          </cell>
          <cell r="AY1927" t="str">
            <v/>
          </cell>
          <cell r="AZ1927">
            <v>0.25</v>
          </cell>
          <cell r="BA1927">
            <v>0.25</v>
          </cell>
        </row>
        <row r="1928">
          <cell r="A1928" t="str">
            <v>PIETROPOLI SERRANDE S.N.C. DI PIETROPOLI PAOLO E TOMELLERI GIANCARLO E.</v>
          </cell>
          <cell r="D1928" t="str">
            <v>VIA BETLEMME, 21</v>
          </cell>
          <cell r="E1928">
            <v>37060</v>
          </cell>
          <cell r="F1928" t="str">
            <v>SONA</v>
          </cell>
          <cell r="G1928" t="str">
            <v>VR</v>
          </cell>
          <cell r="H1928" t="str">
            <v>ITALIA</v>
          </cell>
          <cell r="J1928" t="str">
            <v>02416330237</v>
          </cell>
          <cell r="K1928" t="str">
            <v>T04ZHR3</v>
          </cell>
          <cell r="M1928" t="str">
            <v>UFFICIO ACQUISTI</v>
          </cell>
          <cell r="N1928" t="str">
            <v>045 514787</v>
          </cell>
          <cell r="P1928" t="str">
            <v>info@pietropoliserrande.it</v>
          </cell>
          <cell r="R1928" t="str">
            <v>BONIFICO BANCARIO, ALLA DATA DELLA NOSTRA CONFERMA D'ORDINE</v>
          </cell>
          <cell r="X1928">
            <v>0.25</v>
          </cell>
          <cell r="Y1928">
            <v>-0.04</v>
          </cell>
          <cell r="AB1928">
            <v>0.25</v>
          </cell>
          <cell r="AC1928">
            <v>0.25</v>
          </cell>
          <cell r="AD1928">
            <v>0.25</v>
          </cell>
          <cell r="AE1928">
            <v>0.25</v>
          </cell>
          <cell r="AF1928">
            <v>0.25</v>
          </cell>
          <cell r="AG1928">
            <v>0.25</v>
          </cell>
          <cell r="AH1928">
            <v>0.25</v>
          </cell>
          <cell r="AI1928">
            <v>0.25</v>
          </cell>
          <cell r="AJ1928">
            <v>0.25</v>
          </cell>
          <cell r="AK1928">
            <v>0.25</v>
          </cell>
          <cell r="AL1928">
            <v>0.25</v>
          </cell>
          <cell r="AM1928">
            <v>0.25</v>
          </cell>
          <cell r="AN1928">
            <v>0.25</v>
          </cell>
          <cell r="AO1928">
            <v>0.25</v>
          </cell>
          <cell r="AP1928">
            <v>0.25</v>
          </cell>
          <cell r="AQ1928">
            <v>0.25</v>
          </cell>
          <cell r="AR1928">
            <v>0.25</v>
          </cell>
          <cell r="AS1928">
            <v>0.25</v>
          </cell>
          <cell r="AT1928">
            <v>-0.04</v>
          </cell>
          <cell r="AU1928">
            <v>0.92</v>
          </cell>
          <cell r="AV1928">
            <v>20</v>
          </cell>
          <cell r="AY1928" t="str">
            <v/>
          </cell>
          <cell r="AZ1928">
            <v>0.25</v>
          </cell>
          <cell r="BA1928">
            <v>0.25</v>
          </cell>
          <cell r="BF1928" t="str">
            <v>CLICK RAPID con carpenteria 24/09/2020</v>
          </cell>
        </row>
        <row r="1929">
          <cell r="A1929" t="str">
            <v>PILI INFISSI E CARPENTERIA SRL</v>
          </cell>
          <cell r="B1929" t="str">
            <v>SOLO BIGLIETTO DA VISITA</v>
          </cell>
          <cell r="D1929" t="str">
            <v>VIA NUOVA, 53</v>
          </cell>
          <cell r="E1929" t="str">
            <v>09026</v>
          </cell>
          <cell r="F1929" t="str">
            <v>SAN SPERATE</v>
          </cell>
          <cell r="G1929" t="str">
            <v>CA</v>
          </cell>
          <cell r="H1929" t="str">
            <v>ITALIA</v>
          </cell>
          <cell r="J1929" t="str">
            <v>03254720927</v>
          </cell>
          <cell r="M1929" t="str">
            <v>UFFICIO ACQUISTI</v>
          </cell>
          <cell r="N1929" t="str">
            <v>070 9601972</v>
          </cell>
          <cell r="R1929" t="str">
            <v>BONIFICO BANCARIO, ALLA DATA DELLA NOSTRA CONFERMA D'ORDINE</v>
          </cell>
          <cell r="X1929">
            <v>0.25</v>
          </cell>
          <cell r="Y1929">
            <v>-0.04</v>
          </cell>
          <cell r="AB1929">
            <v>0.25</v>
          </cell>
          <cell r="AC1929">
            <v>0.25</v>
          </cell>
          <cell r="AD1929">
            <v>0.25</v>
          </cell>
          <cell r="AE1929">
            <v>0.25</v>
          </cell>
          <cell r="AF1929">
            <v>0.25</v>
          </cell>
          <cell r="AG1929">
            <v>0.25</v>
          </cell>
          <cell r="AH1929">
            <v>0.25</v>
          </cell>
          <cell r="AI1929">
            <v>0.25</v>
          </cell>
          <cell r="AJ1929">
            <v>0.25</v>
          </cell>
          <cell r="AK1929">
            <v>0.25</v>
          </cell>
          <cell r="AL1929">
            <v>0.25</v>
          </cell>
          <cell r="AM1929">
            <v>0.25</v>
          </cell>
          <cell r="AN1929">
            <v>0.25</v>
          </cell>
          <cell r="AO1929">
            <v>0.25</v>
          </cell>
          <cell r="AP1929">
            <v>0.25</v>
          </cell>
          <cell r="AQ1929">
            <v>0.25</v>
          </cell>
          <cell r="AR1929">
            <v>0.25</v>
          </cell>
          <cell r="AS1929">
            <v>0.25</v>
          </cell>
          <cell r="AT1929">
            <v>-0.04</v>
          </cell>
          <cell r="AU1929">
            <v>0.92</v>
          </cell>
          <cell r="AV1929">
            <v>20</v>
          </cell>
          <cell r="AZ1929">
            <v>0.25</v>
          </cell>
          <cell r="BA1929">
            <v>0.25</v>
          </cell>
        </row>
        <row r="1930">
          <cell r="A1930" t="str">
            <v>PILLONI GIAN FRANCO</v>
          </cell>
          <cell r="B1930" t="str">
            <v>SOLO BIGLIETTO DA VISITA</v>
          </cell>
          <cell r="D1930" t="str">
            <v>EX S.S.125 KM.62,7</v>
          </cell>
          <cell r="E1930" t="str">
            <v>09043</v>
          </cell>
          <cell r="F1930" t="str">
            <v>MURAVERA</v>
          </cell>
          <cell r="G1930" t="str">
            <v>SU</v>
          </cell>
          <cell r="H1930" t="str">
            <v>ITALIA</v>
          </cell>
          <cell r="J1930" t="str">
            <v>01537300921</v>
          </cell>
          <cell r="M1930" t="str">
            <v>UFFICIO ACQUISTI</v>
          </cell>
          <cell r="N1930" t="str">
            <v>070 9931303</v>
          </cell>
          <cell r="O1930" t="str">
            <v>329 4398465</v>
          </cell>
          <cell r="P1930" t="str">
            <v>gianfranco.pilloni60@alice.it</v>
          </cell>
          <cell r="R1930" t="str">
            <v>BONIFICO BANCARIO, ALLA DATA DELLA NOSTRA CONFERMA D'ORDINE</v>
          </cell>
          <cell r="X1930">
            <v>0.25</v>
          </cell>
          <cell r="Y1930">
            <v>-0.04</v>
          </cell>
          <cell r="AB1930">
            <v>0.25</v>
          </cell>
          <cell r="AC1930">
            <v>0.25</v>
          </cell>
          <cell r="AD1930">
            <v>0.25</v>
          </cell>
          <cell r="AE1930">
            <v>0.25</v>
          </cell>
          <cell r="AF1930">
            <v>0.25</v>
          </cell>
          <cell r="AG1930">
            <v>0.25</v>
          </cell>
          <cell r="AH1930">
            <v>0.25</v>
          </cell>
          <cell r="AI1930">
            <v>0.25</v>
          </cell>
          <cell r="AJ1930">
            <v>0.25</v>
          </cell>
          <cell r="AK1930">
            <v>0.25</v>
          </cell>
          <cell r="AL1930">
            <v>0.25</v>
          </cell>
          <cell r="AM1930">
            <v>0.25</v>
          </cell>
          <cell r="AN1930">
            <v>0.25</v>
          </cell>
          <cell r="AO1930">
            <v>0.25</v>
          </cell>
          <cell r="AP1930">
            <v>0.25</v>
          </cell>
          <cell r="AQ1930">
            <v>0.25</v>
          </cell>
          <cell r="AR1930">
            <v>0.25</v>
          </cell>
          <cell r="AS1930">
            <v>0.25</v>
          </cell>
          <cell r="AT1930">
            <v>-0.04</v>
          </cell>
          <cell r="AU1930">
            <v>0.92</v>
          </cell>
          <cell r="AV1930">
            <v>20</v>
          </cell>
          <cell r="AZ1930">
            <v>0.25</v>
          </cell>
          <cell r="BA1930">
            <v>0.25</v>
          </cell>
        </row>
        <row r="1931">
          <cell r="A1931" t="str">
            <v>PINNA FABBRICA</v>
          </cell>
          <cell r="B1931" t="str">
            <v>ALESSANDRO PINNA  IL CELLULARE DELL'AZIENDA - ATTENZIONE!!!!! HA FATTO LA SPIA DEL MIO PASSAGGIO AD ACQUASTOP, GLI SERVE LA SERRANDA ANTIALLAGAMENTO PER SERVIRE I GRANDI GRUPPI PERCHE' LE COMMESSE NON SONO PRATICHE DELLE BARRIERE ( GIUSTO). FINCHE' NON ABBIAMO LA SARACINESTA NON HA SENSO MANDARE MAIL O ANDARLO A TROVARE - MAIL info@pinnasas.it</v>
          </cell>
          <cell r="D1931" t="str">
            <v>VIA GEIRATO, 87 CANC.</v>
          </cell>
          <cell r="E1931">
            <v>16138</v>
          </cell>
          <cell r="F1931" t="str">
            <v>GENOVA</v>
          </cell>
          <cell r="G1931" t="str">
            <v>GE</v>
          </cell>
          <cell r="H1931" t="str">
            <v>ITALIA</v>
          </cell>
          <cell r="J1931" t="str">
            <v>03813730102</v>
          </cell>
          <cell r="M1931" t="str">
            <v>UFFICIO ACQUISTI</v>
          </cell>
          <cell r="N1931" t="str">
            <v>010 836497</v>
          </cell>
          <cell r="O1931" t="str">
            <v>366 7202138</v>
          </cell>
          <cell r="R1931" t="str">
            <v>BONIFICO BANCARIO, ALLA DATA DELLA NOSTRA CONFERMA D'ORDINE</v>
          </cell>
          <cell r="X1931">
            <v>0.25</v>
          </cell>
          <cell r="Y1931">
            <v>-0.04</v>
          </cell>
          <cell r="AB1931">
            <v>0.25</v>
          </cell>
          <cell r="AC1931">
            <v>0.25</v>
          </cell>
          <cell r="AD1931">
            <v>0.25</v>
          </cell>
          <cell r="AE1931">
            <v>0.25</v>
          </cell>
          <cell r="AF1931">
            <v>0.25</v>
          </cell>
          <cell r="AG1931">
            <v>0.25</v>
          </cell>
          <cell r="AH1931">
            <v>0.25</v>
          </cell>
          <cell r="AI1931">
            <v>0.25</v>
          </cell>
          <cell r="AJ1931">
            <v>0.25</v>
          </cell>
          <cell r="AK1931">
            <v>0.25</v>
          </cell>
          <cell r="AL1931">
            <v>0.25</v>
          </cell>
          <cell r="AM1931">
            <v>0.25</v>
          </cell>
          <cell r="AN1931">
            <v>0.25</v>
          </cell>
          <cell r="AO1931">
            <v>0.25</v>
          </cell>
          <cell r="AP1931">
            <v>0.25</v>
          </cell>
          <cell r="AQ1931">
            <v>0.25</v>
          </cell>
          <cell r="AR1931">
            <v>0.25</v>
          </cell>
          <cell r="AS1931">
            <v>0.25</v>
          </cell>
          <cell r="AT1931">
            <v>-0.04</v>
          </cell>
          <cell r="AU1931">
            <v>0.92</v>
          </cell>
          <cell r="AV1931">
            <v>20</v>
          </cell>
          <cell r="AY1931" t="str">
            <v/>
          </cell>
          <cell r="AZ1931">
            <v>0.25</v>
          </cell>
          <cell r="BA1931">
            <v>0.25</v>
          </cell>
        </row>
        <row r="1932">
          <cell r="A1932" t="str">
            <v>PIRAS MARCO DI PIRAS M.CRISTINA SAS</v>
          </cell>
          <cell r="B1932" t="str">
            <v>SOLO BIGLIETTO DA VISITA   CRISTINA, LA NIPOTE</v>
          </cell>
          <cell r="D1932" t="str">
            <v>VIA BELLINI, 4</v>
          </cell>
          <cell r="E1932" t="str">
            <v>09012</v>
          </cell>
          <cell r="F1932" t="str">
            <v>CAPOTERRA</v>
          </cell>
          <cell r="G1932" t="str">
            <v>CA</v>
          </cell>
          <cell r="H1932" t="str">
            <v>ITALIA</v>
          </cell>
          <cell r="M1932" t="str">
            <v>UFFICIO ACQUISTI</v>
          </cell>
          <cell r="N1932" t="str">
            <v>070 720111</v>
          </cell>
          <cell r="P1932" t="str">
            <v>info@infissimarcopiras.it</v>
          </cell>
          <cell r="R1932" t="str">
            <v>BONIFICO BANCARIO, ALLA DATA DELLA NOSTRA CONFERMA D'ORDINE</v>
          </cell>
          <cell r="X1932">
            <v>0.25</v>
          </cell>
          <cell r="Y1932">
            <v>-0.04</v>
          </cell>
          <cell r="AB1932">
            <v>0.25</v>
          </cell>
          <cell r="AC1932">
            <v>0.25</v>
          </cell>
          <cell r="AD1932">
            <v>0.25</v>
          </cell>
          <cell r="AE1932">
            <v>0.25</v>
          </cell>
          <cell r="AF1932">
            <v>0.25</v>
          </cell>
          <cell r="AG1932">
            <v>0.25</v>
          </cell>
          <cell r="AH1932">
            <v>0.25</v>
          </cell>
          <cell r="AI1932">
            <v>0.25</v>
          </cell>
          <cell r="AJ1932">
            <v>0.25</v>
          </cell>
          <cell r="AK1932">
            <v>0.25</v>
          </cell>
          <cell r="AL1932">
            <v>0.25</v>
          </cell>
          <cell r="AM1932">
            <v>0.25</v>
          </cell>
          <cell r="AN1932">
            <v>0.25</v>
          </cell>
          <cell r="AO1932">
            <v>0.25</v>
          </cell>
          <cell r="AP1932">
            <v>0.25</v>
          </cell>
          <cell r="AQ1932">
            <v>0.25</v>
          </cell>
          <cell r="AR1932">
            <v>0.25</v>
          </cell>
          <cell r="AS1932">
            <v>0.25</v>
          </cell>
          <cell r="AT1932">
            <v>-0.04</v>
          </cell>
          <cell r="AU1932">
            <v>0.92</v>
          </cell>
          <cell r="AV1932">
            <v>20</v>
          </cell>
          <cell r="AZ1932">
            <v>0.25</v>
          </cell>
          <cell r="BA1932">
            <v>0.25</v>
          </cell>
        </row>
        <row r="1933">
          <cell r="A1933" t="str">
            <v xml:space="preserve">PITTAU PAOLO </v>
          </cell>
          <cell r="D1933" t="str">
            <v>VIA S.MICHELE 9 A</v>
          </cell>
          <cell r="E1933" t="str">
            <v>33084</v>
          </cell>
          <cell r="F1933" t="str">
            <v>CORDENONS</v>
          </cell>
          <cell r="G1933" t="str">
            <v>PN</v>
          </cell>
          <cell r="H1933" t="str">
            <v>ITALIA</v>
          </cell>
          <cell r="J1933" t="str">
            <v>01436620932</v>
          </cell>
          <cell r="M1933" t="str">
            <v>UFFICIO ACQUISTI</v>
          </cell>
          <cell r="N1933" t="str">
            <v>0434 580636</v>
          </cell>
          <cell r="O1933" t="str">
            <v xml:space="preserve"> 347 8458371</v>
          </cell>
          <cell r="P1933" t="str">
            <v xml:space="preserve"> serramentipittau@gmail.com</v>
          </cell>
          <cell r="R1933" t="str">
            <v>BONIFICO BANCARIO, ALLA DATA DELLA NOSTRA CONFERMA D'ORDINE</v>
          </cell>
          <cell r="X1933">
            <v>0.25</v>
          </cell>
          <cell r="Y1933">
            <v>-0.04</v>
          </cell>
          <cell r="AB1933">
            <v>0.25</v>
          </cell>
          <cell r="AC1933">
            <v>0.25</v>
          </cell>
          <cell r="AD1933">
            <v>0.25</v>
          </cell>
          <cell r="AE1933">
            <v>0.25</v>
          </cell>
          <cell r="AF1933">
            <v>0.25</v>
          </cell>
          <cell r="AG1933">
            <v>0.25</v>
          </cell>
          <cell r="AH1933">
            <v>0.25</v>
          </cell>
          <cell r="AI1933">
            <v>0.25</v>
          </cell>
          <cell r="AJ1933">
            <v>0.25</v>
          </cell>
          <cell r="AK1933">
            <v>0.25</v>
          </cell>
          <cell r="AL1933">
            <v>0.25</v>
          </cell>
          <cell r="AM1933">
            <v>0.25</v>
          </cell>
          <cell r="AN1933">
            <v>0.25</v>
          </cell>
          <cell r="AO1933">
            <v>0.25</v>
          </cell>
          <cell r="AP1933">
            <v>0.25</v>
          </cell>
          <cell r="AQ1933">
            <v>0.25</v>
          </cell>
          <cell r="AR1933">
            <v>0.25</v>
          </cell>
          <cell r="AS1933">
            <v>0.25</v>
          </cell>
          <cell r="AT1933">
            <v>-0.04</v>
          </cell>
          <cell r="AU1933">
            <v>0.92</v>
          </cell>
          <cell r="AV1933">
            <v>20</v>
          </cell>
          <cell r="AY1933" t="str">
            <v/>
          </cell>
          <cell r="AZ1933">
            <v>0.25</v>
          </cell>
          <cell r="BA1933">
            <v>0.25</v>
          </cell>
        </row>
        <row r="1934">
          <cell r="A1934" t="str">
            <v>PIVANTI GEOM. ALESSANDRO E C. SAS</v>
          </cell>
          <cell r="D1934" t="str">
            <v>VIA ZAPPATERRA 43</v>
          </cell>
          <cell r="F1934" t="str">
            <v>AMBROGIO</v>
          </cell>
          <cell r="G1934" t="str">
            <v>FE</v>
          </cell>
          <cell r="H1934" t="str">
            <v>ITALIA</v>
          </cell>
          <cell r="J1934" t="str">
            <v>01053000384</v>
          </cell>
          <cell r="M1934" t="str">
            <v>UFFICIO ACQUISTI</v>
          </cell>
          <cell r="N1934" t="str">
            <v>0532 865151</v>
          </cell>
          <cell r="R1934" t="str">
            <v>BONIFICO BANCARIO, ALLA DATA DELLA NOSTRA CONFERMA D'ORDINE</v>
          </cell>
          <cell r="X1934">
            <v>0.25</v>
          </cell>
          <cell r="Y1934">
            <v>-0.04</v>
          </cell>
          <cell r="AB1934">
            <v>0.25</v>
          </cell>
          <cell r="AC1934">
            <v>0.25</v>
          </cell>
          <cell r="AD1934">
            <v>0.25</v>
          </cell>
          <cell r="AE1934">
            <v>0.25</v>
          </cell>
          <cell r="AF1934">
            <v>0.25</v>
          </cell>
          <cell r="AG1934">
            <v>0.25</v>
          </cell>
          <cell r="AH1934">
            <v>0.25</v>
          </cell>
          <cell r="AI1934">
            <v>0.25</v>
          </cell>
          <cell r="AJ1934">
            <v>0.25</v>
          </cell>
          <cell r="AK1934">
            <v>0.25</v>
          </cell>
          <cell r="AL1934">
            <v>0.25</v>
          </cell>
          <cell r="AM1934">
            <v>0.25</v>
          </cell>
          <cell r="AN1934">
            <v>0.25</v>
          </cell>
          <cell r="AO1934">
            <v>0.25</v>
          </cell>
          <cell r="AP1934">
            <v>0.25</v>
          </cell>
          <cell r="AQ1934">
            <v>0.25</v>
          </cell>
          <cell r="AR1934">
            <v>0.25</v>
          </cell>
          <cell r="AS1934">
            <v>0.25</v>
          </cell>
          <cell r="AT1934">
            <v>-0.04</v>
          </cell>
          <cell r="AU1934">
            <v>0.92</v>
          </cell>
          <cell r="AV1934">
            <v>20</v>
          </cell>
          <cell r="AY1934" t="str">
            <v/>
          </cell>
          <cell r="AZ1934">
            <v>0.25</v>
          </cell>
          <cell r="BA1934">
            <v>0.25</v>
          </cell>
        </row>
        <row r="1935">
          <cell r="A1935" t="str">
            <v>PLAST 2000 DI RIZZI ERMANNO E C. SNC</v>
          </cell>
          <cell r="D1935" t="str">
            <v>VIA DEI CALZOLAI, 144</v>
          </cell>
          <cell r="E1935" t="str">
            <v>44123</v>
          </cell>
          <cell r="F1935" t="str">
            <v>FRANCOLINO</v>
          </cell>
          <cell r="G1935" t="str">
            <v>FE</v>
          </cell>
          <cell r="H1935" t="str">
            <v>ITALIA</v>
          </cell>
          <cell r="J1935" t="str">
            <v>01020570386</v>
          </cell>
          <cell r="K1935" t="str">
            <v>YRXHCLN</v>
          </cell>
          <cell r="M1935" t="str">
            <v>UFFICIO ACQUISTI</v>
          </cell>
          <cell r="N1935" t="str">
            <v>0532 707128</v>
          </cell>
          <cell r="O1935" t="str">
            <v>348 2924294 SIG. ERMANNO</v>
          </cell>
          <cell r="P1935" t="str">
            <v>plastduemila@gmail.com</v>
          </cell>
          <cell r="R1935" t="str">
            <v>BONIFICO BANCARIO, ALLA DATA DELLA NOSTRA CONFERMA D'ORDINE</v>
          </cell>
          <cell r="X1935">
            <v>0.25</v>
          </cell>
          <cell r="Y1935">
            <v>-0.04</v>
          </cell>
          <cell r="AB1935">
            <v>0.25</v>
          </cell>
          <cell r="AC1935">
            <v>0.25</v>
          </cell>
          <cell r="AD1935">
            <v>0.25</v>
          </cell>
          <cell r="AE1935">
            <v>0.25</v>
          </cell>
          <cell r="AF1935">
            <v>0.25</v>
          </cell>
          <cell r="AG1935">
            <v>0.25</v>
          </cell>
          <cell r="AH1935">
            <v>0.25</v>
          </cell>
          <cell r="AI1935">
            <v>0.25</v>
          </cell>
          <cell r="AJ1935">
            <v>0.25</v>
          </cell>
          <cell r="AK1935">
            <v>0.25</v>
          </cell>
          <cell r="AL1935">
            <v>0.25</v>
          </cell>
          <cell r="AM1935">
            <v>0.25</v>
          </cell>
          <cell r="AN1935">
            <v>0.25</v>
          </cell>
          <cell r="AO1935">
            <v>0.25</v>
          </cell>
          <cell r="AP1935">
            <v>0.25</v>
          </cell>
          <cell r="AQ1935">
            <v>0.25</v>
          </cell>
          <cell r="AR1935">
            <v>0.25</v>
          </cell>
          <cell r="AS1935">
            <v>0.25</v>
          </cell>
          <cell r="AT1935">
            <v>-0.04</v>
          </cell>
          <cell r="AU1935">
            <v>0.88</v>
          </cell>
          <cell r="AV1935">
            <v>20</v>
          </cell>
          <cell r="AZ1935">
            <v>0.25</v>
          </cell>
          <cell r="BA1935">
            <v>0.25</v>
          </cell>
          <cell r="BF1935" t="str">
            <v>CLICK RAPID con espositore 29/09/2022</v>
          </cell>
        </row>
        <row r="1936">
          <cell r="A1936" t="str">
            <v xml:space="preserve">PLASTIC-FER </v>
          </cell>
          <cell r="D1936" t="str">
            <v>VIA M. PAGANO, 66</v>
          </cell>
          <cell r="E1936">
            <v>20090</v>
          </cell>
          <cell r="F1936" t="str">
            <v>TREZZANO S/N</v>
          </cell>
          <cell r="G1936" t="str">
            <v>MI</v>
          </cell>
          <cell r="H1936" t="str">
            <v>ITALIA</v>
          </cell>
          <cell r="J1936" t="str">
            <v>04610240154</v>
          </cell>
          <cell r="M1936" t="str">
            <v>UFFICIO ACQUISTI</v>
          </cell>
          <cell r="N1936" t="str">
            <v>02 4459921</v>
          </cell>
          <cell r="P1936" t="str">
            <v>plastic@plastic-fer.com</v>
          </cell>
          <cell r="R1936" t="str">
            <v>BONIFICO BANCARIO, ALLA DATA DELLA NOSTRA CONFERMA D'ORDINE</v>
          </cell>
          <cell r="X1936">
            <v>0.25</v>
          </cell>
          <cell r="Y1936">
            <v>-0.04</v>
          </cell>
          <cell r="AB1936">
            <v>0.25</v>
          </cell>
          <cell r="AC1936">
            <v>0.25</v>
          </cell>
          <cell r="AD1936">
            <v>0.25</v>
          </cell>
          <cell r="AE1936">
            <v>0.25</v>
          </cell>
          <cell r="AF1936">
            <v>0.25</v>
          </cell>
          <cell r="AG1936">
            <v>0.25</v>
          </cell>
          <cell r="AH1936">
            <v>0.25</v>
          </cell>
          <cell r="AI1936">
            <v>0.25</v>
          </cell>
          <cell r="AJ1936">
            <v>0.25</v>
          </cell>
          <cell r="AK1936">
            <v>0.25</v>
          </cell>
          <cell r="AL1936">
            <v>0.25</v>
          </cell>
          <cell r="AM1936">
            <v>0.25</v>
          </cell>
          <cell r="AN1936">
            <v>0.25</v>
          </cell>
          <cell r="AO1936">
            <v>0.25</v>
          </cell>
          <cell r="AP1936">
            <v>0.25</v>
          </cell>
          <cell r="AQ1936">
            <v>0.25</v>
          </cell>
          <cell r="AR1936">
            <v>0.25</v>
          </cell>
          <cell r="AS1936">
            <v>0.25</v>
          </cell>
          <cell r="AT1936">
            <v>-0.04</v>
          </cell>
          <cell r="AU1936">
            <v>0.92</v>
          </cell>
          <cell r="AV1936">
            <v>20</v>
          </cell>
          <cell r="AY1936" t="str">
            <v/>
          </cell>
          <cell r="AZ1936">
            <v>0.25</v>
          </cell>
          <cell r="BA1936">
            <v>0.25</v>
          </cell>
        </row>
        <row r="1937">
          <cell r="A1937" t="str">
            <v>PLATI BONFIGLIO</v>
          </cell>
          <cell r="D1937" t="str">
            <v>VIA STATALE 11, 272</v>
          </cell>
          <cell r="E1937">
            <v>25010</v>
          </cell>
          <cell r="F1937" t="str">
            <v>PONTE SAN MARCO</v>
          </cell>
          <cell r="G1937" t="str">
            <v>BS</v>
          </cell>
          <cell r="H1937" t="str">
            <v>ITALIA</v>
          </cell>
          <cell r="M1937" t="str">
            <v>UFFICIO ACQUISTI</v>
          </cell>
          <cell r="N1937" t="str">
            <v>030 9637003</v>
          </cell>
          <cell r="O1937" t="str">
            <v>335 6811784</v>
          </cell>
          <cell r="P1937" t="str">
            <v>platiserramenti@libero.it</v>
          </cell>
          <cell r="R1937" t="str">
            <v>BONIFICO BANCARIO, ALLA DATA DELLA NOSTRA CONFERMA D'ORDINE</v>
          </cell>
          <cell r="X1937">
            <v>0.25</v>
          </cell>
          <cell r="Y1937">
            <v>-0.04</v>
          </cell>
          <cell r="AB1937">
            <v>0.25</v>
          </cell>
          <cell r="AC1937">
            <v>0.25</v>
          </cell>
          <cell r="AD1937">
            <v>0.25</v>
          </cell>
          <cell r="AE1937">
            <v>0.25</v>
          </cell>
          <cell r="AF1937">
            <v>0.25</v>
          </cell>
          <cell r="AG1937">
            <v>0.25</v>
          </cell>
          <cell r="AH1937">
            <v>0.25</v>
          </cell>
          <cell r="AI1937">
            <v>0.25</v>
          </cell>
          <cell r="AJ1937">
            <v>0.25</v>
          </cell>
          <cell r="AK1937">
            <v>0.25</v>
          </cell>
          <cell r="AL1937">
            <v>0.25</v>
          </cell>
          <cell r="AM1937">
            <v>0.25</v>
          </cell>
          <cell r="AN1937">
            <v>0.25</v>
          </cell>
          <cell r="AO1937">
            <v>0.25</v>
          </cell>
          <cell r="AP1937">
            <v>0.25</v>
          </cell>
          <cell r="AQ1937">
            <v>0.25</v>
          </cell>
          <cell r="AR1937">
            <v>0.25</v>
          </cell>
          <cell r="AS1937">
            <v>0.25</v>
          </cell>
          <cell r="AT1937">
            <v>-0.04</v>
          </cell>
          <cell r="AU1937">
            <v>0.92</v>
          </cell>
          <cell r="AV1937">
            <v>20</v>
          </cell>
          <cell r="AZ1937">
            <v>0.25</v>
          </cell>
          <cell r="BA1937">
            <v>0.25</v>
          </cell>
        </row>
        <row r="1938">
          <cell r="A1938" t="str">
            <v>PM SERRAMENTI SRLUNIPERSONALE</v>
          </cell>
          <cell r="D1938" t="str">
            <v>VIA FORNACE, 16</v>
          </cell>
          <cell r="E1938" t="str">
            <v>24050</v>
          </cell>
          <cell r="F1938" t="str">
            <v>MORNICO AL SERIO</v>
          </cell>
          <cell r="G1938" t="str">
            <v>BG</v>
          </cell>
          <cell r="H1938" t="str">
            <v>ITALIA</v>
          </cell>
          <cell r="J1938" t="str">
            <v>01658270168</v>
          </cell>
          <cell r="K1938" t="str">
            <v>M5UXCR1</v>
          </cell>
          <cell r="M1938" t="str">
            <v>UFFICIO ACQUISTI</v>
          </cell>
          <cell r="N1938" t="str">
            <v>035 844665</v>
          </cell>
          <cell r="P1938" t="str">
            <v>info@pmserramenti.it</v>
          </cell>
          <cell r="R1938" t="str">
            <v>BONIFICO BANCARIO, ALLA DATA DELLA NOSTRA CONFERMA D'ORDINE</v>
          </cell>
          <cell r="X1938">
            <v>0.2</v>
          </cell>
          <cell r="Y1938">
            <v>-0.04</v>
          </cell>
          <cell r="AB1938">
            <v>0.2</v>
          </cell>
          <cell r="AC1938">
            <v>0.2</v>
          </cell>
          <cell r="AD1938">
            <v>0.2</v>
          </cell>
          <cell r="AE1938">
            <v>0.2</v>
          </cell>
          <cell r="AF1938">
            <v>0.2</v>
          </cell>
          <cell r="AG1938">
            <v>0.2</v>
          </cell>
          <cell r="AH1938">
            <v>0.2</v>
          </cell>
          <cell r="AI1938">
            <v>0.2</v>
          </cell>
          <cell r="AJ1938">
            <v>0.2</v>
          </cell>
          <cell r="AK1938">
            <v>0.2</v>
          </cell>
          <cell r="AL1938">
            <v>0.2</v>
          </cell>
          <cell r="AM1938">
            <v>0.2</v>
          </cell>
          <cell r="AN1938">
            <v>0.2</v>
          </cell>
          <cell r="AO1938">
            <v>0.2</v>
          </cell>
          <cell r="AP1938">
            <v>0.2</v>
          </cell>
          <cell r="AQ1938">
            <v>0.2</v>
          </cell>
          <cell r="AR1938">
            <v>0.2</v>
          </cell>
          <cell r="AS1938">
            <v>0.2</v>
          </cell>
          <cell r="AT1938">
            <v>-0.04</v>
          </cell>
          <cell r="AU1938">
            <v>0.92</v>
          </cell>
          <cell r="AV1938">
            <v>20</v>
          </cell>
          <cell r="AZ1938">
            <v>0.2</v>
          </cell>
          <cell r="BA1938">
            <v>0.2</v>
          </cell>
        </row>
        <row r="1939">
          <cell r="A1939" t="str">
            <v>PN PROGETTO NEON</v>
          </cell>
          <cell r="D1939" t="str">
            <v>VIA CENTONZE, 120</v>
          </cell>
          <cell r="E1939">
            <v>98123</v>
          </cell>
          <cell r="F1939" t="str">
            <v>MESSINA</v>
          </cell>
          <cell r="G1939" t="str">
            <v>ME</v>
          </cell>
          <cell r="H1939" t="str">
            <v>ITALIA</v>
          </cell>
          <cell r="M1939" t="str">
            <v>UFFICIO ACQUISTI</v>
          </cell>
          <cell r="N1939" t="str">
            <v>090 2921826</v>
          </cell>
          <cell r="O1939" t="str">
            <v>333 6646487</v>
          </cell>
          <cell r="P1939" t="str">
            <v>info@progettoneon.com</v>
          </cell>
          <cell r="R1939" t="str">
            <v>BONIFICO BANCARIO, ALLA DATA DELLA NOSTRA CONFERMA D'ORDINE</v>
          </cell>
          <cell r="X1939">
            <v>0.25</v>
          </cell>
          <cell r="Y1939">
            <v>-0.04</v>
          </cell>
          <cell r="AB1939">
            <v>0.25</v>
          </cell>
          <cell r="AC1939">
            <v>0.25</v>
          </cell>
          <cell r="AD1939">
            <v>0.25</v>
          </cell>
          <cell r="AE1939">
            <v>0.25</v>
          </cell>
          <cell r="AF1939">
            <v>0.25</v>
          </cell>
          <cell r="AG1939">
            <v>0.25</v>
          </cell>
          <cell r="AH1939">
            <v>0.25</v>
          </cell>
          <cell r="AI1939">
            <v>0.25</v>
          </cell>
          <cell r="AJ1939">
            <v>0.25</v>
          </cell>
          <cell r="AK1939">
            <v>0.25</v>
          </cell>
          <cell r="AL1939">
            <v>0.25</v>
          </cell>
          <cell r="AM1939">
            <v>0.25</v>
          </cell>
          <cell r="AN1939">
            <v>0.25</v>
          </cell>
          <cell r="AO1939">
            <v>0.25</v>
          </cell>
          <cell r="AP1939">
            <v>0.25</v>
          </cell>
          <cell r="AQ1939">
            <v>0.25</v>
          </cell>
          <cell r="AR1939">
            <v>0.25</v>
          </cell>
          <cell r="AS1939">
            <v>0.25</v>
          </cell>
          <cell r="AT1939">
            <v>-0.04</v>
          </cell>
          <cell r="AU1939">
            <v>0.92</v>
          </cell>
          <cell r="AV1939">
            <v>20</v>
          </cell>
          <cell r="AY1939" t="str">
            <v/>
          </cell>
          <cell r="AZ1939">
            <v>0.25</v>
          </cell>
          <cell r="BA1939">
            <v>0.25</v>
          </cell>
        </row>
        <row r="1940">
          <cell r="A1940" t="str">
            <v xml:space="preserve">POGGI INFISSI </v>
          </cell>
          <cell r="D1940" t="str">
            <v>VIA ANTONIO VIVALDI, 10</v>
          </cell>
          <cell r="E1940" t="str">
            <v>47814</v>
          </cell>
          <cell r="F1940" t="str">
            <v>IGEA MARINA</v>
          </cell>
          <cell r="G1940" t="str">
            <v>RN</v>
          </cell>
          <cell r="H1940" t="str">
            <v>ITALIA</v>
          </cell>
          <cell r="M1940" t="str">
            <v>UFFICIO ACQUISTI</v>
          </cell>
          <cell r="N1940" t="str">
            <v>0541 349295</v>
          </cell>
          <cell r="P1940" t="str">
            <v>info@poggi-infissi.it</v>
          </cell>
          <cell r="R1940" t="str">
            <v>BONIFICO BANCARIO, ALLA DATA DELLA NOSTRA CONFERMA D'ORDINE</v>
          </cell>
          <cell r="X1940">
            <v>0.2</v>
          </cell>
          <cell r="Y1940">
            <v>-0.04</v>
          </cell>
          <cell r="AB1940">
            <v>0.2</v>
          </cell>
          <cell r="AC1940">
            <v>0.2</v>
          </cell>
          <cell r="AD1940">
            <v>0.2</v>
          </cell>
          <cell r="AE1940">
            <v>0.2</v>
          </cell>
          <cell r="AF1940">
            <v>0.2</v>
          </cell>
          <cell r="AG1940">
            <v>0.2</v>
          </cell>
          <cell r="AH1940">
            <v>0.2</v>
          </cell>
          <cell r="AI1940">
            <v>0.2</v>
          </cell>
          <cell r="AJ1940">
            <v>0.2</v>
          </cell>
          <cell r="AK1940">
            <v>0.2</v>
          </cell>
          <cell r="AL1940">
            <v>0.2</v>
          </cell>
          <cell r="AM1940">
            <v>0.2</v>
          </cell>
          <cell r="AN1940">
            <v>0.2</v>
          </cell>
          <cell r="AO1940">
            <v>0.2</v>
          </cell>
          <cell r="AP1940">
            <v>0.2</v>
          </cell>
          <cell r="AQ1940">
            <v>0.2</v>
          </cell>
          <cell r="AR1940">
            <v>0.2</v>
          </cell>
          <cell r="AS1940">
            <v>0.2</v>
          </cell>
          <cell r="AT1940">
            <v>-0.04</v>
          </cell>
          <cell r="AU1940">
            <v>0.92</v>
          </cell>
          <cell r="AV1940">
            <v>20</v>
          </cell>
          <cell r="AZ1940">
            <v>0.2</v>
          </cell>
          <cell r="BA1940">
            <v>0.2</v>
          </cell>
        </row>
        <row r="1941">
          <cell r="A1941" t="str">
            <v>POLI SERRAMENTI</v>
          </cell>
          <cell r="D1941" t="str">
            <v>STRADA DELLA SELVA, 42</v>
          </cell>
          <cell r="E1941" t="str">
            <v>05035</v>
          </cell>
          <cell r="F1941" t="str">
            <v>NARNI</v>
          </cell>
          <cell r="G1941" t="str">
            <v>TR</v>
          </cell>
          <cell r="H1941" t="str">
            <v>ITALIA</v>
          </cell>
          <cell r="J1941" t="str">
            <v>00105250559</v>
          </cell>
          <cell r="M1941" t="str">
            <v>UFFICIO ACQUISTI</v>
          </cell>
          <cell r="N1941" t="str">
            <v>0744 744142</v>
          </cell>
          <cell r="P1941" t="str">
            <v>serramentipoli@gmail.com</v>
          </cell>
          <cell r="R1941" t="str">
            <v>BONIFICO BANCARIO, ALLA DATA DELLA NOSTRA CONFERMA D'ORDINE</v>
          </cell>
          <cell r="Y1941">
            <v>-0.04</v>
          </cell>
          <cell r="AT1941">
            <v>-0.04</v>
          </cell>
          <cell r="AV1941">
            <v>20</v>
          </cell>
          <cell r="AZ1941">
            <v>0</v>
          </cell>
          <cell r="BA1941">
            <v>0</v>
          </cell>
        </row>
        <row r="1942">
          <cell r="A1942" t="str">
            <v>POLIGROUP S.R.L.</v>
          </cell>
          <cell r="B1942" t="str">
            <v>INTERESSATO</v>
          </cell>
          <cell r="D1942" t="str">
            <v>STRADA DELLE TRINCEE, 13 C</v>
          </cell>
          <cell r="E1942">
            <v>37135</v>
          </cell>
          <cell r="F1942" t="str">
            <v>VERONA</v>
          </cell>
          <cell r="G1942" t="str">
            <v>VR</v>
          </cell>
          <cell r="H1942" t="str">
            <v>ITALIA</v>
          </cell>
          <cell r="I1942" t="str">
            <v>01385220197</v>
          </cell>
          <cell r="J1942" t="str">
            <v>01385220197</v>
          </cell>
          <cell r="M1942" t="str">
            <v>UFFICIO ACQUISTI</v>
          </cell>
          <cell r="N1942" t="str">
            <v>045 7302489</v>
          </cell>
          <cell r="O1942" t="str">
            <v>Emilio Stamga 349 6613979</v>
          </cell>
          <cell r="P1942" t="str">
            <v>info@poligroupsrl.com</v>
          </cell>
          <cell r="R1942" t="str">
            <v>BONIFICO BANCARIO, ALLA DATA DELLA NOSTRA CONFERMA D'ORDINE</v>
          </cell>
          <cell r="X1942">
            <v>0.25</v>
          </cell>
          <cell r="Y1942">
            <v>-0.04</v>
          </cell>
          <cell r="AB1942">
            <v>0.25</v>
          </cell>
          <cell r="AC1942">
            <v>0.25</v>
          </cell>
          <cell r="AD1942">
            <v>0.25</v>
          </cell>
          <cell r="AE1942">
            <v>0.25</v>
          </cell>
          <cell r="AF1942">
            <v>0.25</v>
          </cell>
          <cell r="AG1942">
            <v>0.25</v>
          </cell>
          <cell r="AH1942">
            <v>0.25</v>
          </cell>
          <cell r="AI1942">
            <v>0.25</v>
          </cell>
          <cell r="AJ1942">
            <v>0.25</v>
          </cell>
          <cell r="AK1942">
            <v>0.25</v>
          </cell>
          <cell r="AL1942">
            <v>0.25</v>
          </cell>
          <cell r="AM1942">
            <v>0.25</v>
          </cell>
          <cell r="AN1942">
            <v>0.25</v>
          </cell>
          <cell r="AO1942">
            <v>0.25</v>
          </cell>
          <cell r="AP1942">
            <v>0.25</v>
          </cell>
          <cell r="AQ1942">
            <v>0.25</v>
          </cell>
          <cell r="AR1942">
            <v>0.25</v>
          </cell>
          <cell r="AS1942">
            <v>0.25</v>
          </cell>
          <cell r="AT1942">
            <v>-0.04</v>
          </cell>
          <cell r="AU1942">
            <v>0.92</v>
          </cell>
          <cell r="AV1942">
            <v>20</v>
          </cell>
          <cell r="AY1942" t="str">
            <v/>
          </cell>
          <cell r="AZ1942">
            <v>0.25</v>
          </cell>
          <cell r="BA1942">
            <v>0.25</v>
          </cell>
        </row>
        <row r="1943">
          <cell r="A1943" t="str">
            <v>POLTRONIERI FRANCESCO</v>
          </cell>
          <cell r="D1943" t="str">
            <v>VIA A. PROTTI, 515</v>
          </cell>
          <cell r="E1943" t="str">
            <v>45032</v>
          </cell>
          <cell r="F1943" t="str">
            <v>BERGANTINO</v>
          </cell>
          <cell r="G1943" t="str">
            <v>RO</v>
          </cell>
          <cell r="H1943" t="str">
            <v>ITALIA</v>
          </cell>
          <cell r="I1943" t="str">
            <v>PLTFNC59S23A795H</v>
          </cell>
          <cell r="J1943" t="str">
            <v>00604210294</v>
          </cell>
          <cell r="K1943" t="str">
            <v>SUBM70N</v>
          </cell>
          <cell r="M1943" t="str">
            <v>UFFICIO ACQUISTI</v>
          </cell>
          <cell r="N1943" t="str">
            <v>0425 87673</v>
          </cell>
          <cell r="O1943" t="str">
            <v>338 6987822</v>
          </cell>
          <cell r="P1943" t="str">
            <v>luca_pinotti@libero.it</v>
          </cell>
          <cell r="R1943" t="str">
            <v>BONIFICO BANCARIO, ALLA DATA DELLA NOSTRA CONFERMA D'ORDINE</v>
          </cell>
          <cell r="X1943">
            <v>0.25</v>
          </cell>
          <cell r="Y1943">
            <v>-0.04</v>
          </cell>
          <cell r="AB1943">
            <v>0.25</v>
          </cell>
          <cell r="AC1943">
            <v>0.25</v>
          </cell>
          <cell r="AD1943">
            <v>0.25</v>
          </cell>
          <cell r="AE1943">
            <v>0.25</v>
          </cell>
          <cell r="AF1943">
            <v>0.25</v>
          </cell>
          <cell r="AG1943">
            <v>0.25</v>
          </cell>
          <cell r="AH1943">
            <v>0.25</v>
          </cell>
          <cell r="AI1943">
            <v>0.25</v>
          </cell>
          <cell r="AJ1943">
            <v>0.25</v>
          </cell>
          <cell r="AK1943">
            <v>0.25</v>
          </cell>
          <cell r="AL1943">
            <v>0.25</v>
          </cell>
          <cell r="AM1943">
            <v>0.25</v>
          </cell>
          <cell r="AN1943">
            <v>0.25</v>
          </cell>
          <cell r="AO1943">
            <v>0.25</v>
          </cell>
          <cell r="AP1943">
            <v>0.25</v>
          </cell>
          <cell r="AQ1943">
            <v>0.25</v>
          </cell>
          <cell r="AR1943">
            <v>0.25</v>
          </cell>
          <cell r="AS1943">
            <v>0.25</v>
          </cell>
          <cell r="AT1943">
            <v>-0.04</v>
          </cell>
          <cell r="AU1943">
            <v>0.9</v>
          </cell>
          <cell r="AV1943">
            <v>20</v>
          </cell>
          <cell r="AZ1943">
            <v>0.25</v>
          </cell>
          <cell r="BA1943">
            <v>0.25</v>
          </cell>
        </row>
        <row r="1944">
          <cell r="A1944" t="str">
            <v>PONTI S.N.C. CENTRO SERRAMENTI</v>
          </cell>
          <cell r="D1944" t="str">
            <v>VIA IV NOVEMBRE, 18</v>
          </cell>
          <cell r="E1944">
            <v>21051</v>
          </cell>
          <cell r="F1944" t="str">
            <v>ARCISATE</v>
          </cell>
          <cell r="G1944" t="str">
            <v>VA</v>
          </cell>
          <cell r="H1944" t="str">
            <v>ITALIA</v>
          </cell>
          <cell r="M1944" t="str">
            <v>UFFICIO ACQUISTI</v>
          </cell>
          <cell r="N1944" t="str">
            <v>0332 470309</v>
          </cell>
          <cell r="P1944" t="str">
            <v>pontido2@pontisnc.191.it</v>
          </cell>
          <cell r="R1944" t="str">
            <v>BONIFICO BANCARIO, ALLA DATA DELLA NOSTRA CONFERMA D'ORDINE</v>
          </cell>
          <cell r="X1944">
            <v>0.25</v>
          </cell>
          <cell r="Y1944">
            <v>-0.04</v>
          </cell>
          <cell r="AB1944">
            <v>0.25</v>
          </cell>
          <cell r="AC1944">
            <v>0.25</v>
          </cell>
          <cell r="AD1944">
            <v>0.25</v>
          </cell>
          <cell r="AE1944">
            <v>0.25</v>
          </cell>
          <cell r="AF1944">
            <v>0.25</v>
          </cell>
          <cell r="AG1944">
            <v>0.25</v>
          </cell>
          <cell r="AH1944">
            <v>0.25</v>
          </cell>
          <cell r="AI1944">
            <v>0.25</v>
          </cell>
          <cell r="AJ1944">
            <v>0.25</v>
          </cell>
          <cell r="AK1944">
            <v>0.25</v>
          </cell>
          <cell r="AL1944">
            <v>0.25</v>
          </cell>
          <cell r="AM1944">
            <v>0.25</v>
          </cell>
          <cell r="AN1944">
            <v>0.25</v>
          </cell>
          <cell r="AO1944">
            <v>0.25</v>
          </cell>
          <cell r="AP1944">
            <v>0.25</v>
          </cell>
          <cell r="AQ1944">
            <v>0.25</v>
          </cell>
          <cell r="AR1944">
            <v>0.25</v>
          </cell>
          <cell r="AS1944">
            <v>0.25</v>
          </cell>
          <cell r="AT1944">
            <v>-0.04</v>
          </cell>
          <cell r="AU1944">
            <v>0.92</v>
          </cell>
          <cell r="AV1944">
            <v>20</v>
          </cell>
          <cell r="AY1944" t="str">
            <v/>
          </cell>
          <cell r="AZ1944">
            <v>0.25</v>
          </cell>
          <cell r="BA1944">
            <v>0.25</v>
          </cell>
        </row>
        <row r="1945">
          <cell r="A1945" t="str">
            <v xml:space="preserve">PONTINA INFISSI SRL </v>
          </cell>
          <cell r="D1945" t="str">
            <v>VIA PONTINA KM 108,800</v>
          </cell>
          <cell r="E1945" t="str">
            <v>04019</v>
          </cell>
          <cell r="F1945" t="str">
            <v>TERRACINA</v>
          </cell>
          <cell r="G1945" t="str">
            <v>LT</v>
          </cell>
          <cell r="H1945" t="str">
            <v>ITALIA</v>
          </cell>
          <cell r="M1945" t="str">
            <v>UFFICIO ACQUISTI</v>
          </cell>
          <cell r="O1945" t="str">
            <v>338 2888390</v>
          </cell>
          <cell r="P1945" t="str">
            <v>molinaw81@gmail.com</v>
          </cell>
          <cell r="R1945" t="str">
            <v>BONIFICO BANCARIO, ALLA DATA DELLA NOSTRA CONFERMA D'ORDINE</v>
          </cell>
          <cell r="X1945">
            <v>0.25</v>
          </cell>
          <cell r="Y1945">
            <v>-0.04</v>
          </cell>
          <cell r="AB1945">
            <v>0.25</v>
          </cell>
          <cell r="AC1945">
            <v>0.25</v>
          </cell>
          <cell r="AD1945">
            <v>0.25</v>
          </cell>
          <cell r="AE1945">
            <v>0.25</v>
          </cell>
          <cell r="AF1945">
            <v>0.25</v>
          </cell>
          <cell r="AG1945">
            <v>0.25</v>
          </cell>
          <cell r="AH1945">
            <v>0.25</v>
          </cell>
          <cell r="AI1945">
            <v>0.25</v>
          </cell>
          <cell r="AJ1945">
            <v>0.25</v>
          </cell>
          <cell r="AK1945">
            <v>0.25</v>
          </cell>
          <cell r="AL1945">
            <v>0.25</v>
          </cell>
          <cell r="AM1945">
            <v>0.25</v>
          </cell>
          <cell r="AN1945">
            <v>0.25</v>
          </cell>
          <cell r="AO1945">
            <v>0.25</v>
          </cell>
          <cell r="AP1945">
            <v>0.25</v>
          </cell>
          <cell r="AQ1945">
            <v>0.25</v>
          </cell>
          <cell r="AR1945">
            <v>0.25</v>
          </cell>
          <cell r="AS1945">
            <v>0.25</v>
          </cell>
          <cell r="AT1945">
            <v>-0.04</v>
          </cell>
          <cell r="AU1945">
            <v>0.92</v>
          </cell>
          <cell r="AV1945">
            <v>20</v>
          </cell>
          <cell r="AY1945" t="str">
            <v/>
          </cell>
          <cell r="AZ1945">
            <v>0.25</v>
          </cell>
          <cell r="BA1945">
            <v>0.25</v>
          </cell>
        </row>
        <row r="1946">
          <cell r="A1946" t="str">
            <v>POPOLARI S.R.L.</v>
          </cell>
          <cell r="D1946" t="str">
            <v>VIA ARCHIMEDE, 9 D</v>
          </cell>
          <cell r="E1946">
            <v>37036</v>
          </cell>
          <cell r="F1946" t="str">
            <v>SAN MARTINO B.A.</v>
          </cell>
          <cell r="G1946" t="str">
            <v>VR</v>
          </cell>
          <cell r="H1946" t="str">
            <v>ITALIA</v>
          </cell>
          <cell r="I1946" t="str">
            <v>03571450232</v>
          </cell>
          <cell r="J1946" t="str">
            <v>03571450232</v>
          </cell>
          <cell r="M1946" t="str">
            <v>UFFICIO ACQUISTI</v>
          </cell>
          <cell r="N1946" t="str">
            <v>045 8868111</v>
          </cell>
          <cell r="P1946" t="str">
            <v>info@polari.it</v>
          </cell>
          <cell r="R1946" t="str">
            <v>BONIFICO BANCARIO, ALLA DATA DELLA NOSTRA CONFERMA D'ORDINE</v>
          </cell>
          <cell r="X1946">
            <v>0.25</v>
          </cell>
          <cell r="Y1946">
            <v>-0.04</v>
          </cell>
          <cell r="AB1946">
            <v>0.25</v>
          </cell>
          <cell r="AC1946">
            <v>0.25</v>
          </cell>
          <cell r="AD1946">
            <v>0.25</v>
          </cell>
          <cell r="AE1946">
            <v>0.25</v>
          </cell>
          <cell r="AF1946">
            <v>0.25</v>
          </cell>
          <cell r="AG1946">
            <v>0.25</v>
          </cell>
          <cell r="AH1946">
            <v>0.25</v>
          </cell>
          <cell r="AI1946">
            <v>0.25</v>
          </cell>
          <cell r="AJ1946">
            <v>0.25</v>
          </cell>
          <cell r="AK1946">
            <v>0.25</v>
          </cell>
          <cell r="AL1946">
            <v>0.25</v>
          </cell>
          <cell r="AM1946">
            <v>0.25</v>
          </cell>
          <cell r="AN1946">
            <v>0.25</v>
          </cell>
          <cell r="AO1946">
            <v>0.25</v>
          </cell>
          <cell r="AP1946">
            <v>0.25</v>
          </cell>
          <cell r="AQ1946">
            <v>0.25</v>
          </cell>
          <cell r="AR1946">
            <v>0.25</v>
          </cell>
          <cell r="AS1946">
            <v>0.25</v>
          </cell>
          <cell r="AT1946">
            <v>-0.04</v>
          </cell>
          <cell r="AU1946">
            <v>0.92</v>
          </cell>
          <cell r="AV1946">
            <v>20</v>
          </cell>
          <cell r="AY1946" t="str">
            <v/>
          </cell>
          <cell r="AZ1946">
            <v>0.25</v>
          </cell>
          <cell r="BA1946">
            <v>0.25</v>
          </cell>
        </row>
        <row r="1947">
          <cell r="A1947" t="str">
            <v>PORETTI SERRAMENTI SRLS UNIPERSONALE</v>
          </cell>
          <cell r="D1947" t="str">
            <v>LOCALITA' MARTIN, 4</v>
          </cell>
          <cell r="E1947" t="str">
            <v>18020</v>
          </cell>
          <cell r="F1947" t="str">
            <v>DOLCEDO</v>
          </cell>
          <cell r="G1947" t="str">
            <v>IM</v>
          </cell>
          <cell r="H1947" t="str">
            <v>ITALIA</v>
          </cell>
          <cell r="I1947" t="str">
            <v>PRTMRC65C24I138S</v>
          </cell>
          <cell r="J1947" t="str">
            <v>01149680082</v>
          </cell>
          <cell r="K1947" t="str">
            <v>DXEBYTP</v>
          </cell>
          <cell r="M1947" t="str">
            <v>UFFICIO ACQUISTI</v>
          </cell>
          <cell r="N1947" t="str">
            <v>0183 280730</v>
          </cell>
          <cell r="P1947" t="str">
            <v>porettiserramenti@libero.it</v>
          </cell>
          <cell r="R1947" t="str">
            <v>BONIFICO BANCARIO, ALLA DATA DELLA NOSTRA CONFERMA D'ORDINE</v>
          </cell>
          <cell r="X1947">
            <v>0.25</v>
          </cell>
          <cell r="Y1947">
            <v>-0.04</v>
          </cell>
          <cell r="AB1947">
            <v>0.25</v>
          </cell>
          <cell r="AC1947">
            <v>0.25</v>
          </cell>
          <cell r="AD1947">
            <v>0.25</v>
          </cell>
          <cell r="AE1947">
            <v>0.25</v>
          </cell>
          <cell r="AF1947">
            <v>0.25</v>
          </cell>
          <cell r="AG1947">
            <v>0.25</v>
          </cell>
          <cell r="AH1947">
            <v>0.25</v>
          </cell>
          <cell r="AI1947">
            <v>0.25</v>
          </cell>
          <cell r="AJ1947">
            <v>0.25</v>
          </cell>
          <cell r="AK1947">
            <v>0.25</v>
          </cell>
          <cell r="AL1947">
            <v>0.25</v>
          </cell>
          <cell r="AM1947">
            <v>0.25</v>
          </cell>
          <cell r="AN1947">
            <v>0.25</v>
          </cell>
          <cell r="AO1947">
            <v>0.25</v>
          </cell>
          <cell r="AP1947">
            <v>0.25</v>
          </cell>
          <cell r="AQ1947">
            <v>0.25</v>
          </cell>
          <cell r="AR1947">
            <v>0.25</v>
          </cell>
          <cell r="AS1947">
            <v>0.25</v>
          </cell>
          <cell r="AT1947">
            <v>-0.04</v>
          </cell>
          <cell r="AU1947">
            <v>0.92</v>
          </cell>
          <cell r="AV1947">
            <v>20</v>
          </cell>
          <cell r="AZ1947">
            <v>0.25</v>
          </cell>
          <cell r="BA1947">
            <v>0.25</v>
          </cell>
          <cell r="BF1947" t="str">
            <v>CLICK RAPID con carpenteria 21/12/2020</v>
          </cell>
        </row>
        <row r="1948">
          <cell r="A1948" t="str">
            <v xml:space="preserve">PORFIRI CASA </v>
          </cell>
          <cell r="B1948" t="str">
            <v>NON PIU' ACQUASTOP 05/12/22 DICE CHE TEMPO FA AVEVANO DECISO DI TOGLIERE LE BARRIERE DALLA GAMMA PRODOTTI IN QUANTO NON VI ERA RICHIESTA. SOTTOPONE ATITOLAR LA NOSTRA MAIL E IN CASO CI CHIAMA. PARLATO CON ALESSIO 26/04/23 RIZZOLI E' ANDATO E HA PARLATO CON IL FIGLIO MA BISOGNEREBBE PARLARE CON IL PADRE. LASCIATO UN PO DI MATERIALE, NO LISTINO. NON TRATTANO BARRIERE DA 4 ANNI PECHE' CON LORO NON SI TROVAVANO BENE MA DI LAVORO NE AVEVAMO MOLTO. AL FIGLIO PIACEREBBE RICOMINCIARE CON QUESTO PRODOTTO</v>
          </cell>
          <cell r="D1948" t="str">
            <v>VIA CANALE ALBANI, 2</v>
          </cell>
          <cell r="E1948">
            <v>61032</v>
          </cell>
          <cell r="F1948" t="str">
            <v>FANO</v>
          </cell>
          <cell r="G1948" t="str">
            <v>PU</v>
          </cell>
          <cell r="H1948" t="str">
            <v>ITALIA</v>
          </cell>
          <cell r="M1948" t="str">
            <v>UFFICIO ACQUISTI</v>
          </cell>
          <cell r="N1948" t="str">
            <v>0721 863966</v>
          </cell>
          <cell r="O1948" t="str">
            <v>Simone 335  7566290  Alessio 334 9539451</v>
          </cell>
          <cell r="P1948" t="str">
            <v>amministrazione@porfiricasa.it - info@porfiricasa.it</v>
          </cell>
          <cell r="R1948" t="str">
            <v>BONIFICO BANCARIO, ALLA DATA DELLA NOSTRA CONFERMA D'ORDINE</v>
          </cell>
          <cell r="X1948">
            <v>0.25</v>
          </cell>
          <cell r="Y1948">
            <v>-0.04</v>
          </cell>
          <cell r="AB1948">
            <v>0.25</v>
          </cell>
          <cell r="AC1948">
            <v>0.25</v>
          </cell>
          <cell r="AD1948">
            <v>0.25</v>
          </cell>
          <cell r="AE1948">
            <v>0.25</v>
          </cell>
          <cell r="AF1948">
            <v>0.25</v>
          </cell>
          <cell r="AG1948">
            <v>0.25</v>
          </cell>
          <cell r="AH1948">
            <v>0.25</v>
          </cell>
          <cell r="AI1948">
            <v>0.25</v>
          </cell>
          <cell r="AJ1948">
            <v>0.25</v>
          </cell>
          <cell r="AK1948">
            <v>0.25</v>
          </cell>
          <cell r="AL1948">
            <v>0.25</v>
          </cell>
          <cell r="AM1948">
            <v>0.25</v>
          </cell>
          <cell r="AN1948">
            <v>0.25</v>
          </cell>
          <cell r="AO1948">
            <v>0.25</v>
          </cell>
          <cell r="AP1948">
            <v>0.25</v>
          </cell>
          <cell r="AQ1948">
            <v>0.25</v>
          </cell>
          <cell r="AR1948">
            <v>0.25</v>
          </cell>
          <cell r="AS1948">
            <v>0.25</v>
          </cell>
          <cell r="AT1948">
            <v>-0.04</v>
          </cell>
          <cell r="AU1948">
            <v>0.92</v>
          </cell>
          <cell r="AV1948">
            <v>20</v>
          </cell>
          <cell r="AZ1948">
            <v>0.25</v>
          </cell>
          <cell r="BA1948">
            <v>0.25</v>
          </cell>
        </row>
        <row r="1949">
          <cell r="A1949" t="str">
            <v>PORTA A PORTA</v>
          </cell>
          <cell r="D1949" t="str">
            <v>PIAZZALE RESISTENZA, 3 A</v>
          </cell>
          <cell r="E1949">
            <v>50018</v>
          </cell>
          <cell r="F1949" t="str">
            <v>SCANDICCI</v>
          </cell>
          <cell r="G1949" t="str">
            <v>FI</v>
          </cell>
          <cell r="H1949" t="str">
            <v>ITALIA</v>
          </cell>
          <cell r="J1949" t="str">
            <v>06261470485</v>
          </cell>
          <cell r="K1949" t="str">
            <v>BA6ET11</v>
          </cell>
          <cell r="M1949" t="str">
            <v>UFFICIO ACQUISTI</v>
          </cell>
          <cell r="N1949" t="str">
            <v>055 710365</v>
          </cell>
          <cell r="P1949" t="str">
            <v>info@portaaportaserramenti.com</v>
          </cell>
          <cell r="R1949" t="str">
            <v>BONIFICO BANCARIO, ALLA DATA DELLA NOSTRA CONFERMA D'ORDINE</v>
          </cell>
          <cell r="X1949">
            <v>0.25</v>
          </cell>
          <cell r="Y1949">
            <v>-0.04</v>
          </cell>
          <cell r="AB1949">
            <v>0.25</v>
          </cell>
          <cell r="AC1949">
            <v>0.25</v>
          </cell>
          <cell r="AD1949">
            <v>0.25</v>
          </cell>
          <cell r="AE1949">
            <v>0.25</v>
          </cell>
          <cell r="AF1949">
            <v>0.25</v>
          </cell>
          <cell r="AG1949">
            <v>0.25</v>
          </cell>
          <cell r="AH1949">
            <v>0.25</v>
          </cell>
          <cell r="AI1949">
            <v>0.25</v>
          </cell>
          <cell r="AJ1949">
            <v>0.25</v>
          </cell>
          <cell r="AK1949">
            <v>0.25</v>
          </cell>
          <cell r="AL1949">
            <v>0.25</v>
          </cell>
          <cell r="AM1949">
            <v>0.25</v>
          </cell>
          <cell r="AN1949">
            <v>0.25</v>
          </cell>
          <cell r="AO1949">
            <v>0.25</v>
          </cell>
          <cell r="AP1949">
            <v>0.25</v>
          </cell>
          <cell r="AQ1949">
            <v>0.25</v>
          </cell>
          <cell r="AR1949">
            <v>0.25</v>
          </cell>
          <cell r="AS1949">
            <v>0.25</v>
          </cell>
          <cell r="AT1949">
            <v>-0.04</v>
          </cell>
          <cell r="AU1949">
            <v>0.92</v>
          </cell>
          <cell r="AV1949">
            <v>20</v>
          </cell>
          <cell r="AZ1949">
            <v>0.25</v>
          </cell>
          <cell r="BA1949">
            <v>0.25</v>
          </cell>
        </row>
        <row r="1950">
          <cell r="A1950" t="str">
            <v>PORTA A PORTA SERRAMENTI</v>
          </cell>
          <cell r="D1950" t="str">
            <v>VIA SI DAN QUIRICO, 28</v>
          </cell>
          <cell r="E1950">
            <v>50143</v>
          </cell>
          <cell r="F1950" t="str">
            <v>FIRENZE</v>
          </cell>
          <cell r="G1950" t="str">
            <v>FI</v>
          </cell>
          <cell r="H1950" t="str">
            <v>ITALIA</v>
          </cell>
          <cell r="J1950" t="str">
            <v>06261470485</v>
          </cell>
          <cell r="K1950" t="str">
            <v>BA6ET11</v>
          </cell>
          <cell r="M1950" t="str">
            <v>UFFICIO ACQUISTI</v>
          </cell>
          <cell r="N1950" t="str">
            <v>055 7321695</v>
          </cell>
          <cell r="P1950" t="str">
            <v>francesco@portaaportaserramenti.com</v>
          </cell>
          <cell r="R1950" t="str">
            <v>BONIFICO BANCARIO, ALLA DATA DELLA NOSTRA CONFERMA D'ORDINE</v>
          </cell>
          <cell r="X1950">
            <v>0.25</v>
          </cell>
          <cell r="Y1950">
            <v>-0.04</v>
          </cell>
          <cell r="AB1950">
            <v>0.25</v>
          </cell>
          <cell r="AC1950">
            <v>0.25</v>
          </cell>
          <cell r="AD1950">
            <v>0.25</v>
          </cell>
          <cell r="AE1950">
            <v>0.25</v>
          </cell>
          <cell r="AF1950">
            <v>0.25</v>
          </cell>
          <cell r="AG1950">
            <v>0.25</v>
          </cell>
          <cell r="AH1950">
            <v>0.25</v>
          </cell>
          <cell r="AI1950">
            <v>0.25</v>
          </cell>
          <cell r="AJ1950">
            <v>0.25</v>
          </cell>
          <cell r="AK1950">
            <v>0.25</v>
          </cell>
          <cell r="AL1950">
            <v>0.25</v>
          </cell>
          <cell r="AM1950">
            <v>0.25</v>
          </cell>
          <cell r="AN1950">
            <v>0.25</v>
          </cell>
          <cell r="AO1950">
            <v>0.25</v>
          </cell>
          <cell r="AP1950">
            <v>0.25</v>
          </cell>
          <cell r="AQ1950">
            <v>0.25</v>
          </cell>
          <cell r="AR1950">
            <v>0.25</v>
          </cell>
          <cell r="AS1950">
            <v>0.25</v>
          </cell>
          <cell r="AT1950">
            <v>-0.04</v>
          </cell>
          <cell r="AU1950">
            <v>0.92</v>
          </cell>
          <cell r="AV1950">
            <v>20</v>
          </cell>
          <cell r="AY1950" t="str">
            <v/>
          </cell>
          <cell r="AZ1950">
            <v>0.25</v>
          </cell>
          <cell r="BA1950">
            <v>0.25</v>
          </cell>
        </row>
        <row r="1951">
          <cell r="A1951" t="str">
            <v>PORTA EUROPA</v>
          </cell>
          <cell r="D1951" t="str">
            <v>CORSO EUROPA, 222/224</v>
          </cell>
          <cell r="E1951">
            <v>16132</v>
          </cell>
          <cell r="F1951" t="str">
            <v>GENOVA</v>
          </cell>
          <cell r="G1951" t="str">
            <v>GE</v>
          </cell>
          <cell r="H1951" t="str">
            <v>ITALIA</v>
          </cell>
          <cell r="J1951" t="str">
            <v>03735480109</v>
          </cell>
          <cell r="K1951" t="str">
            <v>M5UXCR1</v>
          </cell>
          <cell r="M1951" t="str">
            <v>UFFICIO ACQUISTI</v>
          </cell>
          <cell r="N1951" t="str">
            <v>010 3742109</v>
          </cell>
          <cell r="P1951" t="str">
            <v>ordini@porteuropa.it</v>
          </cell>
          <cell r="R1951" t="str">
            <v>BONIFICO BANCARIO, ALLA DATA DELLA NOSTRA CONFERMA D'ORDINE</v>
          </cell>
          <cell r="X1951">
            <v>0.25</v>
          </cell>
          <cell r="Y1951">
            <v>-0.04</v>
          </cell>
          <cell r="AB1951">
            <v>0.25</v>
          </cell>
          <cell r="AC1951">
            <v>0.25</v>
          </cell>
          <cell r="AD1951">
            <v>0.25</v>
          </cell>
          <cell r="AE1951">
            <v>0.25</v>
          </cell>
          <cell r="AF1951">
            <v>0.25</v>
          </cell>
          <cell r="AG1951">
            <v>0.25</v>
          </cell>
          <cell r="AH1951">
            <v>0.25</v>
          </cell>
          <cell r="AI1951">
            <v>0.25</v>
          </cell>
          <cell r="AJ1951">
            <v>0.25</v>
          </cell>
          <cell r="AK1951">
            <v>0.25</v>
          </cell>
          <cell r="AL1951">
            <v>0.25</v>
          </cell>
          <cell r="AM1951">
            <v>0.25</v>
          </cell>
          <cell r="AN1951">
            <v>0.25</v>
          </cell>
          <cell r="AO1951">
            <v>0.25</v>
          </cell>
          <cell r="AP1951">
            <v>0.25</v>
          </cell>
          <cell r="AQ1951">
            <v>0.25</v>
          </cell>
          <cell r="AR1951">
            <v>0.25</v>
          </cell>
          <cell r="AS1951">
            <v>0.25</v>
          </cell>
          <cell r="AT1951">
            <v>-0.04</v>
          </cell>
          <cell r="AU1951">
            <v>0.92</v>
          </cell>
          <cell r="AV1951">
            <v>20</v>
          </cell>
          <cell r="AY1951" t="str">
            <v/>
          </cell>
          <cell r="AZ1951">
            <v>0.25</v>
          </cell>
          <cell r="BA1951">
            <v>0.25</v>
          </cell>
          <cell r="BF1951" t="str">
            <v>CLICK RAPID con carpenteria 18/11/2020</v>
          </cell>
        </row>
        <row r="1952">
          <cell r="A1952" t="str">
            <v>PORTAPIU'</v>
          </cell>
          <cell r="D1952" t="str">
            <v>VIA DELL' INDUSTRIA 108/A</v>
          </cell>
          <cell r="E1952">
            <v>31052</v>
          </cell>
          <cell r="F1952" t="str">
            <v>MASERADA SUL PIAVE</v>
          </cell>
          <cell r="G1952" t="str">
            <v>TV</v>
          </cell>
          <cell r="H1952" t="str">
            <v>ITALIA</v>
          </cell>
          <cell r="J1952" t="str">
            <v>04357450263</v>
          </cell>
          <cell r="M1952" t="str">
            <v>UFFICIO ACQUISTI</v>
          </cell>
          <cell r="N1952" t="str">
            <v>0422 725995</v>
          </cell>
          <cell r="P1952" t="str">
            <v>info@portapiu.it</v>
          </cell>
          <cell r="R1952" t="str">
            <v>BONIFICO BANCARIO, ALLA DATA DELLA NOSTRA CONFERMA D'ORDINE</v>
          </cell>
          <cell r="X1952">
            <v>0.25</v>
          </cell>
          <cell r="Y1952">
            <v>-0.04</v>
          </cell>
          <cell r="AB1952">
            <v>0.25</v>
          </cell>
          <cell r="AC1952">
            <v>0.25</v>
          </cell>
          <cell r="AD1952">
            <v>0.25</v>
          </cell>
          <cell r="AE1952">
            <v>0.25</v>
          </cell>
          <cell r="AF1952">
            <v>0.25</v>
          </cell>
          <cell r="AG1952">
            <v>0.25</v>
          </cell>
          <cell r="AH1952">
            <v>0.25</v>
          </cell>
          <cell r="AI1952">
            <v>0.25</v>
          </cell>
          <cell r="AJ1952">
            <v>0.25</v>
          </cell>
          <cell r="AK1952">
            <v>0.25</v>
          </cell>
          <cell r="AL1952">
            <v>0.25</v>
          </cell>
          <cell r="AM1952">
            <v>0.25</v>
          </cell>
          <cell r="AN1952">
            <v>0.25</v>
          </cell>
          <cell r="AO1952">
            <v>0.25</v>
          </cell>
          <cell r="AP1952">
            <v>0.25</v>
          </cell>
          <cell r="AQ1952">
            <v>0.25</v>
          </cell>
          <cell r="AR1952">
            <v>0.25</v>
          </cell>
          <cell r="AS1952">
            <v>0.25</v>
          </cell>
          <cell r="AT1952">
            <v>-0.04</v>
          </cell>
          <cell r="AU1952">
            <v>0.92</v>
          </cell>
          <cell r="AV1952">
            <v>20</v>
          </cell>
          <cell r="AY1952" t="str">
            <v/>
          </cell>
          <cell r="AZ1952">
            <v>0.25</v>
          </cell>
          <cell r="BA1952">
            <v>0.25</v>
          </cell>
        </row>
        <row r="1953">
          <cell r="A1953" t="str">
            <v>PORTARREDO</v>
          </cell>
          <cell r="D1953" t="str">
            <v>VIA DEL FONDITORE 838</v>
          </cell>
          <cell r="E1953" t="str">
            <v>57132</v>
          </cell>
          <cell r="F1953" t="str">
            <v>FOLLONICA</v>
          </cell>
          <cell r="G1953" t="str">
            <v>GR</v>
          </cell>
          <cell r="H1953" t="str">
            <v>ITALIA</v>
          </cell>
          <cell r="J1953" t="str">
            <v>01307710531</v>
          </cell>
          <cell r="M1953" t="str">
            <v>UFFICIO ACQUISTI</v>
          </cell>
          <cell r="N1953" t="str">
            <v>0566 53374</v>
          </cell>
          <cell r="O1953" t="str">
            <v>335 8364631</v>
          </cell>
          <cell r="P1953" t="str">
            <v>portarredo@email.it</v>
          </cell>
          <cell r="R1953" t="str">
            <v>BONIFICO BANCARIO, ALLA DATA DELLA NOSTRA CONFERMA D'ORDINE</v>
          </cell>
          <cell r="X1953">
            <v>0.25</v>
          </cell>
          <cell r="Y1953">
            <v>-0.04</v>
          </cell>
          <cell r="AB1953">
            <v>0.25</v>
          </cell>
          <cell r="AC1953">
            <v>0.25</v>
          </cell>
          <cell r="AD1953">
            <v>0.25</v>
          </cell>
          <cell r="AE1953">
            <v>0.25</v>
          </cell>
          <cell r="AF1953">
            <v>0.25</v>
          </cell>
          <cell r="AG1953">
            <v>0.25</v>
          </cell>
          <cell r="AH1953">
            <v>0.25</v>
          </cell>
          <cell r="AI1953">
            <v>0.25</v>
          </cell>
          <cell r="AJ1953">
            <v>0.25</v>
          </cell>
          <cell r="AK1953">
            <v>0.25</v>
          </cell>
          <cell r="AL1953">
            <v>0.25</v>
          </cell>
          <cell r="AM1953">
            <v>0.25</v>
          </cell>
          <cell r="AN1953">
            <v>0.25</v>
          </cell>
          <cell r="AO1953">
            <v>0.25</v>
          </cell>
          <cell r="AP1953">
            <v>0.25</v>
          </cell>
          <cell r="AQ1953">
            <v>0.25</v>
          </cell>
          <cell r="AR1953">
            <v>0.25</v>
          </cell>
          <cell r="AS1953">
            <v>0.25</v>
          </cell>
          <cell r="AT1953">
            <v>-0.04</v>
          </cell>
          <cell r="AU1953">
            <v>0.92</v>
          </cell>
          <cell r="AV1953">
            <v>20</v>
          </cell>
          <cell r="AY1953" t="str">
            <v/>
          </cell>
          <cell r="AZ1953">
            <v>0.25</v>
          </cell>
          <cell r="BA1953">
            <v>0.25</v>
          </cell>
        </row>
        <row r="1954">
          <cell r="A1954" t="str">
            <v>PORTA SICURA SNC</v>
          </cell>
          <cell r="D1954" t="str">
            <v>VIA F.LLI BANDIERA, 16</v>
          </cell>
          <cell r="E1954">
            <v>20068</v>
          </cell>
          <cell r="F1954" t="str">
            <v>PESCHIERA BORROMEO</v>
          </cell>
          <cell r="G1954" t="str">
            <v>MI</v>
          </cell>
          <cell r="H1954" t="str">
            <v>ITALIA</v>
          </cell>
          <cell r="J1954" t="str">
            <v>06817530964</v>
          </cell>
          <cell r="M1954" t="str">
            <v>UFFICIO ACQUISTI</v>
          </cell>
          <cell r="N1954" t="str">
            <v>02 55302178</v>
          </cell>
          <cell r="O1954" t="str">
            <v>Luciano Corzo 347 9935020</v>
          </cell>
          <cell r="P1954" t="str">
            <v>portasisrl@gmail.com</v>
          </cell>
          <cell r="R1954" t="str">
            <v>BONIFICO BANCARIO, ALLA DATA DELLA NOSTRA CONFERMA D'ORDINE</v>
          </cell>
          <cell r="X1954">
            <v>0.25</v>
          </cell>
          <cell r="Y1954">
            <v>-0.04</v>
          </cell>
          <cell r="AB1954">
            <v>0.25</v>
          </cell>
          <cell r="AC1954">
            <v>0.25</v>
          </cell>
          <cell r="AD1954">
            <v>0.25</v>
          </cell>
          <cell r="AE1954">
            <v>0.25</v>
          </cell>
          <cell r="AF1954">
            <v>0.25</v>
          </cell>
          <cell r="AG1954">
            <v>0.25</v>
          </cell>
          <cell r="AH1954">
            <v>0.25</v>
          </cell>
          <cell r="AI1954">
            <v>0.25</v>
          </cell>
          <cell r="AJ1954">
            <v>0.25</v>
          </cell>
          <cell r="AK1954">
            <v>0.25</v>
          </cell>
          <cell r="AL1954">
            <v>0.25</v>
          </cell>
          <cell r="AM1954">
            <v>0.25</v>
          </cell>
          <cell r="AN1954">
            <v>0.25</v>
          </cell>
          <cell r="AO1954">
            <v>0.25</v>
          </cell>
          <cell r="AP1954">
            <v>0.25</v>
          </cell>
          <cell r="AQ1954">
            <v>0.25</v>
          </cell>
          <cell r="AR1954">
            <v>0.25</v>
          </cell>
          <cell r="AS1954">
            <v>0.25</v>
          </cell>
          <cell r="AT1954">
            <v>-0.04</v>
          </cell>
          <cell r="AU1954">
            <v>0.9</v>
          </cell>
          <cell r="AV1954">
            <v>20</v>
          </cell>
          <cell r="AY1954" t="str">
            <v/>
          </cell>
          <cell r="AZ1954">
            <v>0.25</v>
          </cell>
          <cell r="BA1954">
            <v>0.25</v>
          </cell>
        </row>
        <row r="1955">
          <cell r="A1955" t="str">
            <v xml:space="preserve">PORTE &amp; FINESTRE </v>
          </cell>
          <cell r="D1955" t="str">
            <v>VIA XXIV MAGGIO, 117</v>
          </cell>
          <cell r="E1955">
            <v>20099</v>
          </cell>
          <cell r="F1955" t="str">
            <v>STSO S. GIOVANNI</v>
          </cell>
          <cell r="G1955" t="str">
            <v>MI</v>
          </cell>
          <cell r="H1955" t="str">
            <v>ITALIA</v>
          </cell>
          <cell r="I1955" t="str">
            <v>DMTSFN72D22F205D</v>
          </cell>
          <cell r="J1955" t="str">
            <v>02721430961</v>
          </cell>
          <cell r="M1955" t="str">
            <v>UFFICIO ACQUISTI</v>
          </cell>
          <cell r="N1955" t="str">
            <v>02 22474121</v>
          </cell>
          <cell r="O1955" t="str">
            <v>338 5458722</v>
          </cell>
          <cell r="P1955" t="str">
            <v>portefinestre1997@gmail.com</v>
          </cell>
          <cell r="R1955" t="str">
            <v>BONIFICO BANCARIO, ALLA DATA DELLA NOSTRA CONFERMA D'ORDINE</v>
          </cell>
          <cell r="X1955">
            <v>0.25</v>
          </cell>
          <cell r="Y1955">
            <v>-0.04</v>
          </cell>
          <cell r="AB1955">
            <v>0.25</v>
          </cell>
          <cell r="AC1955">
            <v>0.25</v>
          </cell>
          <cell r="AD1955">
            <v>0.25</v>
          </cell>
          <cell r="AE1955">
            <v>0.25</v>
          </cell>
          <cell r="AF1955">
            <v>0.25</v>
          </cell>
          <cell r="AG1955">
            <v>0.25</v>
          </cell>
          <cell r="AH1955">
            <v>0.25</v>
          </cell>
          <cell r="AI1955">
            <v>0.25</v>
          </cell>
          <cell r="AJ1955">
            <v>0.25</v>
          </cell>
          <cell r="AK1955">
            <v>0.25</v>
          </cell>
          <cell r="AL1955">
            <v>0.25</v>
          </cell>
          <cell r="AM1955">
            <v>0.25</v>
          </cell>
          <cell r="AN1955">
            <v>0.25</v>
          </cell>
          <cell r="AO1955">
            <v>0.25</v>
          </cell>
          <cell r="AP1955">
            <v>0.25</v>
          </cell>
          <cell r="AQ1955">
            <v>0.25</v>
          </cell>
          <cell r="AR1955">
            <v>0.25</v>
          </cell>
          <cell r="AS1955">
            <v>0.25</v>
          </cell>
          <cell r="AT1955">
            <v>-0.04</v>
          </cell>
          <cell r="AU1955">
            <v>0.92</v>
          </cell>
          <cell r="AV1955">
            <v>20</v>
          </cell>
          <cell r="AY1955" t="str">
            <v/>
          </cell>
          <cell r="AZ1955">
            <v>0.25</v>
          </cell>
          <cell r="BA1955">
            <v>0.25</v>
          </cell>
        </row>
        <row r="1956">
          <cell r="A1956" t="str">
            <v xml:space="preserve">PORTE BLINDATE </v>
          </cell>
          <cell r="D1956" t="str">
            <v>VIA ALDO MORO, 30</v>
          </cell>
          <cell r="E1956" t="str">
            <v>41030</v>
          </cell>
          <cell r="F1956" t="str">
            <v>S. DI BOMPORTO</v>
          </cell>
          <cell r="G1956" t="str">
            <v>MO</v>
          </cell>
          <cell r="H1956" t="str">
            <v>ITALIA</v>
          </cell>
          <cell r="I1956" t="str">
            <v>00363120361</v>
          </cell>
          <cell r="J1956" t="str">
            <v>00363120361</v>
          </cell>
          <cell r="M1956" t="str">
            <v>UFFICIO ACQUISTI</v>
          </cell>
          <cell r="N1956" t="str">
            <v>059 909592</v>
          </cell>
          <cell r="P1956" t="str">
            <v>info@portecpc.com</v>
          </cell>
          <cell r="R1956" t="str">
            <v>BONIFICO BANCARIO, ALLA DATA DELLA NOSTRA CONFERMA D'ORDINE</v>
          </cell>
          <cell r="X1956">
            <v>0</v>
          </cell>
          <cell r="Y1956">
            <v>-0.04</v>
          </cell>
          <cell r="AB1956">
            <v>0</v>
          </cell>
          <cell r="AC1956">
            <v>0</v>
          </cell>
          <cell r="AD1956">
            <v>0</v>
          </cell>
          <cell r="AE1956">
            <v>0</v>
          </cell>
          <cell r="AF1956">
            <v>0</v>
          </cell>
          <cell r="AG1956">
            <v>0</v>
          </cell>
          <cell r="AH1956">
            <v>0</v>
          </cell>
          <cell r="AI1956">
            <v>0</v>
          </cell>
          <cell r="AJ1956">
            <v>0</v>
          </cell>
          <cell r="AK1956">
            <v>0</v>
          </cell>
          <cell r="AL1956">
            <v>0</v>
          </cell>
          <cell r="AM1956">
            <v>0</v>
          </cell>
          <cell r="AN1956">
            <v>0</v>
          </cell>
          <cell r="AO1956">
            <v>0</v>
          </cell>
          <cell r="AP1956">
            <v>0</v>
          </cell>
          <cell r="AQ1956">
            <v>0</v>
          </cell>
          <cell r="AR1956">
            <v>0</v>
          </cell>
          <cell r="AS1956">
            <v>0</v>
          </cell>
          <cell r="AT1956">
            <v>-0.04</v>
          </cell>
          <cell r="AU1956">
            <v>0.92</v>
          </cell>
          <cell r="AV1956">
            <v>20</v>
          </cell>
          <cell r="AZ1956">
            <v>0</v>
          </cell>
          <cell r="BA1956">
            <v>0</v>
          </cell>
        </row>
        <row r="1957">
          <cell r="A1957" t="str">
            <v>PORTE CORAZZATE E SERRAMENTI DI GERACI FRANCESCO</v>
          </cell>
          <cell r="D1957" t="str">
            <v>VIA EMPEDOCLE RESTIVO, 75</v>
          </cell>
          <cell r="F1957" t="str">
            <v>PALERMO</v>
          </cell>
          <cell r="G1957" t="str">
            <v>PA</v>
          </cell>
          <cell r="H1957" t="str">
            <v>ITALIA</v>
          </cell>
          <cell r="M1957" t="str">
            <v>UFFICIO ACQUISTI</v>
          </cell>
          <cell r="N1957" t="str">
            <v>091 527179</v>
          </cell>
          <cell r="O1957" t="str">
            <v>329 4678876 - 320 6937578</v>
          </cell>
          <cell r="P1957" t="str">
            <v>francogeraci2011@hotmail.it</v>
          </cell>
          <cell r="R1957" t="str">
            <v>BONIFICO BANCARIO, ALLA DATA DELLA NOSTRA CONFERMA D'ORDINE</v>
          </cell>
          <cell r="X1957">
            <v>0.25</v>
          </cell>
          <cell r="Y1957">
            <v>-0.04</v>
          </cell>
          <cell r="AB1957">
            <v>0.25</v>
          </cell>
          <cell r="AC1957">
            <v>0.25</v>
          </cell>
          <cell r="AD1957">
            <v>0.25</v>
          </cell>
          <cell r="AE1957">
            <v>0.25</v>
          </cell>
          <cell r="AF1957">
            <v>0.25</v>
          </cell>
          <cell r="AG1957">
            <v>0.25</v>
          </cell>
          <cell r="AH1957">
            <v>0.25</v>
          </cell>
          <cell r="AI1957">
            <v>0.25</v>
          </cell>
          <cell r="AJ1957">
            <v>0.25</v>
          </cell>
          <cell r="AK1957">
            <v>0.25</v>
          </cell>
          <cell r="AL1957">
            <v>0.25</v>
          </cell>
          <cell r="AM1957">
            <v>0.25</v>
          </cell>
          <cell r="AN1957">
            <v>0.25</v>
          </cell>
          <cell r="AO1957">
            <v>0.25</v>
          </cell>
          <cell r="AP1957">
            <v>0.25</v>
          </cell>
          <cell r="AQ1957">
            <v>0.25</v>
          </cell>
          <cell r="AR1957">
            <v>0.25</v>
          </cell>
          <cell r="AS1957">
            <v>0.25</v>
          </cell>
          <cell r="AT1957">
            <v>-0.04</v>
          </cell>
          <cell r="AU1957">
            <v>0.92</v>
          </cell>
          <cell r="AV1957">
            <v>20</v>
          </cell>
          <cell r="AY1957" t="str">
            <v/>
          </cell>
          <cell r="AZ1957">
            <v>0.25</v>
          </cell>
          <cell r="BA1957">
            <v>0.25</v>
          </cell>
        </row>
        <row r="1958">
          <cell r="A1958" t="str">
            <v>PORTE E FINESTRE</v>
          </cell>
          <cell r="B1958" t="str">
            <v>AZIENDA COLLEGATA A  OFFICINE PAGLIARI</v>
          </cell>
          <cell r="D1958" t="str">
            <v>VIA STAZIONE, 90 A</v>
          </cell>
          <cell r="E1958">
            <v>26013</v>
          </cell>
          <cell r="F1958" t="str">
            <v>CREMA</v>
          </cell>
          <cell r="G1958" t="str">
            <v>CR</v>
          </cell>
          <cell r="H1958" t="str">
            <v>ITALIA</v>
          </cell>
          <cell r="I1958" t="str">
            <v>01493000192</v>
          </cell>
          <cell r="J1958" t="str">
            <v>01493000192</v>
          </cell>
          <cell r="M1958" t="str">
            <v>UFFICIO ACQUISTI</v>
          </cell>
          <cell r="N1958" t="str">
            <v>0373 474632</v>
          </cell>
          <cell r="O1958">
            <v>3483621258</v>
          </cell>
          <cell r="P1958" t="str">
            <v>info@portefinestrecrema.com</v>
          </cell>
          <cell r="R1958" t="str">
            <v>BONIFICO BANCARIO, ALLA DATA DELLA NOSTRA CONFERMA D'ORDINE</v>
          </cell>
          <cell r="X1958">
            <v>0.25</v>
          </cell>
          <cell r="Y1958">
            <v>-0.04</v>
          </cell>
          <cell r="AB1958">
            <v>0.25</v>
          </cell>
          <cell r="AC1958">
            <v>0.25</v>
          </cell>
          <cell r="AD1958">
            <v>0.25</v>
          </cell>
          <cell r="AE1958">
            <v>0.25</v>
          </cell>
          <cell r="AF1958">
            <v>0.25</v>
          </cell>
          <cell r="AG1958">
            <v>0.25</v>
          </cell>
          <cell r="AH1958">
            <v>0.25</v>
          </cell>
          <cell r="AI1958">
            <v>0.25</v>
          </cell>
          <cell r="AJ1958">
            <v>0.25</v>
          </cell>
          <cell r="AK1958">
            <v>0.25</v>
          </cell>
          <cell r="AL1958">
            <v>0.25</v>
          </cell>
          <cell r="AM1958">
            <v>0.25</v>
          </cell>
          <cell r="AN1958">
            <v>0.25</v>
          </cell>
          <cell r="AO1958">
            <v>0.25</v>
          </cell>
          <cell r="AP1958">
            <v>0.25</v>
          </cell>
          <cell r="AQ1958">
            <v>0.25</v>
          </cell>
          <cell r="AR1958">
            <v>0.25</v>
          </cell>
          <cell r="AS1958">
            <v>0.25</v>
          </cell>
          <cell r="AT1958">
            <v>-0.04</v>
          </cell>
          <cell r="AU1958">
            <v>0.92</v>
          </cell>
          <cell r="AV1958">
            <v>20</v>
          </cell>
          <cell r="AY1958" t="str">
            <v/>
          </cell>
          <cell r="AZ1958">
            <v>0.25</v>
          </cell>
          <cell r="BA1958">
            <v>0.25</v>
          </cell>
        </row>
        <row r="1959">
          <cell r="A1959" t="str">
            <v>PORTE E FINESTRE</v>
          </cell>
          <cell r="D1959" t="str">
            <v>PIAZZA CAVOUR, 37</v>
          </cell>
          <cell r="E1959">
            <v>28921</v>
          </cell>
          <cell r="F1959" t="str">
            <v>VERBANIA INTRA</v>
          </cell>
          <cell r="G1959" t="str">
            <v>VB</v>
          </cell>
          <cell r="H1959" t="str">
            <v>ITALIA</v>
          </cell>
          <cell r="I1959" t="str">
            <v>02518590035</v>
          </cell>
          <cell r="J1959" t="str">
            <v>02518590035</v>
          </cell>
          <cell r="M1959" t="str">
            <v>UFFICIO ACQUISTI</v>
          </cell>
          <cell r="N1959" t="str">
            <v>0323 360777</v>
          </cell>
          <cell r="P1959" t="str">
            <v>info@portefinestregiambo.com</v>
          </cell>
          <cell r="R1959" t="str">
            <v>BONIFICO BANCARIO, ALLA DATA DELLA NOSTRA CONFERMA D'ORDINE</v>
          </cell>
          <cell r="X1959">
            <v>0.25</v>
          </cell>
          <cell r="Y1959">
            <v>-0.04</v>
          </cell>
          <cell r="AB1959">
            <v>0.25</v>
          </cell>
          <cell r="AC1959">
            <v>0.25</v>
          </cell>
          <cell r="AD1959">
            <v>0.25</v>
          </cell>
          <cell r="AE1959">
            <v>0.25</v>
          </cell>
          <cell r="AF1959">
            <v>0.25</v>
          </cell>
          <cell r="AG1959">
            <v>0.25</v>
          </cell>
          <cell r="AH1959">
            <v>0.25</v>
          </cell>
          <cell r="AI1959">
            <v>0.25</v>
          </cell>
          <cell r="AJ1959">
            <v>0.25</v>
          </cell>
          <cell r="AK1959">
            <v>0.25</v>
          </cell>
          <cell r="AL1959">
            <v>0.25</v>
          </cell>
          <cell r="AM1959">
            <v>0.25</v>
          </cell>
          <cell r="AN1959">
            <v>0.25</v>
          </cell>
          <cell r="AO1959">
            <v>0.25</v>
          </cell>
          <cell r="AP1959">
            <v>0.25</v>
          </cell>
          <cell r="AQ1959">
            <v>0.25</v>
          </cell>
          <cell r="AR1959">
            <v>0.25</v>
          </cell>
          <cell r="AS1959">
            <v>0.25</v>
          </cell>
          <cell r="AT1959">
            <v>-0.04</v>
          </cell>
          <cell r="AU1959">
            <v>0.92</v>
          </cell>
          <cell r="AV1959">
            <v>20</v>
          </cell>
          <cell r="AZ1959">
            <v>0.25</v>
          </cell>
          <cell r="BA1959">
            <v>0.25</v>
          </cell>
        </row>
        <row r="1960">
          <cell r="A1960" t="str">
            <v>PORTE E FINESTRE GRANDI SERRAMENTI</v>
          </cell>
          <cell r="D1960" t="str">
            <v>VIALE GIACOMO MATTEOTTI, 126</v>
          </cell>
          <cell r="E1960">
            <v>20099</v>
          </cell>
          <cell r="F1960" t="str">
            <v>SESTO SAN GIOVANNI</v>
          </cell>
          <cell r="G1960" t="str">
            <v>MI</v>
          </cell>
          <cell r="H1960" t="str">
            <v>ITALIA</v>
          </cell>
          <cell r="M1960" t="str">
            <v>UFFICIO ACQUISTI</v>
          </cell>
          <cell r="N1960" t="str">
            <v>02 2422435</v>
          </cell>
          <cell r="O1960" t="str">
            <v>Marco Emiliano Iero 392 2046888</v>
          </cell>
          <cell r="P1960" t="str">
            <v>info@grandiserramenti.it</v>
          </cell>
          <cell r="R1960" t="str">
            <v>BONIFICO BANCARIO, ALLA DATA DELLA NOSTRA CONFERMA D'ORDINE</v>
          </cell>
          <cell r="X1960">
            <v>0.25</v>
          </cell>
          <cell r="Y1960">
            <v>-0.04</v>
          </cell>
          <cell r="AB1960">
            <v>0.25</v>
          </cell>
          <cell r="AC1960">
            <v>0.25</v>
          </cell>
          <cell r="AD1960">
            <v>0.25</v>
          </cell>
          <cell r="AE1960">
            <v>0.25</v>
          </cell>
          <cell r="AF1960">
            <v>0.25</v>
          </cell>
          <cell r="AG1960">
            <v>0.25</v>
          </cell>
          <cell r="AH1960">
            <v>0.25</v>
          </cell>
          <cell r="AI1960">
            <v>0.25</v>
          </cell>
          <cell r="AJ1960">
            <v>0.25</v>
          </cell>
          <cell r="AK1960">
            <v>0.25</v>
          </cell>
          <cell r="AL1960">
            <v>0.25</v>
          </cell>
          <cell r="AM1960">
            <v>0.25</v>
          </cell>
          <cell r="AN1960">
            <v>0.25</v>
          </cell>
          <cell r="AO1960">
            <v>0.25</v>
          </cell>
          <cell r="AP1960">
            <v>0.25</v>
          </cell>
          <cell r="AQ1960">
            <v>0.25</v>
          </cell>
          <cell r="AR1960">
            <v>0.25</v>
          </cell>
          <cell r="AS1960">
            <v>0.25</v>
          </cell>
          <cell r="AT1960">
            <v>-0.04</v>
          </cell>
          <cell r="AU1960">
            <v>0.92</v>
          </cell>
          <cell r="AV1960">
            <v>20</v>
          </cell>
          <cell r="AY1960" t="str">
            <v/>
          </cell>
          <cell r="AZ1960">
            <v>0.25</v>
          </cell>
          <cell r="BA1960">
            <v>0.25</v>
          </cell>
        </row>
        <row r="1961">
          <cell r="A1961" t="str">
            <v>PORTE E INFISSI 2000</v>
          </cell>
          <cell r="D1961" t="str">
            <v>VIA DI VILLA CLAUDIA 11</v>
          </cell>
          <cell r="E1961" t="str">
            <v>00042</v>
          </cell>
          <cell r="F1961" t="str">
            <v>ANZIO</v>
          </cell>
          <cell r="G1961" t="str">
            <v>RM</v>
          </cell>
          <cell r="H1961" t="str">
            <v>ITALIA</v>
          </cell>
          <cell r="M1961" t="str">
            <v>UFFICIO ACQUISTI</v>
          </cell>
          <cell r="O1961" t="str">
            <v>328 7369118</v>
          </cell>
          <cell r="P1961" t="str">
            <v>porteeinfissi2000@libero.it</v>
          </cell>
          <cell r="R1961" t="str">
            <v>BONIFICO BANCARIO, ALLA DATA DELLA NOSTRA CONFERMA D'ORDINE</v>
          </cell>
          <cell r="X1961">
            <v>0.25</v>
          </cell>
          <cell r="Y1961">
            <v>-0.04</v>
          </cell>
          <cell r="AB1961">
            <v>0.25</v>
          </cell>
          <cell r="AC1961">
            <v>0.25</v>
          </cell>
          <cell r="AD1961">
            <v>0.25</v>
          </cell>
          <cell r="AE1961">
            <v>0.25</v>
          </cell>
          <cell r="AF1961">
            <v>0.25</v>
          </cell>
          <cell r="AG1961">
            <v>0.25</v>
          </cell>
          <cell r="AH1961">
            <v>0.25</v>
          </cell>
          <cell r="AI1961">
            <v>0.25</v>
          </cell>
          <cell r="AJ1961">
            <v>0.25</v>
          </cell>
          <cell r="AK1961">
            <v>0.25</v>
          </cell>
          <cell r="AL1961">
            <v>0.25</v>
          </cell>
          <cell r="AM1961">
            <v>0.25</v>
          </cell>
          <cell r="AN1961">
            <v>0.25</v>
          </cell>
          <cell r="AO1961">
            <v>0.25</v>
          </cell>
          <cell r="AP1961">
            <v>0.25</v>
          </cell>
          <cell r="AQ1961">
            <v>0.25</v>
          </cell>
          <cell r="AR1961">
            <v>0.25</v>
          </cell>
          <cell r="AS1961">
            <v>0.25</v>
          </cell>
          <cell r="AT1961">
            <v>-0.04</v>
          </cell>
          <cell r="AU1961">
            <v>0.92</v>
          </cell>
          <cell r="AV1961">
            <v>20</v>
          </cell>
          <cell r="AY1961" t="str">
            <v/>
          </cell>
          <cell r="AZ1961">
            <v>0.25</v>
          </cell>
          <cell r="BA1961">
            <v>0.25</v>
          </cell>
        </row>
        <row r="1962">
          <cell r="A1962" t="str">
            <v>PORTE E INFISSI DI FRANCESCO DIBONA</v>
          </cell>
          <cell r="B1962" t="str">
            <v>POCO RICETTIVO 07/12 MOLTO RICETTIVO E DISPONIBILE. VUOLE MAIL PER VISIONARE PRODOTTI E POI PARLARE PER EVENTUALMENTE DIVENTARE COLLABORATORE</v>
          </cell>
          <cell r="F1962" t="str">
            <v>CROTONE</v>
          </cell>
          <cell r="G1962" t="str">
            <v>KR</v>
          </cell>
          <cell r="H1962" t="str">
            <v>ITALIA</v>
          </cell>
          <cell r="M1962" t="str">
            <v>UFFICIO ACQUISTI</v>
          </cell>
          <cell r="O1962" t="str">
            <v>331 2723932</v>
          </cell>
          <cell r="R1962" t="str">
            <v>BONIFICO BANCARIO, ALLA DATA DELLA NOSTRA CONFERMA D'ORDINE</v>
          </cell>
          <cell r="X1962">
            <v>0.25</v>
          </cell>
          <cell r="Y1962">
            <v>-0.04</v>
          </cell>
          <cell r="AB1962">
            <v>0.25</v>
          </cell>
          <cell r="AC1962">
            <v>0.25</v>
          </cell>
          <cell r="AD1962">
            <v>0.25</v>
          </cell>
          <cell r="AE1962">
            <v>0.25</v>
          </cell>
          <cell r="AF1962">
            <v>0.25</v>
          </cell>
          <cell r="AG1962">
            <v>0.25</v>
          </cell>
          <cell r="AH1962">
            <v>0.25</v>
          </cell>
          <cell r="AI1962">
            <v>0.25</v>
          </cell>
          <cell r="AJ1962">
            <v>0.25</v>
          </cell>
          <cell r="AK1962">
            <v>0.25</v>
          </cell>
          <cell r="AL1962">
            <v>0.25</v>
          </cell>
          <cell r="AM1962">
            <v>0.25</v>
          </cell>
          <cell r="AN1962">
            <v>0.25</v>
          </cell>
          <cell r="AO1962">
            <v>0.25</v>
          </cell>
          <cell r="AP1962">
            <v>0.25</v>
          </cell>
          <cell r="AQ1962">
            <v>0.25</v>
          </cell>
          <cell r="AR1962">
            <v>0.25</v>
          </cell>
          <cell r="AS1962">
            <v>0.25</v>
          </cell>
          <cell r="AT1962">
            <v>-0.04</v>
          </cell>
          <cell r="AU1962">
            <v>0.92</v>
          </cell>
          <cell r="AV1962">
            <v>20</v>
          </cell>
          <cell r="AW1962" t="str">
            <v>PIETRO OLIVADOTI</v>
          </cell>
          <cell r="AX1962">
            <v>0.95</v>
          </cell>
          <cell r="AY1962" t="str">
            <v/>
          </cell>
          <cell r="AZ1962">
            <v>0.25</v>
          </cell>
          <cell r="BA1962">
            <v>0.25</v>
          </cell>
        </row>
        <row r="1963">
          <cell r="A1963" t="str">
            <v>PORTE VARESE</v>
          </cell>
          <cell r="D1963" t="str">
            <v>V.LE BELFORTE, 135</v>
          </cell>
          <cell r="E1963">
            <v>21100</v>
          </cell>
          <cell r="F1963" t="str">
            <v>VARESE</v>
          </cell>
          <cell r="G1963" t="str">
            <v>VA</v>
          </cell>
          <cell r="H1963" t="str">
            <v>ITALIA</v>
          </cell>
          <cell r="M1963" t="str">
            <v>UFFICIO ACQUISTI</v>
          </cell>
          <cell r="N1963" t="str">
            <v>0332 947318</v>
          </cell>
          <cell r="O1963" t="str">
            <v>Emilio 339 6904094</v>
          </cell>
          <cell r="P1963" t="str">
            <v>portevarese@portevarese.com</v>
          </cell>
          <cell r="R1963" t="str">
            <v>BONIFICO BANCARIO, ALLA DATA DELLA NOSTRA CONFERMA D'ORDINE</v>
          </cell>
          <cell r="X1963">
            <v>0.25</v>
          </cell>
          <cell r="Y1963">
            <v>-0.04</v>
          </cell>
          <cell r="AB1963">
            <v>0.25</v>
          </cell>
          <cell r="AC1963">
            <v>0.25</v>
          </cell>
          <cell r="AD1963">
            <v>0.25</v>
          </cell>
          <cell r="AE1963">
            <v>0.25</v>
          </cell>
          <cell r="AF1963">
            <v>0.25</v>
          </cell>
          <cell r="AG1963">
            <v>0.25</v>
          </cell>
          <cell r="AH1963">
            <v>0.25</v>
          </cell>
          <cell r="AI1963">
            <v>0.25</v>
          </cell>
          <cell r="AJ1963">
            <v>0.25</v>
          </cell>
          <cell r="AK1963">
            <v>0.25</v>
          </cell>
          <cell r="AL1963">
            <v>0.25</v>
          </cell>
          <cell r="AM1963">
            <v>0.25</v>
          </cell>
          <cell r="AN1963">
            <v>0.25</v>
          </cell>
          <cell r="AO1963">
            <v>0.25</v>
          </cell>
          <cell r="AP1963">
            <v>0.25</v>
          </cell>
          <cell r="AQ1963">
            <v>0.25</v>
          </cell>
          <cell r="AR1963">
            <v>0.25</v>
          </cell>
          <cell r="AS1963">
            <v>0.25</v>
          </cell>
          <cell r="AT1963">
            <v>-0.04</v>
          </cell>
          <cell r="AU1963">
            <v>0.92</v>
          </cell>
          <cell r="AV1963">
            <v>20</v>
          </cell>
          <cell r="AY1963" t="str">
            <v/>
          </cell>
          <cell r="AZ1963">
            <v>0.25</v>
          </cell>
          <cell r="BA1963">
            <v>0.25</v>
          </cell>
        </row>
        <row r="1964">
          <cell r="A1964" t="str">
            <v>PORTE&amp;FINESTRE</v>
          </cell>
          <cell r="D1964" t="str">
            <v>VIA DEI LIMONI 53</v>
          </cell>
          <cell r="E1964" t="str">
            <v>54100</v>
          </cell>
          <cell r="F1964" t="str">
            <v>MASSA</v>
          </cell>
          <cell r="G1964" t="str">
            <v>MS</v>
          </cell>
          <cell r="H1964" t="str">
            <v>ITALIA</v>
          </cell>
          <cell r="J1964" t="str">
            <v>01218010450</v>
          </cell>
          <cell r="M1964" t="str">
            <v>UFFICIO ACQUISTI</v>
          </cell>
          <cell r="N1964" t="str">
            <v>0585 832270</v>
          </cell>
          <cell r="O1964" t="str">
            <v>346 0129075</v>
          </cell>
          <cell r="P1964" t="str">
            <v>lamantia.vendite@gmail.com</v>
          </cell>
          <cell r="R1964" t="str">
            <v>BONIFICO BANCARIO, ALLA DATA DELLA NOSTRA CONFERMA D'ORDINE</v>
          </cell>
          <cell r="X1964">
            <v>0.25</v>
          </cell>
          <cell r="Y1964">
            <v>-0.04</v>
          </cell>
          <cell r="AB1964">
            <v>0.25</v>
          </cell>
          <cell r="AC1964">
            <v>0.25</v>
          </cell>
          <cell r="AD1964">
            <v>0.25</v>
          </cell>
          <cell r="AE1964">
            <v>0.25</v>
          </cell>
          <cell r="AF1964">
            <v>0.25</v>
          </cell>
          <cell r="AG1964">
            <v>0.25</v>
          </cell>
          <cell r="AH1964">
            <v>0.25</v>
          </cell>
          <cell r="AI1964">
            <v>0.25</v>
          </cell>
          <cell r="AJ1964">
            <v>0.25</v>
          </cell>
          <cell r="AK1964">
            <v>0.25</v>
          </cell>
          <cell r="AL1964">
            <v>0.25</v>
          </cell>
          <cell r="AM1964">
            <v>0.25</v>
          </cell>
          <cell r="AN1964">
            <v>0.25</v>
          </cell>
          <cell r="AO1964">
            <v>0.25</v>
          </cell>
          <cell r="AP1964">
            <v>0.25</v>
          </cell>
          <cell r="AQ1964">
            <v>0.25</v>
          </cell>
          <cell r="AR1964">
            <v>0.25</v>
          </cell>
          <cell r="AS1964">
            <v>0.25</v>
          </cell>
          <cell r="AT1964">
            <v>-0.04</v>
          </cell>
          <cell r="AU1964">
            <v>0.92</v>
          </cell>
          <cell r="AV1964">
            <v>20</v>
          </cell>
          <cell r="AY1964" t="str">
            <v/>
          </cell>
          <cell r="AZ1964">
            <v>0.25</v>
          </cell>
          <cell r="BA1964">
            <v>0.25</v>
          </cell>
        </row>
        <row r="1965">
          <cell r="A1965" t="str">
            <v>PORTECO'</v>
          </cell>
          <cell r="B1965" t="str">
            <v>SOLO BIGLIETTO DA VISITA   DANIELA PATRICOLO</v>
          </cell>
          <cell r="D1965" t="str">
            <v>VIA PERGOLESI, 7/B</v>
          </cell>
          <cell r="E1965" t="str">
            <v>09128</v>
          </cell>
          <cell r="F1965" t="str">
            <v>CAGLIARI</v>
          </cell>
          <cell r="G1965" t="str">
            <v>CA</v>
          </cell>
          <cell r="H1965" t="str">
            <v>ITALIA</v>
          </cell>
          <cell r="M1965" t="str">
            <v>UFFICIO ACQUISTI</v>
          </cell>
          <cell r="N1965" t="str">
            <v>070 486215</v>
          </cell>
          <cell r="P1965" t="str">
            <v>info@porteco.it</v>
          </cell>
          <cell r="R1965" t="str">
            <v>BONIFICO BANCARIO, ALLA DATA DELLA NOSTRA CONFERMA D'ORDINE</v>
          </cell>
          <cell r="X1965">
            <v>0.25</v>
          </cell>
          <cell r="Y1965">
            <v>-0.04</v>
          </cell>
          <cell r="AB1965">
            <v>0.25</v>
          </cell>
          <cell r="AC1965">
            <v>0.25</v>
          </cell>
          <cell r="AD1965">
            <v>0.25</v>
          </cell>
          <cell r="AE1965">
            <v>0.25</v>
          </cell>
          <cell r="AF1965">
            <v>0.25</v>
          </cell>
          <cell r="AG1965">
            <v>0.25</v>
          </cell>
          <cell r="AH1965">
            <v>0.25</v>
          </cell>
          <cell r="AI1965">
            <v>0.25</v>
          </cell>
          <cell r="AJ1965">
            <v>0.25</v>
          </cell>
          <cell r="AK1965">
            <v>0.25</v>
          </cell>
          <cell r="AL1965">
            <v>0.25</v>
          </cell>
          <cell r="AM1965">
            <v>0.25</v>
          </cell>
          <cell r="AN1965">
            <v>0.25</v>
          </cell>
          <cell r="AO1965">
            <v>0.25</v>
          </cell>
          <cell r="AP1965">
            <v>0.25</v>
          </cell>
          <cell r="AQ1965">
            <v>0.25</v>
          </cell>
          <cell r="AR1965">
            <v>0.25</v>
          </cell>
          <cell r="AS1965">
            <v>0.25</v>
          </cell>
          <cell r="AT1965">
            <v>-0.04</v>
          </cell>
          <cell r="AU1965">
            <v>0.92</v>
          </cell>
          <cell r="AV1965">
            <v>20</v>
          </cell>
          <cell r="AZ1965">
            <v>0.25</v>
          </cell>
          <cell r="BA1965">
            <v>0.25</v>
          </cell>
        </row>
        <row r="1966">
          <cell r="A1966" t="str">
            <v>PORTEUROPA</v>
          </cell>
          <cell r="D1966" t="str">
            <v>CORSO EUROPA, 222 224- VIA RIMASSA, 130 R</v>
          </cell>
          <cell r="E1966">
            <v>16132</v>
          </cell>
          <cell r="F1966" t="str">
            <v>GENOVA</v>
          </cell>
          <cell r="G1966" t="str">
            <v>GE</v>
          </cell>
          <cell r="H1966" t="str">
            <v>ITALIA</v>
          </cell>
          <cell r="J1966" t="str">
            <v>03735480109</v>
          </cell>
          <cell r="K1966" t="str">
            <v>M5UXCR1</v>
          </cell>
          <cell r="M1966" t="str">
            <v>UFFICIO ACQUISTI</v>
          </cell>
          <cell r="N1966" t="str">
            <v>010 3742109</v>
          </cell>
          <cell r="P1966" t="str">
            <v>ordini@porteuropa.it</v>
          </cell>
          <cell r="R1966" t="str">
            <v>BONIFICO BANCARIO, ALLA DATA DELLA NOSTRA CONFERMA D'ORDINE</v>
          </cell>
          <cell r="X1966">
            <v>0.25</v>
          </cell>
          <cell r="Y1966">
            <v>-0.04</v>
          </cell>
          <cell r="AB1966">
            <v>0.25</v>
          </cell>
          <cell r="AC1966">
            <v>0.25</v>
          </cell>
          <cell r="AD1966">
            <v>0.25</v>
          </cell>
          <cell r="AE1966">
            <v>0.25</v>
          </cell>
          <cell r="AF1966">
            <v>0.25</v>
          </cell>
          <cell r="AG1966">
            <v>0.25</v>
          </cell>
          <cell r="AH1966">
            <v>0.25</v>
          </cell>
          <cell r="AI1966">
            <v>0.25</v>
          </cell>
          <cell r="AJ1966">
            <v>0.25</v>
          </cell>
          <cell r="AK1966">
            <v>0.25</v>
          </cell>
          <cell r="AL1966">
            <v>0.25</v>
          </cell>
          <cell r="AM1966">
            <v>0.25</v>
          </cell>
          <cell r="AN1966">
            <v>0.25</v>
          </cell>
          <cell r="AO1966">
            <v>0.25</v>
          </cell>
          <cell r="AP1966">
            <v>0.25</v>
          </cell>
          <cell r="AQ1966">
            <v>0.25</v>
          </cell>
          <cell r="AR1966">
            <v>0.25</v>
          </cell>
          <cell r="AS1966">
            <v>0.25</v>
          </cell>
          <cell r="AT1966">
            <v>-0.04</v>
          </cell>
          <cell r="AU1966">
            <v>0.92</v>
          </cell>
          <cell r="AV1966">
            <v>20</v>
          </cell>
          <cell r="AY1966" t="str">
            <v/>
          </cell>
          <cell r="AZ1966">
            <v>0.25</v>
          </cell>
          <cell r="BA1966">
            <v>0.25</v>
          </cell>
        </row>
        <row r="1967">
          <cell r="A1967" t="str">
            <v xml:space="preserve">POSAR </v>
          </cell>
          <cell r="D1967" t="str">
            <v>VIA XX SETTEMBRE, 10</v>
          </cell>
          <cell r="E1967">
            <v>22069</v>
          </cell>
          <cell r="F1967" t="str">
            <v xml:space="preserve">ROVELLASCA </v>
          </cell>
          <cell r="G1967" t="str">
            <v>CO</v>
          </cell>
          <cell r="H1967" t="str">
            <v>ITALIA</v>
          </cell>
          <cell r="J1967" t="str">
            <v>02490170137</v>
          </cell>
          <cell r="M1967" t="str">
            <v>UFFICIO ACQUISTI</v>
          </cell>
          <cell r="O1967" t="str">
            <v>Cristina Alberton 392 9091777 - Renato A. 335 409667</v>
          </cell>
          <cell r="P1967" t="str">
            <v>info@posar.it</v>
          </cell>
          <cell r="R1967" t="str">
            <v>BONIFICO BANCARIO, ALLA DATA DELLA NOSTRA CONFERMA D'ORDINE</v>
          </cell>
          <cell r="X1967">
            <v>0.25</v>
          </cell>
          <cell r="Y1967">
            <v>-0.04</v>
          </cell>
          <cell r="AB1967">
            <v>0.25</v>
          </cell>
          <cell r="AC1967">
            <v>0.25</v>
          </cell>
          <cell r="AD1967">
            <v>0.25</v>
          </cell>
          <cell r="AE1967">
            <v>0.25</v>
          </cell>
          <cell r="AF1967">
            <v>0.25</v>
          </cell>
          <cell r="AG1967">
            <v>0.25</v>
          </cell>
          <cell r="AH1967">
            <v>0.25</v>
          </cell>
          <cell r="AI1967">
            <v>0.25</v>
          </cell>
          <cell r="AJ1967">
            <v>0.25</v>
          </cell>
          <cell r="AK1967">
            <v>0.25</v>
          </cell>
          <cell r="AL1967">
            <v>0.25</v>
          </cell>
          <cell r="AM1967">
            <v>0.25</v>
          </cell>
          <cell r="AN1967">
            <v>0.25</v>
          </cell>
          <cell r="AO1967">
            <v>0.25</v>
          </cell>
          <cell r="AP1967">
            <v>0.25</v>
          </cell>
          <cell r="AQ1967">
            <v>0.25</v>
          </cell>
          <cell r="AR1967">
            <v>0.25</v>
          </cell>
          <cell r="AS1967">
            <v>0.25</v>
          </cell>
          <cell r="AT1967">
            <v>-0.04</v>
          </cell>
          <cell r="AU1967">
            <v>0.92</v>
          </cell>
          <cell r="AV1967">
            <v>20</v>
          </cell>
          <cell r="AY1967" t="str">
            <v/>
          </cell>
          <cell r="AZ1967">
            <v>0.25</v>
          </cell>
          <cell r="BA1967">
            <v>0.25</v>
          </cell>
        </row>
        <row r="1968">
          <cell r="A1968" t="str">
            <v>PRATO INFISSI SRL</v>
          </cell>
          <cell r="D1968" t="str">
            <v>VIA STENTINELLO, 9/A</v>
          </cell>
          <cell r="E1968" t="str">
            <v>96100</v>
          </cell>
          <cell r="F1968" t="str">
            <v>SIRACUSA</v>
          </cell>
          <cell r="G1968" t="str">
            <v>SR</v>
          </cell>
          <cell r="H1968" t="str">
            <v>ITALIA</v>
          </cell>
          <cell r="J1968" t="str">
            <v>01025080894</v>
          </cell>
          <cell r="K1968" t="str">
            <v>M5UXCR1</v>
          </cell>
          <cell r="M1968" t="str">
            <v>UFFICIO ACQUISTI</v>
          </cell>
          <cell r="N1968" t="str">
            <v>0931 492450</v>
          </cell>
          <cell r="O1968" t="str">
            <v>320 9506716 SIG.PRATO</v>
          </cell>
          <cell r="P1968" t="str">
            <v>fratelliprato@gmail.com</v>
          </cell>
          <cell r="R1968" t="str">
            <v>BONIFICO BANCARIO, ALLA DATA DELLA NOSTRA CONFERMA D'ORDINE</v>
          </cell>
          <cell r="X1968">
            <v>0.25</v>
          </cell>
          <cell r="Y1968">
            <v>-0.04</v>
          </cell>
          <cell r="AB1968">
            <v>0.25</v>
          </cell>
          <cell r="AC1968">
            <v>0.25</v>
          </cell>
          <cell r="AD1968">
            <v>0.25</v>
          </cell>
          <cell r="AE1968">
            <v>0.25</v>
          </cell>
          <cell r="AF1968">
            <v>0.25</v>
          </cell>
          <cell r="AG1968">
            <v>0.25</v>
          </cell>
          <cell r="AH1968">
            <v>0.25</v>
          </cell>
          <cell r="AI1968">
            <v>0.25</v>
          </cell>
          <cell r="AJ1968">
            <v>0.25</v>
          </cell>
          <cell r="AK1968">
            <v>0.25</v>
          </cell>
          <cell r="AL1968">
            <v>0.25</v>
          </cell>
          <cell r="AM1968">
            <v>0.25</v>
          </cell>
          <cell r="AN1968">
            <v>0.25</v>
          </cell>
          <cell r="AO1968">
            <v>0.25</v>
          </cell>
          <cell r="AP1968">
            <v>0.25</v>
          </cell>
          <cell r="AQ1968">
            <v>0.25</v>
          </cell>
          <cell r="AR1968">
            <v>0.25</v>
          </cell>
          <cell r="AS1968">
            <v>0.25</v>
          </cell>
          <cell r="AT1968">
            <v>-0.04</v>
          </cell>
          <cell r="AU1968">
            <v>0.92</v>
          </cell>
          <cell r="AV1968">
            <v>20</v>
          </cell>
          <cell r="AZ1968">
            <v>0.25</v>
          </cell>
          <cell r="BA1968">
            <v>0.25</v>
          </cell>
        </row>
        <row r="1969">
          <cell r="A1969" t="str">
            <v>PRD SERRAMENTI</v>
          </cell>
          <cell r="D1969" t="str">
            <v>VIA MARAGLIANO, 16 R</v>
          </cell>
          <cell r="E1969">
            <v>16121</v>
          </cell>
          <cell r="F1969" t="str">
            <v>GENOVA</v>
          </cell>
          <cell r="G1969" t="str">
            <v>GE</v>
          </cell>
          <cell r="H1969" t="str">
            <v>ITALIA</v>
          </cell>
          <cell r="I1969">
            <v>2583690991</v>
          </cell>
          <cell r="J1969">
            <v>2583690991</v>
          </cell>
          <cell r="M1969" t="str">
            <v>UFFICIO ACQUISTI</v>
          </cell>
          <cell r="O1969" t="str">
            <v>350 5829978 Pietro</v>
          </cell>
          <cell r="P1969" t="str">
            <v>prdserramenti@gmail.com</v>
          </cell>
          <cell r="R1969" t="str">
            <v>BONIFICO BANCARIO, ALLA DATA DELLA NOSTRA CONFERMA D'ORDINE</v>
          </cell>
          <cell r="X1969">
            <v>0.25</v>
          </cell>
          <cell r="Y1969">
            <v>-0.04</v>
          </cell>
          <cell r="AB1969">
            <v>0.25</v>
          </cell>
          <cell r="AC1969">
            <v>0.25</v>
          </cell>
          <cell r="AD1969">
            <v>0.25</v>
          </cell>
          <cell r="AE1969">
            <v>0.25</v>
          </cell>
          <cell r="AF1969">
            <v>0.25</v>
          </cell>
          <cell r="AG1969">
            <v>0.25</v>
          </cell>
          <cell r="AH1969">
            <v>0.25</v>
          </cell>
          <cell r="AI1969">
            <v>0.25</v>
          </cell>
          <cell r="AJ1969">
            <v>0.25</v>
          </cell>
          <cell r="AK1969">
            <v>0.25</v>
          </cell>
          <cell r="AL1969">
            <v>0.25</v>
          </cell>
          <cell r="AM1969">
            <v>0.25</v>
          </cell>
          <cell r="AN1969">
            <v>0.25</v>
          </cell>
          <cell r="AO1969">
            <v>0.25</v>
          </cell>
          <cell r="AP1969">
            <v>0.25</v>
          </cell>
          <cell r="AQ1969">
            <v>0.25</v>
          </cell>
          <cell r="AR1969">
            <v>0.25</v>
          </cell>
          <cell r="AS1969">
            <v>0.25</v>
          </cell>
          <cell r="AT1969">
            <v>-0.04</v>
          </cell>
          <cell r="AU1969">
            <v>0.92</v>
          </cell>
          <cell r="AV1969">
            <v>20</v>
          </cell>
          <cell r="AY1969" t="str">
            <v/>
          </cell>
          <cell r="AZ1969">
            <v>0.25</v>
          </cell>
          <cell r="BA1969">
            <v>0.25</v>
          </cell>
        </row>
        <row r="1970">
          <cell r="A1970" t="str">
            <v>PREGIO MAURO E FABIO SNC</v>
          </cell>
          <cell r="B1970" t="str">
            <v>SOLO BIGLIETTO DA VISITA</v>
          </cell>
          <cell r="D1970" t="str">
            <v>VIA LEGNANO, 77</v>
          </cell>
          <cell r="E1970" t="str">
            <v>09134</v>
          </cell>
          <cell r="F1970" t="str">
            <v>PIRRI</v>
          </cell>
          <cell r="G1970" t="str">
            <v>CA</v>
          </cell>
          <cell r="H1970" t="str">
            <v>ITALIA</v>
          </cell>
          <cell r="M1970" t="str">
            <v>UFFICIO ACQUISTI</v>
          </cell>
          <cell r="N1970" t="str">
            <v>070 501304</v>
          </cell>
          <cell r="R1970" t="str">
            <v>BONIFICO BANCARIO, ALLA DATA DELLA NOSTRA CONFERMA D'ORDINE</v>
          </cell>
          <cell r="X1970">
            <v>0.25</v>
          </cell>
          <cell r="Y1970">
            <v>-0.04</v>
          </cell>
          <cell r="AB1970">
            <v>0.25</v>
          </cell>
          <cell r="AC1970">
            <v>0.25</v>
          </cell>
          <cell r="AD1970">
            <v>0.25</v>
          </cell>
          <cell r="AE1970">
            <v>0.25</v>
          </cell>
          <cell r="AF1970">
            <v>0.25</v>
          </cell>
          <cell r="AG1970">
            <v>0.25</v>
          </cell>
          <cell r="AH1970">
            <v>0.25</v>
          </cell>
          <cell r="AI1970">
            <v>0.25</v>
          </cell>
          <cell r="AJ1970">
            <v>0.25</v>
          </cell>
          <cell r="AK1970">
            <v>0.25</v>
          </cell>
          <cell r="AL1970">
            <v>0.25</v>
          </cell>
          <cell r="AM1970">
            <v>0.25</v>
          </cell>
          <cell r="AN1970">
            <v>0.25</v>
          </cell>
          <cell r="AO1970">
            <v>0.25</v>
          </cell>
          <cell r="AP1970">
            <v>0.25</v>
          </cell>
          <cell r="AQ1970">
            <v>0.25</v>
          </cell>
          <cell r="AR1970">
            <v>0.25</v>
          </cell>
          <cell r="AS1970">
            <v>0.25</v>
          </cell>
          <cell r="AT1970">
            <v>-0.04</v>
          </cell>
          <cell r="AU1970">
            <v>0.92</v>
          </cell>
          <cell r="AV1970">
            <v>20</v>
          </cell>
          <cell r="AZ1970">
            <v>0.25</v>
          </cell>
          <cell r="BA1970">
            <v>0.25</v>
          </cell>
        </row>
        <row r="1971">
          <cell r="A1971" t="str">
            <v xml:space="preserve">PREMIUM PORTE E FINESTRE </v>
          </cell>
          <cell r="B1971" t="str">
            <v>MAI AVUTA RICHIESTA</v>
          </cell>
          <cell r="D1971" t="str">
            <v>PIAZZA TERRALBA, 42 R</v>
          </cell>
          <cell r="E1971" t="str">
            <v>16143</v>
          </cell>
          <cell r="F1971" t="str">
            <v>GENOVA</v>
          </cell>
          <cell r="G1971" t="str">
            <v>GE</v>
          </cell>
          <cell r="H1971" t="str">
            <v>ITALIA</v>
          </cell>
          <cell r="M1971" t="str">
            <v>UFFICIO ACQUISTI</v>
          </cell>
          <cell r="N1971" t="str">
            <v>010 8310780</v>
          </cell>
          <cell r="P1971" t="str">
            <v>premiumportefinestre@gmail.com</v>
          </cell>
          <cell r="R1971" t="str">
            <v>BONIFICO BANCARIO, ALLA DATA DELLA NOSTRA CONFERMA D'ORDINE</v>
          </cell>
          <cell r="X1971">
            <v>0.25</v>
          </cell>
          <cell r="Y1971">
            <v>-0.04</v>
          </cell>
          <cell r="AB1971">
            <v>0.25</v>
          </cell>
          <cell r="AC1971">
            <v>0.25</v>
          </cell>
          <cell r="AD1971">
            <v>0.25</v>
          </cell>
          <cell r="AE1971">
            <v>0.25</v>
          </cell>
          <cell r="AF1971">
            <v>0.25</v>
          </cell>
          <cell r="AG1971">
            <v>0.25</v>
          </cell>
          <cell r="AH1971">
            <v>0.25</v>
          </cell>
          <cell r="AI1971">
            <v>0.25</v>
          </cell>
          <cell r="AJ1971">
            <v>0.25</v>
          </cell>
          <cell r="AK1971">
            <v>0.25</v>
          </cell>
          <cell r="AL1971">
            <v>0.25</v>
          </cell>
          <cell r="AM1971">
            <v>0.25</v>
          </cell>
          <cell r="AN1971">
            <v>0.25</v>
          </cell>
          <cell r="AO1971">
            <v>0.25</v>
          </cell>
          <cell r="AP1971">
            <v>0.25</v>
          </cell>
          <cell r="AQ1971">
            <v>0.25</v>
          </cell>
          <cell r="AR1971">
            <v>0.25</v>
          </cell>
          <cell r="AS1971">
            <v>0.25</v>
          </cell>
          <cell r="AT1971">
            <v>-0.04</v>
          </cell>
          <cell r="AU1971">
            <v>0.92</v>
          </cell>
          <cell r="AV1971">
            <v>20</v>
          </cell>
          <cell r="AZ1971">
            <v>0.25</v>
          </cell>
          <cell r="BA1971">
            <v>0.25</v>
          </cell>
        </row>
        <row r="1972">
          <cell r="A1972" t="str">
            <v>PREVIERO SNC</v>
          </cell>
          <cell r="D1972" t="str">
            <v>STRADA DEL CASALINO, 1</v>
          </cell>
          <cell r="E1972">
            <v>37127</v>
          </cell>
          <cell r="F1972" t="str">
            <v>VERONA</v>
          </cell>
          <cell r="G1972" t="str">
            <v>VR</v>
          </cell>
          <cell r="H1972" t="str">
            <v>ITALIA</v>
          </cell>
          <cell r="M1972" t="str">
            <v>UFFICIO ACQUISTI</v>
          </cell>
          <cell r="N1972" t="str">
            <v>0458 352096</v>
          </cell>
          <cell r="O1972" t="str">
            <v>347 1504739</v>
          </cell>
          <cell r="P1972" t="str">
            <v>previero@previerofratelli.it</v>
          </cell>
          <cell r="R1972" t="str">
            <v>BONIFICO BANCARIO, ALLA DATA DELLA NOSTRA CONFERMA D'ORDINE</v>
          </cell>
          <cell r="X1972">
            <v>0.25</v>
          </cell>
          <cell r="Y1972">
            <v>-0.04</v>
          </cell>
          <cell r="AB1972">
            <v>0.25</v>
          </cell>
          <cell r="AC1972">
            <v>0.25</v>
          </cell>
          <cell r="AD1972">
            <v>0.25</v>
          </cell>
          <cell r="AE1972">
            <v>0.25</v>
          </cell>
          <cell r="AF1972">
            <v>0.25</v>
          </cell>
          <cell r="AG1972">
            <v>0.25</v>
          </cell>
          <cell r="AH1972">
            <v>0.25</v>
          </cell>
          <cell r="AI1972">
            <v>0.25</v>
          </cell>
          <cell r="AJ1972">
            <v>0.25</v>
          </cell>
          <cell r="AK1972">
            <v>0.25</v>
          </cell>
          <cell r="AL1972">
            <v>0.25</v>
          </cell>
          <cell r="AM1972">
            <v>0.25</v>
          </cell>
          <cell r="AN1972">
            <v>0.25</v>
          </cell>
          <cell r="AO1972">
            <v>0.25</v>
          </cell>
          <cell r="AP1972">
            <v>0.25</v>
          </cell>
          <cell r="AQ1972">
            <v>0.25</v>
          </cell>
          <cell r="AR1972">
            <v>0.25</v>
          </cell>
          <cell r="AS1972">
            <v>0.25</v>
          </cell>
          <cell r="AT1972">
            <v>-0.04</v>
          </cell>
          <cell r="AU1972">
            <v>0.92</v>
          </cell>
          <cell r="AV1972">
            <v>20</v>
          </cell>
          <cell r="AY1972" t="str">
            <v/>
          </cell>
          <cell r="AZ1972">
            <v>0.25</v>
          </cell>
          <cell r="BA1972">
            <v>0.25</v>
          </cell>
        </row>
        <row r="1973">
          <cell r="A1973" t="str">
            <v>PREVOSTO SAS AUTOMAZIONI</v>
          </cell>
          <cell r="D1973" t="str">
            <v>CORSO MARCONI, 410</v>
          </cell>
          <cell r="E1973">
            <v>18038</v>
          </cell>
          <cell r="F1973" t="str">
            <v>SANREMO</v>
          </cell>
          <cell r="G1973" t="str">
            <v xml:space="preserve">IM </v>
          </cell>
          <cell r="H1973" t="str">
            <v>ITALIA</v>
          </cell>
          <cell r="M1973" t="str">
            <v>UFFICIO ACQUISTI</v>
          </cell>
          <cell r="N1973" t="str">
            <v>0184 667447</v>
          </cell>
          <cell r="P1973" t="str">
            <v>info@prevostosas.it</v>
          </cell>
          <cell r="R1973" t="str">
            <v>BONIFICO BANCARIO, ALLA DATA DELLA NOSTRA CONFERMA D'ORDINE</v>
          </cell>
          <cell r="X1973">
            <v>0.25</v>
          </cell>
          <cell r="Y1973">
            <v>-0.04</v>
          </cell>
          <cell r="AB1973">
            <v>0.25</v>
          </cell>
          <cell r="AC1973">
            <v>0.25</v>
          </cell>
          <cell r="AD1973">
            <v>0.25</v>
          </cell>
          <cell r="AE1973">
            <v>0.25</v>
          </cell>
          <cell r="AF1973">
            <v>0.25</v>
          </cell>
          <cell r="AG1973">
            <v>0.25</v>
          </cell>
          <cell r="AH1973">
            <v>0.25</v>
          </cell>
          <cell r="AI1973">
            <v>0.25</v>
          </cell>
          <cell r="AJ1973">
            <v>0.25</v>
          </cell>
          <cell r="AK1973">
            <v>0.25</v>
          </cell>
          <cell r="AL1973">
            <v>0.25</v>
          </cell>
          <cell r="AM1973">
            <v>0.25</v>
          </cell>
          <cell r="AN1973">
            <v>0.25</v>
          </cell>
          <cell r="AO1973">
            <v>0.25</v>
          </cell>
          <cell r="AP1973">
            <v>0.25</v>
          </cell>
          <cell r="AQ1973">
            <v>0.25</v>
          </cell>
          <cell r="AR1973">
            <v>0.25</v>
          </cell>
          <cell r="AS1973">
            <v>0.25</v>
          </cell>
          <cell r="AT1973">
            <v>-0.04</v>
          </cell>
          <cell r="AU1973">
            <v>0.92</v>
          </cell>
          <cell r="AV1973">
            <v>20</v>
          </cell>
          <cell r="AY1973" t="str">
            <v/>
          </cell>
          <cell r="AZ1973">
            <v>0.25</v>
          </cell>
          <cell r="BA1973">
            <v>0.25</v>
          </cell>
        </row>
        <row r="1974">
          <cell r="A1974" t="str">
            <v>PRIMAMANO S.R.L.</v>
          </cell>
          <cell r="D1974" t="str">
            <v>VIA PESCHIERA, 37</v>
          </cell>
          <cell r="E1974">
            <v>46040</v>
          </cell>
          <cell r="F1974" t="str">
            <v>PONTI SUL MINCIO</v>
          </cell>
          <cell r="G1974" t="str">
            <v>MN</v>
          </cell>
          <cell r="H1974" t="str">
            <v>ITALIA</v>
          </cell>
          <cell r="I1974" t="str">
            <v>02484790205</v>
          </cell>
          <cell r="J1974" t="str">
            <v>02484790205</v>
          </cell>
          <cell r="M1974" t="str">
            <v>UFFICIO ACQUISTI</v>
          </cell>
          <cell r="N1974" t="str">
            <v>0376 8861429</v>
          </cell>
          <cell r="P1974" t="str">
            <v>info@primamano.eu</v>
          </cell>
          <cell r="R1974" t="str">
            <v>BONIFICO BANCARIO, ALLA DATA DELLA NOSTRA CONFERMA D'ORDINE</v>
          </cell>
          <cell r="X1974">
            <v>0.25</v>
          </cell>
          <cell r="Y1974">
            <v>-0.04</v>
          </cell>
          <cell r="AB1974">
            <v>0.25</v>
          </cell>
          <cell r="AC1974">
            <v>0.25</v>
          </cell>
          <cell r="AD1974">
            <v>0.25</v>
          </cell>
          <cell r="AE1974">
            <v>0.25</v>
          </cell>
          <cell r="AF1974">
            <v>0.25</v>
          </cell>
          <cell r="AG1974">
            <v>0.25</v>
          </cell>
          <cell r="AH1974">
            <v>0.25</v>
          </cell>
          <cell r="AI1974">
            <v>0.25</v>
          </cell>
          <cell r="AJ1974">
            <v>0.25</v>
          </cell>
          <cell r="AK1974">
            <v>0.25</v>
          </cell>
          <cell r="AL1974">
            <v>0.25</v>
          </cell>
          <cell r="AM1974">
            <v>0.25</v>
          </cell>
          <cell r="AN1974">
            <v>0.25</v>
          </cell>
          <cell r="AO1974">
            <v>0.25</v>
          </cell>
          <cell r="AP1974">
            <v>0.25</v>
          </cell>
          <cell r="AQ1974">
            <v>0.25</v>
          </cell>
          <cell r="AR1974">
            <v>0.25</v>
          </cell>
          <cell r="AS1974">
            <v>0.25</v>
          </cell>
          <cell r="AT1974">
            <v>-0.04</v>
          </cell>
          <cell r="AU1974">
            <v>0.92</v>
          </cell>
          <cell r="AV1974">
            <v>20</v>
          </cell>
          <cell r="AY1974" t="str">
            <v/>
          </cell>
          <cell r="AZ1974">
            <v>0.25</v>
          </cell>
          <cell r="BA1974">
            <v>0.25</v>
          </cell>
        </row>
        <row r="1975">
          <cell r="A1975" t="str">
            <v>PRINCIPI SNC</v>
          </cell>
          <cell r="D1975" t="str">
            <v>VIA E.MATTEI ( ZONA INDUSTRIALE)</v>
          </cell>
          <cell r="E1975">
            <v>62014</v>
          </cell>
          <cell r="F1975" t="str">
            <v>CORRIDONIA</v>
          </cell>
          <cell r="G1975" t="str">
            <v>MC</v>
          </cell>
          <cell r="H1975" t="str">
            <v>ITALIA</v>
          </cell>
          <cell r="I1975" t="str">
            <v>00321290439</v>
          </cell>
          <cell r="J1975" t="str">
            <v>00321290439</v>
          </cell>
          <cell r="M1975" t="str">
            <v>UFFICIO ACQUISTI</v>
          </cell>
          <cell r="N1975" t="str">
            <v>0733 292027</v>
          </cell>
          <cell r="P1975" t="str">
            <v>principisnc@libero.it</v>
          </cell>
          <cell r="R1975" t="str">
            <v>BONIFICO BANCARIO, ALLA DATA DELLA NOSTRA CONFERMA D'ORDINE</v>
          </cell>
          <cell r="X1975">
            <v>0.25</v>
          </cell>
          <cell r="Y1975">
            <v>-0.04</v>
          </cell>
          <cell r="AB1975">
            <v>0.25</v>
          </cell>
          <cell r="AC1975">
            <v>0.25</v>
          </cell>
          <cell r="AD1975">
            <v>0.25</v>
          </cell>
          <cell r="AE1975">
            <v>0.25</v>
          </cell>
          <cell r="AF1975">
            <v>0.25</v>
          </cell>
          <cell r="AG1975">
            <v>0.25</v>
          </cell>
          <cell r="AH1975">
            <v>0.25</v>
          </cell>
          <cell r="AI1975">
            <v>0.25</v>
          </cell>
          <cell r="AJ1975">
            <v>0.25</v>
          </cell>
          <cell r="AK1975">
            <v>0.25</v>
          </cell>
          <cell r="AL1975">
            <v>0.25</v>
          </cell>
          <cell r="AM1975">
            <v>0.25</v>
          </cell>
          <cell r="AN1975">
            <v>0.25</v>
          </cell>
          <cell r="AO1975">
            <v>0.25</v>
          </cell>
          <cell r="AP1975">
            <v>0.25</v>
          </cell>
          <cell r="AQ1975">
            <v>0.25</v>
          </cell>
          <cell r="AR1975">
            <v>0.25</v>
          </cell>
          <cell r="AS1975">
            <v>0.25</v>
          </cell>
          <cell r="AT1975">
            <v>-0.04</v>
          </cell>
          <cell r="AU1975">
            <v>0.92</v>
          </cell>
          <cell r="AV1975">
            <v>20</v>
          </cell>
          <cell r="AZ1975">
            <v>0.25</v>
          </cell>
          <cell r="BA1975">
            <v>0.25</v>
          </cell>
        </row>
        <row r="1976">
          <cell r="A1976" t="str">
            <v xml:space="preserve">PRISMA SERRAMENTI </v>
          </cell>
          <cell r="B1976" t="str">
            <v>ROBERTO DTRACCIA, TEST WEB IMMAGINI REALIZZAZIONI PROMOZIONE. MALESYA E RUSSIA. 30/03/23 MANDATA MAIL</v>
          </cell>
          <cell r="D1976" t="str">
            <v>VIA MONTEGRAPPA 2</v>
          </cell>
          <cell r="F1976" t="str">
            <v>GROTTAMMARE</v>
          </cell>
          <cell r="G1976" t="str">
            <v>AP</v>
          </cell>
          <cell r="H1976" t="str">
            <v>ITALIA</v>
          </cell>
          <cell r="M1976" t="str">
            <v>SIG. STRACCIA</v>
          </cell>
          <cell r="N1976" t="str">
            <v>0735 735158</v>
          </cell>
          <cell r="P1976" t="str">
            <v>info@prismaserramenti.it</v>
          </cell>
          <cell r="R1976" t="str">
            <v>BONIFICO BANCARIO, ALLA DATA DELLA NOSTRA CONFERMA D'ORDINE</v>
          </cell>
          <cell r="X1976">
            <v>0.25</v>
          </cell>
          <cell r="Y1976">
            <v>-0.04</v>
          </cell>
          <cell r="AB1976">
            <v>0.25</v>
          </cell>
          <cell r="AC1976">
            <v>0.25</v>
          </cell>
          <cell r="AD1976">
            <v>0.25</v>
          </cell>
          <cell r="AE1976">
            <v>0.25</v>
          </cell>
          <cell r="AF1976">
            <v>0.25</v>
          </cell>
          <cell r="AG1976">
            <v>0.25</v>
          </cell>
          <cell r="AH1976">
            <v>0.25</v>
          </cell>
          <cell r="AI1976">
            <v>0.25</v>
          </cell>
          <cell r="AJ1976">
            <v>0.25</v>
          </cell>
          <cell r="AK1976">
            <v>0.25</v>
          </cell>
          <cell r="AL1976">
            <v>0.25</v>
          </cell>
          <cell r="AM1976">
            <v>0.25</v>
          </cell>
          <cell r="AN1976">
            <v>0.25</v>
          </cell>
          <cell r="AO1976">
            <v>0.25</v>
          </cell>
          <cell r="AP1976">
            <v>0.25</v>
          </cell>
          <cell r="AQ1976">
            <v>0.25</v>
          </cell>
          <cell r="AR1976">
            <v>0.25</v>
          </cell>
          <cell r="AS1976">
            <v>0.25</v>
          </cell>
          <cell r="AT1976">
            <v>-0.04</v>
          </cell>
          <cell r="AU1976">
            <v>0.92</v>
          </cell>
          <cell r="AV1976">
            <v>20</v>
          </cell>
          <cell r="AY1976" t="str">
            <v/>
          </cell>
          <cell r="AZ1976">
            <v>0.25</v>
          </cell>
          <cell r="BA1976">
            <v>0.25</v>
          </cell>
        </row>
        <row r="1977">
          <cell r="A1977" t="str">
            <v>PRISMA SRL</v>
          </cell>
          <cell r="D1977" t="str">
            <v>CORSO GARIBALDI, 67</v>
          </cell>
          <cell r="E1977">
            <v>86170</v>
          </cell>
          <cell r="F1977" t="str">
            <v>ISERNIA</v>
          </cell>
          <cell r="G1977" t="str">
            <v>IS</v>
          </cell>
          <cell r="H1977" t="str">
            <v>ITALIA</v>
          </cell>
          <cell r="J1977" t="str">
            <v>06402601212</v>
          </cell>
          <cell r="K1977" t="str">
            <v>KRRH6B9</v>
          </cell>
          <cell r="L1977" t="str">
            <v>ZONA INDUSTRIALE AVERSA NORD -  TEVEROLA (CE)</v>
          </cell>
          <cell r="M1977" t="str">
            <v>UFFICIO ACQUISTI</v>
          </cell>
          <cell r="N1977" t="str">
            <v>081 8118831</v>
          </cell>
          <cell r="O1977" t="str">
            <v>335 1439001 CAPUANO GIULIANO</v>
          </cell>
          <cell r="P1977" t="str">
            <v>prisma@smarrazzo.it</v>
          </cell>
          <cell r="R1977" t="str">
            <v>BONIFICO BANCARIO, ALLA DATA DELLA NOSTRA CONFERMA D'ORDINE</v>
          </cell>
          <cell r="X1977">
            <v>0.2</v>
          </cell>
          <cell r="Y1977">
            <v>-0.04</v>
          </cell>
          <cell r="AB1977">
            <v>0.2</v>
          </cell>
          <cell r="AC1977">
            <v>0.2</v>
          </cell>
          <cell r="AD1977">
            <v>0.2</v>
          </cell>
          <cell r="AE1977">
            <v>0.2</v>
          </cell>
          <cell r="AF1977">
            <v>0.2</v>
          </cell>
          <cell r="AG1977">
            <v>0.2</v>
          </cell>
          <cell r="AH1977">
            <v>0.2</v>
          </cell>
          <cell r="AI1977">
            <v>0.2</v>
          </cell>
          <cell r="AJ1977">
            <v>0.2</v>
          </cell>
          <cell r="AK1977">
            <v>0.2</v>
          </cell>
          <cell r="AL1977">
            <v>0.2</v>
          </cell>
          <cell r="AM1977">
            <v>0.2</v>
          </cell>
          <cell r="AN1977">
            <v>0.2</v>
          </cell>
          <cell r="AO1977">
            <v>0.2</v>
          </cell>
          <cell r="AP1977">
            <v>0.2</v>
          </cell>
          <cell r="AQ1977">
            <v>0.2</v>
          </cell>
          <cell r="AR1977">
            <v>0.2</v>
          </cell>
          <cell r="AS1977">
            <v>0.2</v>
          </cell>
          <cell r="AT1977">
            <v>-0.04</v>
          </cell>
          <cell r="AU1977">
            <v>0.92</v>
          </cell>
          <cell r="AV1977">
            <v>20</v>
          </cell>
          <cell r="AZ1977">
            <v>0.2</v>
          </cell>
          <cell r="BA1977">
            <v>0.2</v>
          </cell>
        </row>
        <row r="1978">
          <cell r="A1978" t="str">
            <v>PRITONI SRL</v>
          </cell>
          <cell r="D1978" t="str">
            <v>VIA A MIARI 21</v>
          </cell>
          <cell r="E1978" t="str">
            <v>41034</v>
          </cell>
          <cell r="F1978" t="str">
            <v>FINALE EMILIA</v>
          </cell>
          <cell r="G1978" t="str">
            <v>MO</v>
          </cell>
          <cell r="H1978" t="str">
            <v>ITALIA</v>
          </cell>
          <cell r="J1978" t="str">
            <v>00699500369</v>
          </cell>
          <cell r="M1978" t="str">
            <v>UFFICIO ACQUISTI</v>
          </cell>
          <cell r="N1978" t="str">
            <v>0535 91900</v>
          </cell>
          <cell r="P1978" t="str">
            <v>pritonisrl@libero.it</v>
          </cell>
          <cell r="R1978" t="str">
            <v>BONIFICO BANCARIO, ALLA DATA DELLA NOSTRA CONFERMA D'ORDINE</v>
          </cell>
          <cell r="X1978">
            <v>0.25</v>
          </cell>
          <cell r="Y1978">
            <v>-0.04</v>
          </cell>
          <cell r="AB1978">
            <v>0.25</v>
          </cell>
          <cell r="AC1978">
            <v>0.25</v>
          </cell>
          <cell r="AD1978">
            <v>0.25</v>
          </cell>
          <cell r="AE1978">
            <v>0.25</v>
          </cell>
          <cell r="AF1978">
            <v>0.25</v>
          </cell>
          <cell r="AG1978">
            <v>0.25</v>
          </cell>
          <cell r="AH1978">
            <v>0.25</v>
          </cell>
          <cell r="AI1978">
            <v>0.25</v>
          </cell>
          <cell r="AJ1978">
            <v>0.25</v>
          </cell>
          <cell r="AK1978">
            <v>0.25</v>
          </cell>
          <cell r="AL1978">
            <v>0.25</v>
          </cell>
          <cell r="AM1978">
            <v>0.25</v>
          </cell>
          <cell r="AN1978">
            <v>0.25</v>
          </cell>
          <cell r="AO1978">
            <v>0.25</v>
          </cell>
          <cell r="AP1978">
            <v>0.25</v>
          </cell>
          <cell r="AQ1978">
            <v>0.25</v>
          </cell>
          <cell r="AR1978">
            <v>0.25</v>
          </cell>
          <cell r="AS1978">
            <v>0.25</v>
          </cell>
          <cell r="AT1978">
            <v>-0.04</v>
          </cell>
          <cell r="AU1978">
            <v>0.92</v>
          </cell>
          <cell r="AV1978">
            <v>20</v>
          </cell>
          <cell r="AY1978" t="str">
            <v/>
          </cell>
          <cell r="AZ1978">
            <v>0.25</v>
          </cell>
          <cell r="BA1978">
            <v>0.25</v>
          </cell>
        </row>
        <row r="1979">
          <cell r="A1979" t="str">
            <v>PRM DISTRIBUZIONE SRL</v>
          </cell>
          <cell r="D1979" t="str">
            <v>P.LE CANTONMONBELLO, 5</v>
          </cell>
          <cell r="E1979">
            <v>25121</v>
          </cell>
          <cell r="F1979" t="str">
            <v>BRESCIA</v>
          </cell>
          <cell r="G1979" t="str">
            <v>BS</v>
          </cell>
          <cell r="H1979" t="str">
            <v>ITALIA</v>
          </cell>
          <cell r="I1979" t="str">
            <v>02195960980</v>
          </cell>
          <cell r="J1979" t="str">
            <v>02195960980</v>
          </cell>
          <cell r="M1979" t="str">
            <v>UFFICIO ACQUISTI</v>
          </cell>
          <cell r="N1979" t="str">
            <v>030 2942461</v>
          </cell>
          <cell r="O1979" t="str">
            <v>Monica  Costioli 335 6145113</v>
          </cell>
          <cell r="P1979" t="str">
            <v>info@prmdistribuzione.it</v>
          </cell>
          <cell r="R1979" t="str">
            <v>BONIFICO BANCARIO, ALLA DATA DELLA NOSTRA CONFERMA D'ORDINE</v>
          </cell>
          <cell r="X1979">
            <v>0.25</v>
          </cell>
          <cell r="Y1979">
            <v>-0.04</v>
          </cell>
          <cell r="AB1979">
            <v>0.25</v>
          </cell>
          <cell r="AC1979">
            <v>0.25</v>
          </cell>
          <cell r="AD1979">
            <v>0.25</v>
          </cell>
          <cell r="AE1979">
            <v>0.25</v>
          </cell>
          <cell r="AF1979">
            <v>0.25</v>
          </cell>
          <cell r="AG1979">
            <v>0.25</v>
          </cell>
          <cell r="AH1979">
            <v>0.25</v>
          </cell>
          <cell r="AI1979">
            <v>0.25</v>
          </cell>
          <cell r="AJ1979">
            <v>0.25</v>
          </cell>
          <cell r="AK1979">
            <v>0.25</v>
          </cell>
          <cell r="AL1979">
            <v>0.25</v>
          </cell>
          <cell r="AM1979">
            <v>0.25</v>
          </cell>
          <cell r="AN1979">
            <v>0.25</v>
          </cell>
          <cell r="AO1979">
            <v>0.25</v>
          </cell>
          <cell r="AP1979">
            <v>0.25</v>
          </cell>
          <cell r="AQ1979">
            <v>0.25</v>
          </cell>
          <cell r="AR1979">
            <v>0.25</v>
          </cell>
          <cell r="AS1979">
            <v>0.25</v>
          </cell>
          <cell r="AT1979">
            <v>-0.04</v>
          </cell>
          <cell r="AU1979">
            <v>0.92</v>
          </cell>
          <cell r="AV1979">
            <v>20</v>
          </cell>
          <cell r="AZ1979">
            <v>0.25</v>
          </cell>
          <cell r="BA1979">
            <v>0.25</v>
          </cell>
        </row>
        <row r="1980">
          <cell r="A1980" t="str">
            <v xml:space="preserve">PRO CASA </v>
          </cell>
          <cell r="D1980" t="str">
            <v>VIALE CAMPARI 72</v>
          </cell>
          <cell r="E1980" t="str">
            <v>27100</v>
          </cell>
          <cell r="F1980" t="str">
            <v>PAVIA</v>
          </cell>
          <cell r="G1980" t="str">
            <v>PV</v>
          </cell>
          <cell r="H1980" t="str">
            <v>ITALIA</v>
          </cell>
          <cell r="M1980" t="str">
            <v>UFFICIO ACQUISTI</v>
          </cell>
          <cell r="N1980" t="str">
            <v>0382 310202</v>
          </cell>
          <cell r="O1980" t="str">
            <v>348 3888366</v>
          </cell>
          <cell r="R1980" t="str">
            <v>BONIFICO BANCARIO, ALLA DATA DELLA NOSTRA CONFERMA D'ORDINE</v>
          </cell>
          <cell r="X1980">
            <v>0.25</v>
          </cell>
          <cell r="Y1980">
            <v>-0.04</v>
          </cell>
          <cell r="AB1980">
            <v>0.25</v>
          </cell>
          <cell r="AC1980">
            <v>0.25</v>
          </cell>
          <cell r="AD1980">
            <v>0.25</v>
          </cell>
          <cell r="AE1980">
            <v>0.25</v>
          </cell>
          <cell r="AF1980">
            <v>0.25</v>
          </cell>
          <cell r="AG1980">
            <v>0.25</v>
          </cell>
          <cell r="AH1980">
            <v>0.25</v>
          </cell>
          <cell r="AI1980">
            <v>0.25</v>
          </cell>
          <cell r="AJ1980">
            <v>0.25</v>
          </cell>
          <cell r="AK1980">
            <v>0.25</v>
          </cell>
          <cell r="AL1980">
            <v>0.25</v>
          </cell>
          <cell r="AM1980">
            <v>0.25</v>
          </cell>
          <cell r="AN1980">
            <v>0.25</v>
          </cell>
          <cell r="AO1980">
            <v>0.25</v>
          </cell>
          <cell r="AP1980">
            <v>0.25</v>
          </cell>
          <cell r="AQ1980">
            <v>0.25</v>
          </cell>
          <cell r="AR1980">
            <v>0.25</v>
          </cell>
          <cell r="AS1980">
            <v>0.25</v>
          </cell>
          <cell r="AT1980">
            <v>-0.04</v>
          </cell>
          <cell r="AU1980">
            <v>0.92</v>
          </cell>
          <cell r="AV1980">
            <v>20</v>
          </cell>
          <cell r="AY1980" t="str">
            <v/>
          </cell>
          <cell r="AZ1980">
            <v>0.25</v>
          </cell>
          <cell r="BA1980">
            <v>0.25</v>
          </cell>
        </row>
        <row r="1981">
          <cell r="A1981" t="str">
            <v xml:space="preserve">PRODALFER </v>
          </cell>
          <cell r="D1981" t="str">
            <v>S.DA STATALE, 106 JONICA, STELLIA</v>
          </cell>
          <cell r="E1981">
            <v>80050</v>
          </cell>
          <cell r="F1981" t="str">
            <v>MARINA DI CZ.</v>
          </cell>
          <cell r="G1981" t="str">
            <v>CZ</v>
          </cell>
          <cell r="H1981" t="str">
            <v>ITALIA</v>
          </cell>
          <cell r="M1981" t="str">
            <v>UFFICIO ACQUISTI</v>
          </cell>
          <cell r="N1981" t="str">
            <v>0961 968485</v>
          </cell>
          <cell r="O1981" t="str">
            <v>Francesco Amelio 335 8373598</v>
          </cell>
          <cell r="P1981" t="str">
            <v>info@prodalfer.com</v>
          </cell>
          <cell r="R1981" t="str">
            <v>BONIFICO BANCARIO, ALLA DATA DELLA NOSTRA CONFERMA D'ORDINE</v>
          </cell>
          <cell r="X1981">
            <v>0.25</v>
          </cell>
          <cell r="Y1981">
            <v>-0.04</v>
          </cell>
          <cell r="AB1981">
            <v>0.25</v>
          </cell>
          <cell r="AC1981">
            <v>0.25</v>
          </cell>
          <cell r="AD1981">
            <v>0.25</v>
          </cell>
          <cell r="AE1981">
            <v>0.25</v>
          </cell>
          <cell r="AF1981">
            <v>0.25</v>
          </cell>
          <cell r="AG1981">
            <v>0.25</v>
          </cell>
          <cell r="AH1981">
            <v>0.25</v>
          </cell>
          <cell r="AI1981">
            <v>0.25</v>
          </cell>
          <cell r="AJ1981">
            <v>0.25</v>
          </cell>
          <cell r="AK1981">
            <v>0.25</v>
          </cell>
          <cell r="AL1981">
            <v>0.25</v>
          </cell>
          <cell r="AM1981">
            <v>0.25</v>
          </cell>
          <cell r="AN1981">
            <v>0.25</v>
          </cell>
          <cell r="AO1981">
            <v>0.25</v>
          </cell>
          <cell r="AP1981">
            <v>0.25</v>
          </cell>
          <cell r="AQ1981">
            <v>0.25</v>
          </cell>
          <cell r="AR1981">
            <v>0.25</v>
          </cell>
          <cell r="AS1981">
            <v>0.25</v>
          </cell>
          <cell r="AT1981">
            <v>-0.04</v>
          </cell>
          <cell r="AU1981">
            <v>0.92</v>
          </cell>
          <cell r="AV1981">
            <v>20</v>
          </cell>
          <cell r="AW1981" t="str">
            <v>PIETRO OLIVADOTI</v>
          </cell>
          <cell r="AX1981">
            <v>0.95</v>
          </cell>
          <cell r="AY1981" t="str">
            <v/>
          </cell>
          <cell r="AZ1981">
            <v>0.25</v>
          </cell>
          <cell r="BA1981">
            <v>0.25</v>
          </cell>
        </row>
        <row r="1982">
          <cell r="A1982" t="str">
            <v>PROFESSIONE ALLUMINIO DI DANIELE TONELLI</v>
          </cell>
          <cell r="D1982" t="str">
            <v>VIA CERRI, 39</v>
          </cell>
          <cell r="E1982">
            <v>54011</v>
          </cell>
          <cell r="F1982" t="str">
            <v>AULLA</v>
          </cell>
          <cell r="G1982" t="str">
            <v>MS</v>
          </cell>
          <cell r="H1982" t="str">
            <v>ITALIA</v>
          </cell>
          <cell r="I1982" t="str">
            <v>TNLDNL89A03D629M</v>
          </cell>
          <cell r="J1982" t="str">
            <v>01287500456</v>
          </cell>
          <cell r="K1982" t="str">
            <v>W7YVJK9</v>
          </cell>
          <cell r="M1982" t="str">
            <v>UFFICIO ACQUISTI</v>
          </cell>
          <cell r="N1982" t="str">
            <v>0187 421714</v>
          </cell>
          <cell r="O1982" t="str">
            <v>348 8568428</v>
          </cell>
          <cell r="P1982" t="str">
            <v>professionealluminio@gmail.com</v>
          </cell>
          <cell r="R1982" t="str">
            <v>BONIFICO BANCARIO, ALLA DATA DELLA NOSTRA CONFERMA D'ORDINE</v>
          </cell>
          <cell r="X1982">
            <v>0.25</v>
          </cell>
          <cell r="Y1982">
            <v>-0.04</v>
          </cell>
          <cell r="AB1982">
            <v>0.25</v>
          </cell>
          <cell r="AC1982">
            <v>0.25</v>
          </cell>
          <cell r="AD1982">
            <v>0.25</v>
          </cell>
          <cell r="AE1982">
            <v>0.25</v>
          </cell>
          <cell r="AF1982">
            <v>0.25</v>
          </cell>
          <cell r="AG1982">
            <v>0.25</v>
          </cell>
          <cell r="AH1982">
            <v>0.25</v>
          </cell>
          <cell r="AI1982">
            <v>0.25</v>
          </cell>
          <cell r="AJ1982">
            <v>0.25</v>
          </cell>
          <cell r="AK1982">
            <v>0.25</v>
          </cell>
          <cell r="AL1982">
            <v>0.25</v>
          </cell>
          <cell r="AM1982">
            <v>0.25</v>
          </cell>
          <cell r="AN1982">
            <v>0.25</v>
          </cell>
          <cell r="AO1982">
            <v>0.25</v>
          </cell>
          <cell r="AP1982">
            <v>0.25</v>
          </cell>
          <cell r="AQ1982">
            <v>0.25</v>
          </cell>
          <cell r="AR1982">
            <v>0.25</v>
          </cell>
          <cell r="AS1982">
            <v>0.25</v>
          </cell>
          <cell r="AT1982">
            <v>-0.04</v>
          </cell>
          <cell r="AU1982">
            <v>0.92</v>
          </cell>
          <cell r="AV1982">
            <v>20</v>
          </cell>
          <cell r="AY1982" t="str">
            <v/>
          </cell>
          <cell r="AZ1982">
            <v>0.25</v>
          </cell>
          <cell r="BA1982">
            <v>0.25</v>
          </cell>
          <cell r="BF1982" t="str">
            <v>CLICK RAPID con carpenteria 30/11/2020</v>
          </cell>
        </row>
        <row r="1983">
          <cell r="A1983" t="str">
            <v>PROGET</v>
          </cell>
          <cell r="D1983" t="str">
            <v>VIA A. ALEARDI 40</v>
          </cell>
          <cell r="E1983">
            <v>21013</v>
          </cell>
          <cell r="F1983" t="str">
            <v>GALLARATE</v>
          </cell>
          <cell r="G1983" t="str">
            <v>VA</v>
          </cell>
          <cell r="H1983" t="str">
            <v>ITALIA</v>
          </cell>
          <cell r="M1983" t="str">
            <v>UFFICIO ACQUISTI</v>
          </cell>
          <cell r="N1983" t="str">
            <v>0331 784051</v>
          </cell>
          <cell r="O1983" t="str">
            <v>349 6203690</v>
          </cell>
          <cell r="P1983" t="str">
            <v>info@biproget.com</v>
          </cell>
          <cell r="R1983" t="str">
            <v>BONIFICO BANCARIO, ALLA DATA DELLA NOSTRA CONFERMA D'ORDINE</v>
          </cell>
          <cell r="X1983">
            <v>0.25</v>
          </cell>
          <cell r="Y1983">
            <v>-0.04</v>
          </cell>
          <cell r="AB1983">
            <v>0.25</v>
          </cell>
          <cell r="AC1983">
            <v>0.25</v>
          </cell>
          <cell r="AD1983">
            <v>0.25</v>
          </cell>
          <cell r="AE1983">
            <v>0.25</v>
          </cell>
          <cell r="AF1983">
            <v>0.25</v>
          </cell>
          <cell r="AG1983">
            <v>0.25</v>
          </cell>
          <cell r="AH1983">
            <v>0.25</v>
          </cell>
          <cell r="AI1983">
            <v>0.25</v>
          </cell>
          <cell r="AJ1983">
            <v>0.25</v>
          </cell>
          <cell r="AK1983">
            <v>0.25</v>
          </cell>
          <cell r="AL1983">
            <v>0.25</v>
          </cell>
          <cell r="AM1983">
            <v>0.25</v>
          </cell>
          <cell r="AN1983">
            <v>0.25</v>
          </cell>
          <cell r="AO1983">
            <v>0.25</v>
          </cell>
          <cell r="AP1983">
            <v>0.25</v>
          </cell>
          <cell r="AQ1983">
            <v>0.25</v>
          </cell>
          <cell r="AR1983">
            <v>0.25</v>
          </cell>
          <cell r="AS1983">
            <v>0.25</v>
          </cell>
          <cell r="AT1983">
            <v>-0.04</v>
          </cell>
          <cell r="AU1983">
            <v>0.92</v>
          </cell>
          <cell r="AV1983">
            <v>20</v>
          </cell>
          <cell r="AY1983" t="str">
            <v/>
          </cell>
          <cell r="AZ1983">
            <v>0.25</v>
          </cell>
          <cell r="BA1983">
            <v>0.25</v>
          </cell>
        </row>
        <row r="1984">
          <cell r="A1984" t="str">
            <v>PROGETTO 18 S.R.L.</v>
          </cell>
          <cell r="D1984" t="str">
            <v>VIA LADINO, 18 B</v>
          </cell>
          <cell r="E1984">
            <v>44124</v>
          </cell>
          <cell r="F1984" t="str">
            <v>FERRARA</v>
          </cell>
          <cell r="G1984" t="str">
            <v>FE</v>
          </cell>
          <cell r="H1984" t="str">
            <v>ITALIA</v>
          </cell>
          <cell r="I1984" t="str">
            <v>01959780386</v>
          </cell>
          <cell r="J1984" t="str">
            <v>01959780386</v>
          </cell>
          <cell r="M1984" t="str">
            <v>UFFICIO ACQUISTI</v>
          </cell>
          <cell r="N1984" t="str">
            <v>0532 097751</v>
          </cell>
          <cell r="O1984" t="str">
            <v>346 9608472</v>
          </cell>
          <cell r="P1984" t="str">
            <v>info@progettodiciotto.it</v>
          </cell>
          <cell r="R1984" t="str">
            <v>BONIFICO BANCARIO, ALLA DATA DELLA NOSTRA CONFERMA D'ORDINE</v>
          </cell>
          <cell r="X1984">
            <v>0.25</v>
          </cell>
          <cell r="Y1984">
            <v>-0.04</v>
          </cell>
          <cell r="AB1984">
            <v>0.25</v>
          </cell>
          <cell r="AC1984">
            <v>0.25</v>
          </cell>
          <cell r="AD1984">
            <v>0.25</v>
          </cell>
          <cell r="AE1984">
            <v>0.25</v>
          </cell>
          <cell r="AF1984">
            <v>0.25</v>
          </cell>
          <cell r="AG1984">
            <v>0.25</v>
          </cell>
          <cell r="AH1984">
            <v>0.25</v>
          </cell>
          <cell r="AI1984">
            <v>0.25</v>
          </cell>
          <cell r="AJ1984">
            <v>0.25</v>
          </cell>
          <cell r="AK1984">
            <v>0.25</v>
          </cell>
          <cell r="AL1984">
            <v>0.25</v>
          </cell>
          <cell r="AM1984">
            <v>0.25</v>
          </cell>
          <cell r="AN1984">
            <v>0.25</v>
          </cell>
          <cell r="AO1984">
            <v>0.25</v>
          </cell>
          <cell r="AP1984">
            <v>0.25</v>
          </cell>
          <cell r="AQ1984">
            <v>0.25</v>
          </cell>
          <cell r="AR1984">
            <v>0.25</v>
          </cell>
          <cell r="AS1984">
            <v>0.25</v>
          </cell>
          <cell r="AT1984">
            <v>-0.04</v>
          </cell>
          <cell r="AU1984">
            <v>0.92</v>
          </cell>
          <cell r="AV1984">
            <v>20</v>
          </cell>
          <cell r="AY1984" t="str">
            <v/>
          </cell>
          <cell r="AZ1984">
            <v>0.25</v>
          </cell>
          <cell r="BA1984">
            <v>0.25</v>
          </cell>
        </row>
        <row r="1985">
          <cell r="A1985" t="str">
            <v xml:space="preserve">PROGETTO CASA SERRAMENTI </v>
          </cell>
          <cell r="D1985" t="str">
            <v>VIALE EUROPA, 35</v>
          </cell>
          <cell r="E1985" t="str">
            <v>53100</v>
          </cell>
          <cell r="F1985" t="str">
            <v>SIENA</v>
          </cell>
          <cell r="G1985" t="str">
            <v>SI</v>
          </cell>
          <cell r="H1985" t="str">
            <v>ITALIA</v>
          </cell>
          <cell r="M1985" t="str">
            <v>UFFICIO ACQUISTI</v>
          </cell>
          <cell r="N1985" t="str">
            <v>0577 601138</v>
          </cell>
          <cell r="O1985" t="str">
            <v>Angelo Razzolini 328 5983198</v>
          </cell>
          <cell r="P1985" t="str">
            <v>info@progettocasaserramenti.it</v>
          </cell>
          <cell r="R1985" t="str">
            <v>BONIFICO BANCARIO, ALLA DATA DELLA NOSTRA CONFERMA D'ORDINE</v>
          </cell>
          <cell r="X1985">
            <v>0.25</v>
          </cell>
          <cell r="Y1985">
            <v>-0.04</v>
          </cell>
          <cell r="AB1985">
            <v>0.25</v>
          </cell>
          <cell r="AC1985">
            <v>0.25</v>
          </cell>
          <cell r="AD1985">
            <v>0.25</v>
          </cell>
          <cell r="AE1985">
            <v>0.25</v>
          </cell>
          <cell r="AF1985">
            <v>0.25</v>
          </cell>
          <cell r="AG1985">
            <v>0.25</v>
          </cell>
          <cell r="AH1985">
            <v>0.25</v>
          </cell>
          <cell r="AI1985">
            <v>0.25</v>
          </cell>
          <cell r="AJ1985">
            <v>0.25</v>
          </cell>
          <cell r="AK1985">
            <v>0.25</v>
          </cell>
          <cell r="AL1985">
            <v>0.25</v>
          </cell>
          <cell r="AM1985">
            <v>0.25</v>
          </cell>
          <cell r="AN1985">
            <v>0.25</v>
          </cell>
          <cell r="AO1985">
            <v>0.25</v>
          </cell>
          <cell r="AP1985">
            <v>0.25</v>
          </cell>
          <cell r="AQ1985">
            <v>0.25</v>
          </cell>
          <cell r="AR1985">
            <v>0.25</v>
          </cell>
          <cell r="AS1985">
            <v>0.25</v>
          </cell>
          <cell r="AT1985">
            <v>-0.04</v>
          </cell>
          <cell r="AU1985">
            <v>0.92</v>
          </cell>
          <cell r="AV1985">
            <v>20</v>
          </cell>
          <cell r="AY1985" t="str">
            <v/>
          </cell>
          <cell r="AZ1985">
            <v>0.25</v>
          </cell>
          <cell r="BA1985">
            <v>0.25</v>
          </cell>
        </row>
        <row r="1986">
          <cell r="A1986" t="str">
            <v xml:space="preserve">PROGETTO CASA SERRAMENTI E PORTE </v>
          </cell>
          <cell r="B1986" t="str">
            <v>VORREBBE DIVENTARE RIVENDITORE CON L'ESPOSITORE NE DISCUTERA' CON IL SUOCERO  MP</v>
          </cell>
          <cell r="D1986" t="str">
            <v>LUNGOMARE DI PEGLI,  IIIR</v>
          </cell>
          <cell r="E1986">
            <v>16155</v>
          </cell>
          <cell r="F1986" t="str">
            <v>GENOVA</v>
          </cell>
          <cell r="G1986" t="str">
            <v>GE</v>
          </cell>
          <cell r="H1986" t="str">
            <v>ITALIA</v>
          </cell>
          <cell r="I1986" t="str">
            <v>CVLMCT70L44F902B</v>
          </cell>
          <cell r="J1986" t="str">
            <v>02439450996</v>
          </cell>
          <cell r="M1986" t="str">
            <v>UFFICIO ACQUISTI</v>
          </cell>
          <cell r="N1986" t="str">
            <v>010 8540630</v>
          </cell>
          <cell r="O1986" t="str">
            <v>348 1537453</v>
          </cell>
          <cell r="P1986" t="str">
            <v>info@progettocasaserramentieporte.it</v>
          </cell>
          <cell r="R1986" t="str">
            <v>BONIFICO BANCARIO, ALLA DATA DELLA NOSTRA CONFERMA D'ORDINE</v>
          </cell>
          <cell r="X1986">
            <v>0.25</v>
          </cell>
          <cell r="Y1986">
            <v>-0.04</v>
          </cell>
          <cell r="AB1986">
            <v>0.25</v>
          </cell>
          <cell r="AC1986">
            <v>0.25</v>
          </cell>
          <cell r="AD1986">
            <v>0.25</v>
          </cell>
          <cell r="AE1986">
            <v>0.25</v>
          </cell>
          <cell r="AF1986">
            <v>0.25</v>
          </cell>
          <cell r="AG1986">
            <v>0.25</v>
          </cell>
          <cell r="AH1986">
            <v>0.25</v>
          </cell>
          <cell r="AI1986">
            <v>0.25</v>
          </cell>
          <cell r="AJ1986">
            <v>0.25</v>
          </cell>
          <cell r="AK1986">
            <v>0.25</v>
          </cell>
          <cell r="AL1986">
            <v>0.25</v>
          </cell>
          <cell r="AM1986">
            <v>0.25</v>
          </cell>
          <cell r="AN1986">
            <v>0.25</v>
          </cell>
          <cell r="AO1986">
            <v>0.25</v>
          </cell>
          <cell r="AP1986">
            <v>0.25</v>
          </cell>
          <cell r="AQ1986">
            <v>0.25</v>
          </cell>
          <cell r="AR1986">
            <v>0.25</v>
          </cell>
          <cell r="AS1986">
            <v>0.25</v>
          </cell>
          <cell r="AT1986">
            <v>-0.04</v>
          </cell>
          <cell r="AU1986">
            <v>0.92</v>
          </cell>
          <cell r="AV1986">
            <v>20</v>
          </cell>
          <cell r="AY1986" t="str">
            <v/>
          </cell>
          <cell r="AZ1986">
            <v>0.25</v>
          </cell>
          <cell r="BA1986">
            <v>0.25</v>
          </cell>
        </row>
        <row r="1987">
          <cell r="A1987" t="str">
            <v>PROGETTO INFISSI</v>
          </cell>
          <cell r="D1987" t="str">
            <v>S.P.66 MOLA-CONVERSANO 20/A</v>
          </cell>
          <cell r="E1987">
            <v>70042</v>
          </cell>
          <cell r="F1987" t="str">
            <v>MOLA DI BARI</v>
          </cell>
          <cell r="G1987" t="str">
            <v>BA</v>
          </cell>
          <cell r="H1987" t="str">
            <v>ITALIA</v>
          </cell>
          <cell r="J1987" t="str">
            <v>07000150727</v>
          </cell>
          <cell r="M1987" t="str">
            <v>UFFICIO ACQUISTI</v>
          </cell>
          <cell r="N1987" t="str">
            <v>080 4736174</v>
          </cell>
          <cell r="O1987" t="str">
            <v>338 8483457</v>
          </cell>
          <cell r="P1987" t="str">
            <v>progettoinfissimola@libero.it</v>
          </cell>
          <cell r="R1987" t="str">
            <v>BONIFICO BANCARIO, ALLA DATA DELLA NOSTRA CONFERMA D'ORDINE</v>
          </cell>
          <cell r="X1987">
            <v>0.25</v>
          </cell>
          <cell r="Y1987">
            <v>-0.04</v>
          </cell>
          <cell r="AB1987">
            <v>0.25</v>
          </cell>
          <cell r="AC1987">
            <v>0.25</v>
          </cell>
          <cell r="AD1987">
            <v>0.25</v>
          </cell>
          <cell r="AE1987">
            <v>0.25</v>
          </cell>
          <cell r="AF1987">
            <v>0.25</v>
          </cell>
          <cell r="AG1987">
            <v>0.25</v>
          </cell>
          <cell r="AH1987">
            <v>0.25</v>
          </cell>
          <cell r="AI1987">
            <v>0.25</v>
          </cell>
          <cell r="AJ1987">
            <v>0.25</v>
          </cell>
          <cell r="AK1987">
            <v>0.25</v>
          </cell>
          <cell r="AL1987">
            <v>0.25</v>
          </cell>
          <cell r="AM1987">
            <v>0.25</v>
          </cell>
          <cell r="AN1987">
            <v>0.25</v>
          </cell>
          <cell r="AO1987">
            <v>0.25</v>
          </cell>
          <cell r="AP1987">
            <v>0.25</v>
          </cell>
          <cell r="AQ1987">
            <v>0.25</v>
          </cell>
          <cell r="AR1987">
            <v>0.25</v>
          </cell>
          <cell r="AS1987">
            <v>0.25</v>
          </cell>
          <cell r="AT1987">
            <v>-0.04</v>
          </cell>
          <cell r="AU1987">
            <v>0.92</v>
          </cell>
          <cell r="AV1987">
            <v>20</v>
          </cell>
          <cell r="AY1987" t="str">
            <v/>
          </cell>
          <cell r="AZ1987">
            <v>0.25</v>
          </cell>
          <cell r="BA1987">
            <v>0.25</v>
          </cell>
        </row>
        <row r="1988">
          <cell r="A1988" t="str">
            <v>PROGETTO INFISSI</v>
          </cell>
          <cell r="D1988" t="str">
            <v>CORSO CAVOUR, 17</v>
          </cell>
          <cell r="E1988">
            <v>27029</v>
          </cell>
          <cell r="F1988" t="str">
            <v>VIGEVANO</v>
          </cell>
          <cell r="G1988" t="str">
            <v>PV</v>
          </cell>
          <cell r="H1988" t="str">
            <v>ITALIA</v>
          </cell>
          <cell r="J1988" t="str">
            <v>02255000180</v>
          </cell>
          <cell r="M1988" t="str">
            <v>UFFICIO ACQUISTI</v>
          </cell>
          <cell r="N1988" t="str">
            <v>0381 75700</v>
          </cell>
          <cell r="O1988" t="str">
            <v>338 7151873</v>
          </cell>
          <cell r="P1988" t="str">
            <v>info@rosellinfissi.it</v>
          </cell>
          <cell r="R1988" t="str">
            <v>BONIFICO BANCARIO, ALLA DATA DELLA NOSTRA CONFERMA D'ORDINE</v>
          </cell>
          <cell r="X1988">
            <v>0.25</v>
          </cell>
          <cell r="Y1988">
            <v>-0.04</v>
          </cell>
          <cell r="AB1988">
            <v>0.25</v>
          </cell>
          <cell r="AC1988">
            <v>0.25</v>
          </cell>
          <cell r="AD1988">
            <v>0.25</v>
          </cell>
          <cell r="AE1988">
            <v>0.25</v>
          </cell>
          <cell r="AF1988">
            <v>0.25</v>
          </cell>
          <cell r="AG1988">
            <v>0.25</v>
          </cell>
          <cell r="AH1988">
            <v>0.25</v>
          </cell>
          <cell r="AI1988">
            <v>0.25</v>
          </cell>
          <cell r="AJ1988">
            <v>0.25</v>
          </cell>
          <cell r="AK1988">
            <v>0.25</v>
          </cell>
          <cell r="AL1988">
            <v>0.25</v>
          </cell>
          <cell r="AM1988">
            <v>0.25</v>
          </cell>
          <cell r="AN1988">
            <v>0.25</v>
          </cell>
          <cell r="AO1988">
            <v>0.25</v>
          </cell>
          <cell r="AP1988">
            <v>0.25</v>
          </cell>
          <cell r="AQ1988">
            <v>0.25</v>
          </cell>
          <cell r="AR1988">
            <v>0.25</v>
          </cell>
          <cell r="AS1988">
            <v>0.25</v>
          </cell>
          <cell r="AT1988">
            <v>-0.04</v>
          </cell>
          <cell r="AU1988">
            <v>0.92</v>
          </cell>
          <cell r="AV1988">
            <v>20</v>
          </cell>
          <cell r="AY1988" t="str">
            <v/>
          </cell>
          <cell r="AZ1988">
            <v>0.25</v>
          </cell>
          <cell r="BA1988">
            <v>0.25</v>
          </cell>
        </row>
        <row r="1989">
          <cell r="A1989" t="str">
            <v>PROGETTO INFISSI DI STEFANO MASSARENTI</v>
          </cell>
          <cell r="D1989" t="str">
            <v>VIA CARDUCCI, 42</v>
          </cell>
          <cell r="E1989" t="str">
            <v>04011</v>
          </cell>
          <cell r="F1989" t="str">
            <v>APRILIA</v>
          </cell>
          <cell r="G1989" t="str">
            <v>LT</v>
          </cell>
          <cell r="H1989" t="str">
            <v>ITALIA</v>
          </cell>
          <cell r="M1989" t="str">
            <v>UFFICIO ACQUISTI</v>
          </cell>
          <cell r="N1989" t="str">
            <v>06 92704568</v>
          </cell>
          <cell r="O1989" t="str">
            <v>324 9597784</v>
          </cell>
          <cell r="P1989" t="str">
            <v>progetto.infissi@virgilio.it</v>
          </cell>
          <cell r="R1989" t="str">
            <v>BONIFICO BANCARIO, ALLA DATA DELLA NOSTRA CONFERMA D'ORDINE</v>
          </cell>
          <cell r="X1989">
            <v>0.2</v>
          </cell>
          <cell r="Y1989">
            <v>-0.04</v>
          </cell>
          <cell r="AB1989">
            <v>0.2</v>
          </cell>
          <cell r="AC1989">
            <v>0.2</v>
          </cell>
          <cell r="AD1989">
            <v>0.2</v>
          </cell>
          <cell r="AE1989">
            <v>0.2</v>
          </cell>
          <cell r="AF1989">
            <v>0.2</v>
          </cell>
          <cell r="AG1989">
            <v>0.2</v>
          </cell>
          <cell r="AH1989">
            <v>0.2</v>
          </cell>
          <cell r="AI1989">
            <v>0.2</v>
          </cell>
          <cell r="AJ1989">
            <v>0.2</v>
          </cell>
          <cell r="AK1989">
            <v>0.2</v>
          </cell>
          <cell r="AL1989">
            <v>0.2</v>
          </cell>
          <cell r="AM1989">
            <v>0.2</v>
          </cell>
          <cell r="AN1989">
            <v>0.2</v>
          </cell>
          <cell r="AO1989">
            <v>0.2</v>
          </cell>
          <cell r="AP1989">
            <v>0.2</v>
          </cell>
          <cell r="AQ1989">
            <v>0.2</v>
          </cell>
          <cell r="AR1989">
            <v>0.2</v>
          </cell>
          <cell r="AS1989">
            <v>0.2</v>
          </cell>
          <cell r="AT1989">
            <v>-0.04</v>
          </cell>
          <cell r="AU1989">
            <v>0.92</v>
          </cell>
          <cell r="AV1989">
            <v>20</v>
          </cell>
          <cell r="AZ1989">
            <v>0.2</v>
          </cell>
          <cell r="BA1989">
            <v>0.2</v>
          </cell>
        </row>
        <row r="1990">
          <cell r="A1990" t="str">
            <v>PROGETTO INFISSI INTERIORDESIGN SRL</v>
          </cell>
          <cell r="D1990" t="str">
            <v>VIALE SAN DOMENICO, 57</v>
          </cell>
          <cell r="E1990" t="str">
            <v>03039</v>
          </cell>
          <cell r="F1990" t="str">
            <v>SORA</v>
          </cell>
          <cell r="G1990" t="str">
            <v>FR</v>
          </cell>
          <cell r="H1990" t="str">
            <v>ITALIA</v>
          </cell>
          <cell r="M1990" t="str">
            <v>UFFICIO ACQUISTI</v>
          </cell>
          <cell r="N1990" t="str">
            <v>076 813300</v>
          </cell>
          <cell r="O1990" t="str">
            <v>348 7614930</v>
          </cell>
          <cell r="P1990" t="str">
            <v>proit@hotmail.it</v>
          </cell>
          <cell r="R1990" t="str">
            <v>BONIFICO BANCARIO, ALLA DATA DELLA NOSTRA CONFERMA D'ORDINE</v>
          </cell>
          <cell r="X1990">
            <v>0.25</v>
          </cell>
          <cell r="Y1990">
            <v>-0.04</v>
          </cell>
          <cell r="AB1990">
            <v>0.25</v>
          </cell>
          <cell r="AC1990">
            <v>0.25</v>
          </cell>
          <cell r="AD1990">
            <v>0.25</v>
          </cell>
          <cell r="AE1990">
            <v>0.25</v>
          </cell>
          <cell r="AF1990">
            <v>0.25</v>
          </cell>
          <cell r="AG1990">
            <v>0.25</v>
          </cell>
          <cell r="AH1990">
            <v>0.25</v>
          </cell>
          <cell r="AI1990">
            <v>0.25</v>
          </cell>
          <cell r="AJ1990">
            <v>0.25</v>
          </cell>
          <cell r="AK1990">
            <v>0.25</v>
          </cell>
          <cell r="AL1990">
            <v>0.25</v>
          </cell>
          <cell r="AM1990">
            <v>0.25</v>
          </cell>
          <cell r="AN1990">
            <v>0.25</v>
          </cell>
          <cell r="AO1990">
            <v>0.25</v>
          </cell>
          <cell r="AP1990">
            <v>0.25</v>
          </cell>
          <cell r="AQ1990">
            <v>0.25</v>
          </cell>
          <cell r="AR1990">
            <v>0.25</v>
          </cell>
          <cell r="AS1990">
            <v>0.25</v>
          </cell>
          <cell r="AT1990">
            <v>-0.04</v>
          </cell>
          <cell r="AU1990">
            <v>0.92</v>
          </cell>
          <cell r="AV1990">
            <v>20</v>
          </cell>
          <cell r="AZ1990">
            <v>0.25</v>
          </cell>
          <cell r="BA1990">
            <v>0.25</v>
          </cell>
        </row>
        <row r="1991">
          <cell r="A1991" t="str">
            <v>PROGETTO INFISSI S.A.S.</v>
          </cell>
          <cell r="B1991" t="str">
            <v>232,6 X 40 PREVENTIVO</v>
          </cell>
          <cell r="D1991" t="str">
            <v>S.P.66 MOLA CONVERSANO, 20 A</v>
          </cell>
          <cell r="E1991">
            <v>70042</v>
          </cell>
          <cell r="F1991" t="str">
            <v>MOLA DI BARI</v>
          </cell>
          <cell r="G1991" t="str">
            <v>BA</v>
          </cell>
          <cell r="H1991" t="str">
            <v>ITALIA</v>
          </cell>
          <cell r="I1991" t="str">
            <v>07000150727</v>
          </cell>
          <cell r="J1991" t="str">
            <v>07000150727</v>
          </cell>
          <cell r="M1991" t="str">
            <v>UFFICIO ACQUISTI</v>
          </cell>
          <cell r="N1991" t="str">
            <v>080 4736174</v>
          </cell>
          <cell r="O1991" t="str">
            <v>338 8483457    340 6784428</v>
          </cell>
          <cell r="P1991" t="str">
            <v>progettoinfissimola@libero.it</v>
          </cell>
          <cell r="R1991" t="str">
            <v>BONIFICO BANCARIO, ALLA DATA DELLA NOSTRA CONFERMA D'ORDINE</v>
          </cell>
          <cell r="X1991">
            <v>0.25</v>
          </cell>
          <cell r="Y1991">
            <v>-0.04</v>
          </cell>
          <cell r="AB1991">
            <v>0.25</v>
          </cell>
          <cell r="AC1991">
            <v>0.25</v>
          </cell>
          <cell r="AD1991">
            <v>0.25</v>
          </cell>
          <cell r="AE1991">
            <v>0.25</v>
          </cell>
          <cell r="AF1991">
            <v>0.25</v>
          </cell>
          <cell r="AG1991">
            <v>0.25</v>
          </cell>
          <cell r="AH1991">
            <v>0.25</v>
          </cell>
          <cell r="AI1991">
            <v>0.25</v>
          </cell>
          <cell r="AJ1991">
            <v>0.25</v>
          </cell>
          <cell r="AK1991">
            <v>0.25</v>
          </cell>
          <cell r="AL1991">
            <v>0.25</v>
          </cell>
          <cell r="AM1991">
            <v>0.25</v>
          </cell>
          <cell r="AN1991">
            <v>0.25</v>
          </cell>
          <cell r="AO1991">
            <v>0.25</v>
          </cell>
          <cell r="AP1991">
            <v>0.25</v>
          </cell>
          <cell r="AQ1991">
            <v>0.25</v>
          </cell>
          <cell r="AR1991">
            <v>0.25</v>
          </cell>
          <cell r="AS1991">
            <v>0.25</v>
          </cell>
          <cell r="AT1991">
            <v>-0.04</v>
          </cell>
          <cell r="AU1991">
            <v>0.92</v>
          </cell>
          <cell r="AV1991">
            <v>20</v>
          </cell>
          <cell r="AY1991" t="str">
            <v/>
          </cell>
          <cell r="AZ1991">
            <v>0.25</v>
          </cell>
          <cell r="BA1991">
            <v>0.25</v>
          </cell>
        </row>
        <row r="1992">
          <cell r="A1992" t="str">
            <v xml:space="preserve">PROGETTO LEGNO </v>
          </cell>
          <cell r="D1992" t="str">
            <v>VIA LANGHE, 39</v>
          </cell>
          <cell r="E1992">
            <v>12084</v>
          </cell>
          <cell r="F1992" t="str">
            <v>MONDOVI'</v>
          </cell>
          <cell r="G1992" t="str">
            <v>CN</v>
          </cell>
          <cell r="H1992" t="str">
            <v>ITALIA</v>
          </cell>
          <cell r="M1992" t="str">
            <v>UFFICIO ACQUISTI</v>
          </cell>
          <cell r="O1992" t="str">
            <v>348 3204669</v>
          </cell>
          <cell r="P1992" t="str">
            <v>giancarlo.avagnina@hotmail.it</v>
          </cell>
          <cell r="R1992" t="str">
            <v>BONIFICO BANCARIO, ALLA DATA DELLA NOSTRA CONFERMA D'ORDINE</v>
          </cell>
          <cell r="X1992">
            <v>0.25</v>
          </cell>
          <cell r="Y1992">
            <v>-0.04</v>
          </cell>
          <cell r="AB1992">
            <v>0.25</v>
          </cell>
          <cell r="AC1992">
            <v>0.25</v>
          </cell>
          <cell r="AD1992">
            <v>0.25</v>
          </cell>
          <cell r="AE1992">
            <v>0.25</v>
          </cell>
          <cell r="AF1992">
            <v>0.25</v>
          </cell>
          <cell r="AG1992">
            <v>0.25</v>
          </cell>
          <cell r="AH1992">
            <v>0.25</v>
          </cell>
          <cell r="AI1992">
            <v>0.25</v>
          </cell>
          <cell r="AJ1992">
            <v>0.25</v>
          </cell>
          <cell r="AK1992">
            <v>0.25</v>
          </cell>
          <cell r="AL1992">
            <v>0.25</v>
          </cell>
          <cell r="AM1992">
            <v>0.25</v>
          </cell>
          <cell r="AN1992">
            <v>0.25</v>
          </cell>
          <cell r="AO1992">
            <v>0.25</v>
          </cell>
          <cell r="AP1992">
            <v>0.25</v>
          </cell>
          <cell r="AQ1992">
            <v>0.25</v>
          </cell>
          <cell r="AR1992">
            <v>0.25</v>
          </cell>
          <cell r="AS1992">
            <v>0.25</v>
          </cell>
          <cell r="AT1992">
            <v>-0.04</v>
          </cell>
          <cell r="AU1992">
            <v>0.92</v>
          </cell>
          <cell r="AV1992">
            <v>20</v>
          </cell>
          <cell r="AY1992" t="str">
            <v/>
          </cell>
          <cell r="AZ1992">
            <v>0.25</v>
          </cell>
          <cell r="BA1992">
            <v>0.25</v>
          </cell>
        </row>
        <row r="1993">
          <cell r="A1993" t="str">
            <v>PROGETTO LEGNO SAS</v>
          </cell>
          <cell r="D1993" t="str">
            <v>SPALTO BORGOGLIO, 68</v>
          </cell>
          <cell r="E1993" t="str">
            <v>15121</v>
          </cell>
          <cell r="F1993" t="str">
            <v>ALESSANDRIA</v>
          </cell>
          <cell r="G1993" t="str">
            <v>AL</v>
          </cell>
          <cell r="H1993" t="str">
            <v>ITALIA</v>
          </cell>
          <cell r="J1993" t="str">
            <v>02062160060</v>
          </cell>
          <cell r="M1993" t="str">
            <v>UFFICIO ACQUISTI</v>
          </cell>
          <cell r="N1993" t="str">
            <v>0131 261651</v>
          </cell>
          <cell r="O1993" t="str">
            <v>335 1277291</v>
          </cell>
          <cell r="P1993" t="str">
            <v>progetto-legno@tiscali.it</v>
          </cell>
          <cell r="R1993" t="str">
            <v>BONIFICO BANCARIO, ALLA DATA DELLA NOSTRA CONFERMA D'ORDINE</v>
          </cell>
          <cell r="X1993">
            <v>0.25</v>
          </cell>
          <cell r="Y1993">
            <v>-0.04</v>
          </cell>
          <cell r="AB1993">
            <v>0.25</v>
          </cell>
          <cell r="AC1993">
            <v>0.25</v>
          </cell>
          <cell r="AD1993">
            <v>0.25</v>
          </cell>
          <cell r="AE1993">
            <v>0.25</v>
          </cell>
          <cell r="AF1993">
            <v>0.25</v>
          </cell>
          <cell r="AG1993">
            <v>0.25</v>
          </cell>
          <cell r="AH1993">
            <v>0.25</v>
          </cell>
          <cell r="AI1993">
            <v>0.25</v>
          </cell>
          <cell r="AJ1993">
            <v>0.25</v>
          </cell>
          <cell r="AK1993">
            <v>0.25</v>
          </cell>
          <cell r="AL1993">
            <v>0.25</v>
          </cell>
          <cell r="AM1993">
            <v>0.25</v>
          </cell>
          <cell r="AN1993">
            <v>0.25</v>
          </cell>
          <cell r="AO1993">
            <v>0.25</v>
          </cell>
          <cell r="AP1993">
            <v>0.25</v>
          </cell>
          <cell r="AQ1993">
            <v>0.25</v>
          </cell>
          <cell r="AR1993">
            <v>0.25</v>
          </cell>
          <cell r="AS1993">
            <v>0.25</v>
          </cell>
          <cell r="AT1993">
            <v>-0.04</v>
          </cell>
          <cell r="AU1993">
            <v>0.92</v>
          </cell>
          <cell r="AV1993">
            <v>20</v>
          </cell>
          <cell r="AZ1993">
            <v>0.25</v>
          </cell>
          <cell r="BA1993">
            <v>0.25</v>
          </cell>
        </row>
        <row r="1994">
          <cell r="A1994" t="str">
            <v>PROGETTO SERRAMENTI S.R.L.</v>
          </cell>
          <cell r="D1994" t="str">
            <v>VIALE MONTELLO, 15 A</v>
          </cell>
          <cell r="E1994">
            <v>21052</v>
          </cell>
          <cell r="F1994" t="str">
            <v>BUSTO ARSIZIO</v>
          </cell>
          <cell r="G1994" t="str">
            <v>VA</v>
          </cell>
          <cell r="H1994" t="str">
            <v>ITALIA</v>
          </cell>
          <cell r="J1994" t="str">
            <v>02934250123</v>
          </cell>
          <cell r="M1994" t="str">
            <v>UFFICIO ACQUISTI</v>
          </cell>
          <cell r="N1994" t="str">
            <v>0331 678779</v>
          </cell>
          <cell r="P1994" t="str">
            <v>info@progettoserramentisrl.com</v>
          </cell>
          <cell r="R1994" t="str">
            <v>BONIFICO BANCARIO, ALLA DATA DELLA NOSTRA CONFERMA D'ORDINE</v>
          </cell>
          <cell r="X1994">
            <v>0.25</v>
          </cell>
          <cell r="Y1994">
            <v>-0.04</v>
          </cell>
          <cell r="AB1994">
            <v>0.25</v>
          </cell>
          <cell r="AC1994">
            <v>0.25</v>
          </cell>
          <cell r="AD1994">
            <v>0.25</v>
          </cell>
          <cell r="AE1994">
            <v>0.25</v>
          </cell>
          <cell r="AF1994">
            <v>0.25</v>
          </cell>
          <cell r="AG1994">
            <v>0.25</v>
          </cell>
          <cell r="AH1994">
            <v>0.25</v>
          </cell>
          <cell r="AI1994">
            <v>0.25</v>
          </cell>
          <cell r="AJ1994">
            <v>0.25</v>
          </cell>
          <cell r="AK1994">
            <v>0.25</v>
          </cell>
          <cell r="AL1994">
            <v>0.25</v>
          </cell>
          <cell r="AM1994">
            <v>0.25</v>
          </cell>
          <cell r="AN1994">
            <v>0.25</v>
          </cell>
          <cell r="AO1994">
            <v>0.25</v>
          </cell>
          <cell r="AP1994">
            <v>0.25</v>
          </cell>
          <cell r="AQ1994">
            <v>0.25</v>
          </cell>
          <cell r="AR1994">
            <v>0.25</v>
          </cell>
          <cell r="AS1994">
            <v>0.25</v>
          </cell>
          <cell r="AT1994">
            <v>-0.04</v>
          </cell>
          <cell r="AU1994">
            <v>0.92</v>
          </cell>
          <cell r="AV1994">
            <v>20</v>
          </cell>
          <cell r="AY1994" t="str">
            <v/>
          </cell>
          <cell r="AZ1994">
            <v>0.25</v>
          </cell>
          <cell r="BA1994">
            <v>0.25</v>
          </cell>
        </row>
        <row r="1995">
          <cell r="A1995" t="str">
            <v>PROGETTO SERRAMENTO</v>
          </cell>
          <cell r="B1995" t="str">
            <v>VORREBBE IL CAMPIONE</v>
          </cell>
          <cell r="D1995" t="str">
            <v>VIA RAIMONDO, 5 ZONA INDUSTRIALE</v>
          </cell>
          <cell r="E1995" t="str">
            <v>17024</v>
          </cell>
          <cell r="F1995" t="str">
            <v>FINALE LIGURE</v>
          </cell>
          <cell r="G1995" t="str">
            <v>SV</v>
          </cell>
          <cell r="H1995" t="str">
            <v>ITALIA</v>
          </cell>
          <cell r="M1995" t="str">
            <v>UFFICIO ACQUISTI</v>
          </cell>
          <cell r="N1995" t="str">
            <v>019 6816262</v>
          </cell>
          <cell r="P1995" t="str">
            <v>info@progettoserramento.it</v>
          </cell>
          <cell r="R1995" t="str">
            <v>BONIFICO BANCARIO, ALLA DATA DELLA NOSTRA CONFERMA D'ORDINE</v>
          </cell>
          <cell r="X1995">
            <v>0.2</v>
          </cell>
          <cell r="Y1995">
            <v>-0.04</v>
          </cell>
          <cell r="AB1995">
            <v>0.2</v>
          </cell>
          <cell r="AC1995">
            <v>0.2</v>
          </cell>
          <cell r="AD1995">
            <v>0.2</v>
          </cell>
          <cell r="AE1995">
            <v>0.2</v>
          </cell>
          <cell r="AF1995">
            <v>0.2</v>
          </cell>
          <cell r="AG1995">
            <v>0.2</v>
          </cell>
          <cell r="AH1995">
            <v>0.2</v>
          </cell>
          <cell r="AI1995">
            <v>0.2</v>
          </cell>
          <cell r="AJ1995">
            <v>0.2</v>
          </cell>
          <cell r="AK1995">
            <v>0.2</v>
          </cell>
          <cell r="AL1995">
            <v>0.2</v>
          </cell>
          <cell r="AM1995">
            <v>0.2</v>
          </cell>
          <cell r="AN1995">
            <v>0.2</v>
          </cell>
          <cell r="AO1995">
            <v>0.2</v>
          </cell>
          <cell r="AP1995">
            <v>0.2</v>
          </cell>
          <cell r="AQ1995">
            <v>0.2</v>
          </cell>
          <cell r="AR1995">
            <v>0.2</v>
          </cell>
          <cell r="AS1995">
            <v>0.2</v>
          </cell>
          <cell r="AT1995">
            <v>-0.04</v>
          </cell>
          <cell r="AU1995">
            <v>0.92</v>
          </cell>
          <cell r="AV1995">
            <v>20</v>
          </cell>
          <cell r="AZ1995">
            <v>0.2</v>
          </cell>
          <cell r="BA1995">
            <v>0.2</v>
          </cell>
        </row>
        <row r="1996">
          <cell r="A1996" t="str">
            <v xml:space="preserve">PROGETTO SERRAMENTO </v>
          </cell>
          <cell r="D1996" t="str">
            <v>VIALE SFORZA, 66</v>
          </cell>
          <cell r="E1996">
            <v>20081</v>
          </cell>
          <cell r="F1996" t="str">
            <v>ABBIATEGRASSO</v>
          </cell>
          <cell r="G1996" t="str">
            <v>MI</v>
          </cell>
          <cell r="H1996" t="str">
            <v>ITALIA</v>
          </cell>
          <cell r="M1996" t="str">
            <v>UFFICIO ACQUISTI</v>
          </cell>
          <cell r="N1996" t="str">
            <v>02 94964957</v>
          </cell>
          <cell r="P1996" t="str">
            <v>info@progettoserramenti.it</v>
          </cell>
          <cell r="R1996" t="str">
            <v>BONIFICO BANCARIO, ALLA DATA DELLA NOSTRA CONFERMA D'ORDINE</v>
          </cell>
          <cell r="X1996">
            <v>0.2</v>
          </cell>
          <cell r="Y1996">
            <v>-0.04</v>
          </cell>
          <cell r="AB1996">
            <v>0.2</v>
          </cell>
          <cell r="AC1996">
            <v>0.2</v>
          </cell>
          <cell r="AD1996">
            <v>0.2</v>
          </cell>
          <cell r="AE1996">
            <v>0.2</v>
          </cell>
          <cell r="AF1996">
            <v>0.2</v>
          </cell>
          <cell r="AG1996">
            <v>0.2</v>
          </cell>
          <cell r="AH1996">
            <v>0.2</v>
          </cell>
          <cell r="AI1996">
            <v>0.2</v>
          </cell>
          <cell r="AJ1996">
            <v>0.2</v>
          </cell>
          <cell r="AK1996">
            <v>0.2</v>
          </cell>
          <cell r="AL1996">
            <v>0.2</v>
          </cell>
          <cell r="AM1996">
            <v>0.2</v>
          </cell>
          <cell r="AN1996">
            <v>0.2</v>
          </cell>
          <cell r="AO1996">
            <v>0.2</v>
          </cell>
          <cell r="AP1996">
            <v>0.2</v>
          </cell>
          <cell r="AQ1996">
            <v>0.2</v>
          </cell>
          <cell r="AR1996">
            <v>0.2</v>
          </cell>
          <cell r="AS1996">
            <v>0.2</v>
          </cell>
          <cell r="AT1996">
            <v>-0.04</v>
          </cell>
          <cell r="AU1996">
            <v>0.92</v>
          </cell>
          <cell r="AV1996">
            <v>20</v>
          </cell>
          <cell r="AY1996" t="str">
            <v/>
          </cell>
          <cell r="AZ1996">
            <v>0.2</v>
          </cell>
          <cell r="BA1996">
            <v>0.2</v>
          </cell>
        </row>
        <row r="1997">
          <cell r="A1997" t="str">
            <v>PROGETTO SERRAMENTO SNC</v>
          </cell>
          <cell r="D1997" t="str">
            <v>VIA RAIMONDO 5</v>
          </cell>
          <cell r="F1997" t="str">
            <v xml:space="preserve">FINALE LIGURE </v>
          </cell>
          <cell r="G1997" t="str">
            <v>SV</v>
          </cell>
          <cell r="H1997" t="str">
            <v>ITALIA</v>
          </cell>
          <cell r="M1997" t="str">
            <v>UFFICIO ACQUISTI</v>
          </cell>
          <cell r="N1997" t="str">
            <v>019 6816262</v>
          </cell>
          <cell r="R1997" t="str">
            <v>BONIFICO BANCARIO, ALLA DATA DELLA NOSTRA CONFERMA D'ORDINE</v>
          </cell>
          <cell r="X1997">
            <v>0.25</v>
          </cell>
          <cell r="Y1997">
            <v>-0.04</v>
          </cell>
          <cell r="AB1997">
            <v>0.25</v>
          </cell>
          <cell r="AC1997">
            <v>0.25</v>
          </cell>
          <cell r="AD1997">
            <v>0.25</v>
          </cell>
          <cell r="AE1997">
            <v>0.25</v>
          </cell>
          <cell r="AF1997">
            <v>0.25</v>
          </cell>
          <cell r="AG1997">
            <v>0.25</v>
          </cell>
          <cell r="AH1997">
            <v>0.25</v>
          </cell>
          <cell r="AI1997">
            <v>0.25</v>
          </cell>
          <cell r="AJ1997">
            <v>0.25</v>
          </cell>
          <cell r="AK1997">
            <v>0.25</v>
          </cell>
          <cell r="AL1997">
            <v>0.25</v>
          </cell>
          <cell r="AM1997">
            <v>0.25</v>
          </cell>
          <cell r="AN1997">
            <v>0.25</v>
          </cell>
          <cell r="AO1997">
            <v>0.25</v>
          </cell>
          <cell r="AP1997">
            <v>0.25</v>
          </cell>
          <cell r="AQ1997">
            <v>0.25</v>
          </cell>
          <cell r="AR1997">
            <v>0.25</v>
          </cell>
          <cell r="AS1997">
            <v>0.25</v>
          </cell>
          <cell r="AT1997">
            <v>-0.04</v>
          </cell>
          <cell r="AU1997">
            <v>0.92</v>
          </cell>
          <cell r="AV1997">
            <v>20</v>
          </cell>
          <cell r="AY1997" t="str">
            <v/>
          </cell>
          <cell r="AZ1997">
            <v>0.25</v>
          </cell>
          <cell r="BA1997">
            <v>0.25</v>
          </cell>
        </row>
        <row r="1998">
          <cell r="A1998" t="str">
            <v>PROIETTI GROUP SERRAMENTI</v>
          </cell>
          <cell r="D1998" t="str">
            <v>VIA ACQUAVOGLIERA, 11</v>
          </cell>
          <cell r="E1998" t="str">
            <v>05029</v>
          </cell>
          <cell r="F1998" t="str">
            <v>SANGEMINI</v>
          </cell>
          <cell r="G1998" t="str">
            <v>TR</v>
          </cell>
          <cell r="H1998" t="str">
            <v>ITALIA</v>
          </cell>
          <cell r="M1998" t="str">
            <v>UFFICIO ACQUISTI</v>
          </cell>
          <cell r="O1998" t="str">
            <v>366 5491105</v>
          </cell>
          <cell r="P1998" t="str">
            <v>expo@proiettiserramenti.com</v>
          </cell>
          <cell r="R1998" t="str">
            <v>BONIFICO BANCARIO, ALLA DATA DELLA NOSTRA CONFERMA D'ORDINE</v>
          </cell>
          <cell r="Y1998">
            <v>-0.04</v>
          </cell>
          <cell r="AT1998">
            <v>-0.04</v>
          </cell>
          <cell r="AV1998">
            <v>20</v>
          </cell>
          <cell r="AZ1998">
            <v>0</v>
          </cell>
          <cell r="BA1998">
            <v>0</v>
          </cell>
        </row>
        <row r="1999">
          <cell r="A1999" t="str">
            <v>PROJECT INFISSI DI ARGIOLAS DAMIANO</v>
          </cell>
          <cell r="B1999" t="str">
            <v>SOLO BIGLIETTO DA VISITA</v>
          </cell>
          <cell r="D1999" t="str">
            <v>VIA LUBIANA, 374</v>
          </cell>
          <cell r="E1999" t="str">
            <v>09013</v>
          </cell>
          <cell r="F1999" t="str">
            <v>CARBONIA</v>
          </cell>
          <cell r="G1999" t="str">
            <v>CI</v>
          </cell>
          <cell r="H1999" t="str">
            <v>ITALIA</v>
          </cell>
          <cell r="J1999" t="str">
            <v>03628540928</v>
          </cell>
          <cell r="M1999" t="str">
            <v>UFFICIO ACQUISTI</v>
          </cell>
          <cell r="O1999" t="str">
            <v>333 3652386   327 8292175</v>
          </cell>
          <cell r="P1999" t="str">
            <v>Projectinfissi9@gmail.com</v>
          </cell>
          <cell r="R1999" t="str">
            <v>BONIFICO BANCARIO, ALLA DATA DELLA NOSTRA CONFERMA D'ORDINE</v>
          </cell>
          <cell r="X1999">
            <v>0.25</v>
          </cell>
          <cell r="Y1999">
            <v>-0.04</v>
          </cell>
          <cell r="AB1999">
            <v>0.25</v>
          </cell>
          <cell r="AC1999">
            <v>0.25</v>
          </cell>
          <cell r="AD1999">
            <v>0.25</v>
          </cell>
          <cell r="AE1999">
            <v>0.25</v>
          </cell>
          <cell r="AF1999">
            <v>0.25</v>
          </cell>
          <cell r="AG1999">
            <v>0.25</v>
          </cell>
          <cell r="AH1999">
            <v>0.25</v>
          </cell>
          <cell r="AI1999">
            <v>0.25</v>
          </cell>
          <cell r="AJ1999">
            <v>0.25</v>
          </cell>
          <cell r="AK1999">
            <v>0.25</v>
          </cell>
          <cell r="AL1999">
            <v>0.25</v>
          </cell>
          <cell r="AM1999">
            <v>0.25</v>
          </cell>
          <cell r="AN1999">
            <v>0.25</v>
          </cell>
          <cell r="AO1999">
            <v>0.25</v>
          </cell>
          <cell r="AP1999">
            <v>0.25</v>
          </cell>
          <cell r="AQ1999">
            <v>0.25</v>
          </cell>
          <cell r="AR1999">
            <v>0.25</v>
          </cell>
          <cell r="AS1999">
            <v>0.25</v>
          </cell>
          <cell r="AT1999">
            <v>-0.04</v>
          </cell>
          <cell r="AU1999">
            <v>0.92</v>
          </cell>
          <cell r="AV1999">
            <v>20</v>
          </cell>
          <cell r="AZ1999">
            <v>0.25</v>
          </cell>
          <cell r="BA1999">
            <v>0.25</v>
          </cell>
        </row>
        <row r="2000">
          <cell r="A2000" t="str">
            <v>PROJECT PROFILI DI LAMPO RICCARDO</v>
          </cell>
          <cell r="B2000" t="str">
            <v xml:space="preserve">VITO LAMPO </v>
          </cell>
          <cell r="D2000" t="str">
            <v>VIA S.LUCIA 98</v>
          </cell>
          <cell r="E2000" t="str">
            <v>76123</v>
          </cell>
          <cell r="F2000" t="str">
            <v>ANDRIA</v>
          </cell>
          <cell r="G2000" t="str">
            <v>BT</v>
          </cell>
          <cell r="H2000" t="str">
            <v>ITALIA</v>
          </cell>
          <cell r="M2000" t="str">
            <v>UFFICIO ACQUISTI</v>
          </cell>
          <cell r="N2000" t="str">
            <v>0883 880841</v>
          </cell>
          <cell r="O2000" t="str">
            <v>331 3099333</v>
          </cell>
          <cell r="P2000" t="str">
            <v>info@projectprofili.it</v>
          </cell>
          <cell r="R2000" t="str">
            <v>BONIFICO BANCARIO, ALLA DATA DELLA NOSTRA CONFERMA D'ORDINE</v>
          </cell>
          <cell r="X2000">
            <v>0.2</v>
          </cell>
          <cell r="Y2000">
            <v>-0.04</v>
          </cell>
          <cell r="AB2000">
            <v>0.2</v>
          </cell>
          <cell r="AC2000">
            <v>0.2</v>
          </cell>
          <cell r="AD2000">
            <v>0.2</v>
          </cell>
          <cell r="AE2000">
            <v>0.2</v>
          </cell>
          <cell r="AF2000">
            <v>0.2</v>
          </cell>
          <cell r="AG2000">
            <v>0.2</v>
          </cell>
          <cell r="AH2000">
            <v>0.2</v>
          </cell>
          <cell r="AI2000">
            <v>0.2</v>
          </cell>
          <cell r="AJ2000">
            <v>0.2</v>
          </cell>
          <cell r="AK2000">
            <v>0.2</v>
          </cell>
          <cell r="AL2000">
            <v>0.2</v>
          </cell>
          <cell r="AM2000">
            <v>0.2</v>
          </cell>
          <cell r="AN2000">
            <v>0.2</v>
          </cell>
          <cell r="AO2000">
            <v>0.2</v>
          </cell>
          <cell r="AP2000">
            <v>0.2</v>
          </cell>
          <cell r="AQ2000">
            <v>0.2</v>
          </cell>
          <cell r="AR2000">
            <v>0.2</v>
          </cell>
          <cell r="AS2000">
            <v>0.2</v>
          </cell>
          <cell r="AT2000">
            <v>-0.04</v>
          </cell>
          <cell r="AU2000">
            <v>0.92</v>
          </cell>
          <cell r="AV2000">
            <v>20</v>
          </cell>
          <cell r="AY2000" t="str">
            <v/>
          </cell>
          <cell r="AZ2000">
            <v>0.2</v>
          </cell>
          <cell r="BA2000">
            <v>0.2</v>
          </cell>
        </row>
        <row r="2001">
          <cell r="A2001" t="str">
            <v>PROMEDEA BAGNI DI TANIA BELLATO</v>
          </cell>
          <cell r="B2001" t="str">
            <v>DISTRIBUTORE/RAPPRESENTANTE ACQUASTOP 05/12/22 LA TITOLARE DICE HA CHIUSO! 26/04/23 CHIAMATA VALENTI. RIAPRE DOPO L'ESTATE ATTIVITA' DI RISTRUTTURAZIONI E GRADIREBBE ESSERE RICHIAMATA PERCHE' AVRA' NECESSITA' DELLE BARRIERE. NON COLLABORA PIU' CON ACQUATOP IN QUANTO NON NECESSITANO PIU' DI AGENTI MA VENDONO PIATTO, DIRETTAMENTE AL CLIENTE FINALE. NON CI DA INFO SU EVENTUALI PARTNER DA SEGNALARE IN QUANTO VORREBBE RIFARLO LEI!</v>
          </cell>
          <cell r="D2001" t="str">
            <v>VIA VENETO, 5</v>
          </cell>
          <cell r="E2001" t="str">
            <v>35030</v>
          </cell>
          <cell r="F2001" t="str">
            <v>SELVAZZANO DENTRO</v>
          </cell>
          <cell r="G2001" t="str">
            <v>PD</v>
          </cell>
          <cell r="H2001" t="str">
            <v>ITALIA</v>
          </cell>
          <cell r="M2001" t="str">
            <v>UFFICIO ACQUISTI</v>
          </cell>
          <cell r="O2001" t="str">
            <v>340 383 5138</v>
          </cell>
          <cell r="AV2001">
            <v>20</v>
          </cell>
          <cell r="AZ2001">
            <v>0</v>
          </cell>
          <cell r="BA2001">
            <v>0</v>
          </cell>
        </row>
        <row r="2002">
          <cell r="A2002" t="str">
            <v>PROMO INFISSI</v>
          </cell>
          <cell r="B2002" t="str">
            <v>SIMONE BRIGLIADORI</v>
          </cell>
          <cell r="D2002" t="str">
            <v>VIA  KENNEDY, 30</v>
          </cell>
          <cell r="E2002" t="str">
            <v>47035</v>
          </cell>
          <cell r="F2002" t="str">
            <v>GAMBETTOLA</v>
          </cell>
          <cell r="G2002" t="str">
            <v>FC</v>
          </cell>
          <cell r="H2002" t="str">
            <v>ITALIA</v>
          </cell>
          <cell r="M2002" t="str">
            <v>UFFICIO ACQUISTI</v>
          </cell>
          <cell r="N2002" t="str">
            <v>0547 58625</v>
          </cell>
          <cell r="O2002" t="str">
            <v>334 2624632 BRIGLIADORI SIMONE</v>
          </cell>
          <cell r="P2002" t="str">
            <v>promoinfissi@gmail.com</v>
          </cell>
          <cell r="R2002" t="str">
            <v>BONIFICO BANCARIO, ALLA DATA DELLA NOSTRA CONFERMA D'ORDINE</v>
          </cell>
          <cell r="X2002">
            <v>0.2</v>
          </cell>
          <cell r="Y2002">
            <v>-0.04</v>
          </cell>
          <cell r="AB2002">
            <v>0.2</v>
          </cell>
          <cell r="AC2002">
            <v>0.2</v>
          </cell>
          <cell r="AD2002">
            <v>0.2</v>
          </cell>
          <cell r="AE2002">
            <v>0.2</v>
          </cell>
          <cell r="AF2002">
            <v>0.2</v>
          </cell>
          <cell r="AG2002">
            <v>0.2</v>
          </cell>
          <cell r="AH2002">
            <v>0.2</v>
          </cell>
          <cell r="AI2002">
            <v>0.2</v>
          </cell>
          <cell r="AJ2002">
            <v>0.2</v>
          </cell>
          <cell r="AK2002">
            <v>0.2</v>
          </cell>
          <cell r="AL2002">
            <v>0.2</v>
          </cell>
          <cell r="AM2002">
            <v>0.2</v>
          </cell>
          <cell r="AN2002">
            <v>0.2</v>
          </cell>
          <cell r="AO2002">
            <v>0.2</v>
          </cell>
          <cell r="AP2002">
            <v>0.2</v>
          </cell>
          <cell r="AQ2002">
            <v>0.2</v>
          </cell>
          <cell r="AR2002">
            <v>0.2</v>
          </cell>
          <cell r="AS2002">
            <v>0.2</v>
          </cell>
          <cell r="AT2002">
            <v>-0.04</v>
          </cell>
          <cell r="AU2002">
            <v>0.92</v>
          </cell>
          <cell r="AV2002">
            <v>20</v>
          </cell>
          <cell r="AZ2002">
            <v>0.2</v>
          </cell>
          <cell r="BA2002">
            <v>0.2</v>
          </cell>
        </row>
        <row r="2003">
          <cell r="A2003" t="str">
            <v>PROSAFE INTERNATIONAL D.O.O.</v>
          </cell>
          <cell r="B2003" t="str">
            <v>LEADER SLOVENO E DISRIBUTORE DI FLOODSTOP + FLOOFENCE + WATERBULL - PREZZO lancio sconto 20% fino a genn 2022</v>
          </cell>
          <cell r="D2003" t="str">
            <v>PRESERNOVA CESTA 13</v>
          </cell>
          <cell r="E2003" t="str">
            <v>4260</v>
          </cell>
          <cell r="F2003" t="str">
            <v>BLED</v>
          </cell>
          <cell r="H2003" t="str">
            <v>SLOVENIA</v>
          </cell>
          <cell r="J2003" t="str">
            <v>SI74407422</v>
          </cell>
          <cell r="K2003" t="str">
            <v>XXXXXXX</v>
          </cell>
          <cell r="M2003" t="str">
            <v>UFFICIO ACQUISTI</v>
          </cell>
          <cell r="N2003" t="str">
            <v xml:space="preserve">+386/4/6209710 </v>
          </cell>
          <cell r="O2003" t="str">
            <v>mob +386 40 295346 GABER MEZAN</v>
          </cell>
          <cell r="P2003" t="str">
            <v>info@prosafe.si</v>
          </cell>
          <cell r="R2003" t="str">
            <v>BANK TRANSFER, ON THE DATE OF OUR ORDER CONFIRMATION</v>
          </cell>
          <cell r="X2003">
            <v>0.2</v>
          </cell>
          <cell r="AB2003">
            <v>0.2</v>
          </cell>
          <cell r="AC2003">
            <v>0.2</v>
          </cell>
          <cell r="AD2003">
            <v>0.2</v>
          </cell>
          <cell r="AE2003">
            <v>0.2</v>
          </cell>
          <cell r="AF2003">
            <v>0.2</v>
          </cell>
          <cell r="AG2003">
            <v>0.2</v>
          </cell>
          <cell r="AH2003">
            <v>0.2</v>
          </cell>
          <cell r="AI2003">
            <v>0.2</v>
          </cell>
          <cell r="AJ2003">
            <v>0.2</v>
          </cell>
          <cell r="AK2003">
            <v>0.2</v>
          </cell>
          <cell r="AL2003">
            <v>0.2</v>
          </cell>
          <cell r="AM2003">
            <v>0.2</v>
          </cell>
          <cell r="AN2003">
            <v>0.2</v>
          </cell>
          <cell r="AO2003">
            <v>0.2</v>
          </cell>
          <cell r="AP2003">
            <v>0.2</v>
          </cell>
          <cell r="AQ2003">
            <v>0.2</v>
          </cell>
          <cell r="AR2003">
            <v>0.2</v>
          </cell>
          <cell r="AS2003">
            <v>0.2</v>
          </cell>
          <cell r="AU2003">
            <v>0.83</v>
          </cell>
          <cell r="AV2003">
            <v>20</v>
          </cell>
          <cell r="AZ2003">
            <v>0.2</v>
          </cell>
          <cell r="BA2003">
            <v>0.2</v>
          </cell>
        </row>
        <row r="2004">
          <cell r="A2004" t="str">
            <v>PROTO SRL</v>
          </cell>
          <cell r="B2004" t="str">
            <v>MAROLLA ALESSANDRO</v>
          </cell>
          <cell r="D2004" t="str">
            <v>VIA MINIERA CIAVOLOTTA</v>
          </cell>
          <cell r="E2004" t="str">
            <v>92026</v>
          </cell>
          <cell r="F2004" t="str">
            <v>FAVARA</v>
          </cell>
          <cell r="G2004" t="str">
            <v>AG</v>
          </cell>
          <cell r="H2004" t="str">
            <v>ITALIA</v>
          </cell>
          <cell r="J2004" t="str">
            <v>02569950849</v>
          </cell>
          <cell r="M2004" t="str">
            <v>UFFICIO ACQUISTI</v>
          </cell>
          <cell r="N2004" t="str">
            <v>0922 596877</v>
          </cell>
          <cell r="P2004" t="str">
            <v>produzione@protoserramenti.it</v>
          </cell>
          <cell r="R2004" t="str">
            <v>BONIFICO BANCARIO, ALLA DATA DELLA NOSTRA CONFERMA D'ORDINE</v>
          </cell>
          <cell r="X2004">
            <v>0.2</v>
          </cell>
          <cell r="Y2004">
            <v>-0.04</v>
          </cell>
          <cell r="AB2004">
            <v>0.2</v>
          </cell>
          <cell r="AC2004">
            <v>0.2</v>
          </cell>
          <cell r="AD2004">
            <v>0.2</v>
          </cell>
          <cell r="AE2004">
            <v>0.2</v>
          </cell>
          <cell r="AF2004">
            <v>0.2</v>
          </cell>
          <cell r="AG2004">
            <v>0.2</v>
          </cell>
          <cell r="AH2004">
            <v>0.2</v>
          </cell>
          <cell r="AI2004">
            <v>0.2</v>
          </cell>
          <cell r="AJ2004">
            <v>0.2</v>
          </cell>
          <cell r="AK2004">
            <v>0.2</v>
          </cell>
          <cell r="AL2004">
            <v>0.2</v>
          </cell>
          <cell r="AM2004">
            <v>0.2</v>
          </cell>
          <cell r="AN2004">
            <v>0.2</v>
          </cell>
          <cell r="AO2004">
            <v>0.2</v>
          </cell>
          <cell r="AP2004">
            <v>0.2</v>
          </cell>
          <cell r="AQ2004">
            <v>0.2</v>
          </cell>
          <cell r="AR2004">
            <v>0.2</v>
          </cell>
          <cell r="AS2004">
            <v>0.2</v>
          </cell>
          <cell r="AT2004">
            <v>-0.04</v>
          </cell>
          <cell r="AU2004">
            <v>0.92</v>
          </cell>
          <cell r="AV2004">
            <v>20</v>
          </cell>
          <cell r="AY2004" t="str">
            <v/>
          </cell>
          <cell r="AZ2004">
            <v>0.2</v>
          </cell>
          <cell r="BA2004">
            <v>0.2</v>
          </cell>
        </row>
        <row r="2005">
          <cell r="A2005" t="str">
            <v>PRZECIW POWODZI SP. Z.O.O.</v>
          </cell>
          <cell r="B2005" t="str">
            <v>RIVENDITORE NOAQ POLONIA - ORGANIZZANO LORO IL RITIRO DELLA MERCE DA NS MAGAZZINO - PREZZO LANCIO sconto 25% moderna, 20% sugli altri modelli, 35% modi-modu, fino a genn 2022</v>
          </cell>
          <cell r="D2005" t="str">
            <v xml:space="preserve">PLAC JANA KILINSKIEGO, 2 </v>
          </cell>
          <cell r="E2005" t="str">
            <v>35-005</v>
          </cell>
          <cell r="F2005" t="str">
            <v>RZESZOW</v>
          </cell>
          <cell r="H2005" t="str">
            <v>POLONIA</v>
          </cell>
          <cell r="J2005" t="str">
            <v>PL8133682706</v>
          </cell>
          <cell r="K2005" t="str">
            <v>XXXXXXX</v>
          </cell>
          <cell r="M2005" t="str">
            <v>UFFICIO ACQUISTI</v>
          </cell>
          <cell r="N2005" t="str">
            <v>+48 502 307 441</v>
          </cell>
          <cell r="P2005" t="str">
            <v>info@przeciwpowodzi.pl</v>
          </cell>
          <cell r="R2005" t="str">
            <v>BANK TRANSFER, ON THE DATE OF OUR ORDER CONFIRMATION</v>
          </cell>
          <cell r="X2005">
            <v>0.1</v>
          </cell>
          <cell r="AB2005">
            <v>0.1</v>
          </cell>
          <cell r="AC2005">
            <v>0.1</v>
          </cell>
          <cell r="AD2005">
            <v>0.1</v>
          </cell>
          <cell r="AE2005">
            <v>0.1</v>
          </cell>
          <cell r="AF2005">
            <v>0.1</v>
          </cell>
          <cell r="AG2005">
            <v>0.1</v>
          </cell>
          <cell r="AH2005">
            <v>0.1</v>
          </cell>
          <cell r="AI2005">
            <v>0.1</v>
          </cell>
          <cell r="AJ2005">
            <v>0.1</v>
          </cell>
          <cell r="AK2005">
            <v>0.1</v>
          </cell>
          <cell r="AL2005">
            <v>0.1</v>
          </cell>
          <cell r="AM2005">
            <v>0.1</v>
          </cell>
          <cell r="AN2005">
            <v>0.1</v>
          </cell>
          <cell r="AO2005">
            <v>0.1</v>
          </cell>
          <cell r="AP2005">
            <v>0.1</v>
          </cell>
          <cell r="AQ2005">
            <v>0.1</v>
          </cell>
          <cell r="AR2005">
            <v>0.1</v>
          </cell>
          <cell r="AS2005">
            <v>0.1</v>
          </cell>
          <cell r="AU2005">
            <v>0.77</v>
          </cell>
          <cell r="AV2005">
            <v>20</v>
          </cell>
          <cell r="AZ2005">
            <v>0.1</v>
          </cell>
          <cell r="BA2005">
            <v>0.1</v>
          </cell>
        </row>
        <row r="2006">
          <cell r="A2006" t="str">
            <v>PS PROFIL SYSTEM</v>
          </cell>
          <cell r="D2006" t="str">
            <v>VIA MANFREDONIA (1° TRAVERSA)</v>
          </cell>
          <cell r="E2006" t="str">
            <v>71121</v>
          </cell>
          <cell r="F2006" t="str">
            <v>FOGGIA</v>
          </cell>
          <cell r="G2006" t="str">
            <v>FG</v>
          </cell>
          <cell r="H2006" t="str">
            <v>ITALIA</v>
          </cell>
          <cell r="M2006" t="str">
            <v>UFFICIO ACQUISTI</v>
          </cell>
          <cell r="N2006" t="str">
            <v>0881 723606</v>
          </cell>
          <cell r="P2006" t="str">
            <v>profil.system@libero.it</v>
          </cell>
          <cell r="R2006" t="str">
            <v>BONIFICO BANCARIO, ALLA DATA DELLA NOSTRA CONFERMA D'ORDINE</v>
          </cell>
          <cell r="X2006">
            <v>0.2</v>
          </cell>
          <cell r="Y2006">
            <v>-0.04</v>
          </cell>
          <cell r="AB2006">
            <v>0.2</v>
          </cell>
          <cell r="AC2006">
            <v>0.2</v>
          </cell>
          <cell r="AD2006">
            <v>0.2</v>
          </cell>
          <cell r="AE2006">
            <v>0.2</v>
          </cell>
          <cell r="AF2006">
            <v>0.2</v>
          </cell>
          <cell r="AG2006">
            <v>0.2</v>
          </cell>
          <cell r="AH2006">
            <v>0.2</v>
          </cell>
          <cell r="AI2006">
            <v>0.2</v>
          </cell>
          <cell r="AJ2006">
            <v>0.2</v>
          </cell>
          <cell r="AK2006">
            <v>0.2</v>
          </cell>
          <cell r="AL2006">
            <v>0.2</v>
          </cell>
          <cell r="AM2006">
            <v>0.2</v>
          </cell>
          <cell r="AN2006">
            <v>0.2</v>
          </cell>
          <cell r="AO2006">
            <v>0.2</v>
          </cell>
          <cell r="AP2006">
            <v>0.2</v>
          </cell>
          <cell r="AQ2006">
            <v>0.2</v>
          </cell>
          <cell r="AR2006">
            <v>0.2</v>
          </cell>
          <cell r="AS2006">
            <v>0.2</v>
          </cell>
          <cell r="AT2006">
            <v>-0.04</v>
          </cell>
          <cell r="AU2006">
            <v>0.92</v>
          </cell>
          <cell r="AV2006">
            <v>20</v>
          </cell>
          <cell r="AZ2006">
            <v>0.2</v>
          </cell>
          <cell r="BA2006">
            <v>0.2</v>
          </cell>
        </row>
        <row r="2007">
          <cell r="A2007" t="str">
            <v>PSZ S.N.C. DI SAMUELLI SERGIO E C.</v>
          </cell>
          <cell r="D2007" t="str">
            <v>VIA ENRICO FERMI, 14/16</v>
          </cell>
          <cell r="E2007">
            <v>25087</v>
          </cell>
          <cell r="F2007" t="str">
            <v>SALO'</v>
          </cell>
          <cell r="G2007" t="str">
            <v>BS</v>
          </cell>
          <cell r="H2007" t="str">
            <v>ITALIA</v>
          </cell>
          <cell r="I2007" t="str">
            <v>01547020170</v>
          </cell>
          <cell r="J2007" t="str">
            <v>00636500985</v>
          </cell>
          <cell r="K2007" t="str">
            <v>W7YVJK9</v>
          </cell>
          <cell r="M2007" t="str">
            <v>UFFICIO ACQUISTI</v>
          </cell>
          <cell r="N2007" t="str">
            <v>0365 520406</v>
          </cell>
          <cell r="O2007" t="str">
            <v>388 9477063 RUDY SAMUELLI</v>
          </cell>
          <cell r="P2007" t="str">
            <v>piessezeta@virgilio.it</v>
          </cell>
          <cell r="R2007" t="str">
            <v>BONIFICO BANCARIO, ALLA DATA DELLA NOSTRA CONFERMA D'ORDINE</v>
          </cell>
          <cell r="X2007">
            <v>0.2</v>
          </cell>
          <cell r="Y2007">
            <v>-0.04</v>
          </cell>
          <cell r="AB2007">
            <v>0.2</v>
          </cell>
          <cell r="AC2007">
            <v>0.2</v>
          </cell>
          <cell r="AD2007">
            <v>0.2</v>
          </cell>
          <cell r="AE2007">
            <v>0.2</v>
          </cell>
          <cell r="AF2007">
            <v>0.2</v>
          </cell>
          <cell r="AG2007">
            <v>0.2</v>
          </cell>
          <cell r="AH2007">
            <v>0.2</v>
          </cell>
          <cell r="AI2007">
            <v>0.2</v>
          </cell>
          <cell r="AJ2007">
            <v>0.2</v>
          </cell>
          <cell r="AK2007">
            <v>0.2</v>
          </cell>
          <cell r="AL2007">
            <v>0.2</v>
          </cell>
          <cell r="AM2007">
            <v>0.2</v>
          </cell>
          <cell r="AN2007">
            <v>0.2</v>
          </cell>
          <cell r="AO2007">
            <v>0.2</v>
          </cell>
          <cell r="AP2007">
            <v>0.2</v>
          </cell>
          <cell r="AQ2007">
            <v>0.2</v>
          </cell>
          <cell r="AR2007">
            <v>0.2</v>
          </cell>
          <cell r="AS2007">
            <v>0.2</v>
          </cell>
          <cell r="AT2007">
            <v>-0.04</v>
          </cell>
          <cell r="AU2007">
            <v>0.92</v>
          </cell>
          <cell r="AV2007">
            <v>20</v>
          </cell>
          <cell r="AY2007" t="str">
            <v/>
          </cell>
          <cell r="AZ2007">
            <v>0.2</v>
          </cell>
          <cell r="BA2007">
            <v>0.2</v>
          </cell>
        </row>
        <row r="2008">
          <cell r="A2008" t="str">
            <v>PUBLI RAM SRL DIVISIONE SERRAMENTI BRIOTTI</v>
          </cell>
          <cell r="D2008" t="str">
            <v>VIA DEL COMMERCIO, 1 E</v>
          </cell>
          <cell r="E2008" t="str">
            <v>05100</v>
          </cell>
          <cell r="F2008" t="str">
            <v>TERNI</v>
          </cell>
          <cell r="G2008" t="str">
            <v>TR</v>
          </cell>
          <cell r="H2008" t="str">
            <v>ITALIA</v>
          </cell>
          <cell r="J2008" t="str">
            <v>01510380551</v>
          </cell>
          <cell r="M2008" t="str">
            <v>UFFICIO ACQUISTI</v>
          </cell>
          <cell r="N2008" t="str">
            <v>0744 811747</v>
          </cell>
          <cell r="O2008" t="str">
            <v>329 8118228 ENRICO BRIOTTI</v>
          </cell>
          <cell r="P2008" t="str">
            <v>info@briotti.com</v>
          </cell>
          <cell r="R2008" t="str">
            <v>BONIFICO BANCARIO, ALLA DATA DELLA NOSTRA CONFERMA D'ORDINE</v>
          </cell>
          <cell r="Y2008">
            <v>-0.04</v>
          </cell>
          <cell r="AT2008">
            <v>-0.04</v>
          </cell>
          <cell r="AV2008">
            <v>20</v>
          </cell>
          <cell r="AZ2008">
            <v>0</v>
          </cell>
          <cell r="BA2008">
            <v>0</v>
          </cell>
        </row>
        <row r="2009">
          <cell r="A2009" t="str">
            <v xml:space="preserve">PUNTO DEL SERRAMENTO </v>
          </cell>
          <cell r="D2009" t="str">
            <v>VIA CONSOLARE POMPEA,, 2089</v>
          </cell>
          <cell r="E2009">
            <v>98164</v>
          </cell>
          <cell r="F2009" t="str">
            <v>MESSINA</v>
          </cell>
          <cell r="G2009" t="str">
            <v>ME</v>
          </cell>
          <cell r="H2009" t="str">
            <v>ITALIA</v>
          </cell>
          <cell r="J2009" t="str">
            <v>03398080832</v>
          </cell>
          <cell r="M2009" t="str">
            <v>UFFICIO ACQUISTI</v>
          </cell>
          <cell r="O2009" t="str">
            <v>Peppe 328 2066013 Salvo 328 6332553</v>
          </cell>
          <cell r="P2009" t="str">
            <v>psserramentips@gmail.com</v>
          </cell>
          <cell r="R2009" t="str">
            <v>BONIFICO BANCARIO, ALLA DATA DELLA NOSTRA CONFERMA D'ORDINE</v>
          </cell>
          <cell r="X2009">
            <v>0.2</v>
          </cell>
          <cell r="Y2009">
            <v>-0.04</v>
          </cell>
          <cell r="AB2009">
            <v>0.2</v>
          </cell>
          <cell r="AC2009">
            <v>0.2</v>
          </cell>
          <cell r="AD2009">
            <v>0.2</v>
          </cell>
          <cell r="AE2009">
            <v>0.2</v>
          </cell>
          <cell r="AF2009">
            <v>0.2</v>
          </cell>
          <cell r="AG2009">
            <v>0.2</v>
          </cell>
          <cell r="AH2009">
            <v>0.2</v>
          </cell>
          <cell r="AI2009">
            <v>0.2</v>
          </cell>
          <cell r="AJ2009">
            <v>0.2</v>
          </cell>
          <cell r="AK2009">
            <v>0.2</v>
          </cell>
          <cell r="AL2009">
            <v>0.2</v>
          </cell>
          <cell r="AM2009">
            <v>0.2</v>
          </cell>
          <cell r="AN2009">
            <v>0.2</v>
          </cell>
          <cell r="AO2009">
            <v>0.2</v>
          </cell>
          <cell r="AP2009">
            <v>0.2</v>
          </cell>
          <cell r="AQ2009">
            <v>0.2</v>
          </cell>
          <cell r="AR2009">
            <v>0.2</v>
          </cell>
          <cell r="AS2009">
            <v>0.2</v>
          </cell>
          <cell r="AT2009">
            <v>-0.04</v>
          </cell>
          <cell r="AU2009">
            <v>0.92</v>
          </cell>
          <cell r="AV2009">
            <v>20</v>
          </cell>
          <cell r="AY2009" t="str">
            <v/>
          </cell>
          <cell r="AZ2009">
            <v>0.2</v>
          </cell>
          <cell r="BA2009">
            <v>0.2</v>
          </cell>
        </row>
        <row r="2010">
          <cell r="A2010" t="str">
            <v>PUNTO INFISSI &amp; C.</v>
          </cell>
          <cell r="D2010" t="str">
            <v>VIA MARINA SERRA</v>
          </cell>
          <cell r="E2010" t="str">
            <v>73039</v>
          </cell>
          <cell r="F2010" t="str">
            <v>TRICASE</v>
          </cell>
          <cell r="G2010" t="str">
            <v>LE</v>
          </cell>
          <cell r="H2010" t="str">
            <v>ITALIA</v>
          </cell>
          <cell r="K2010" t="str">
            <v>M5UXCR1</v>
          </cell>
          <cell r="M2010" t="str">
            <v>UFFICIO ACQUISTI</v>
          </cell>
          <cell r="O2010" t="str">
            <v>329 9757730</v>
          </cell>
          <cell r="R2010" t="str">
            <v>BONIFICO BANCARIO, ALLA DATA DELLA NOSTRA CONFERMA D'ORDINE</v>
          </cell>
          <cell r="X2010">
            <v>0.25</v>
          </cell>
          <cell r="Y2010">
            <v>-0.04</v>
          </cell>
          <cell r="AB2010">
            <v>0.25</v>
          </cell>
          <cell r="AC2010">
            <v>0.25</v>
          </cell>
          <cell r="AD2010">
            <v>0.25</v>
          </cell>
          <cell r="AE2010">
            <v>0.25</v>
          </cell>
          <cell r="AF2010">
            <v>0.25</v>
          </cell>
          <cell r="AG2010">
            <v>0.25</v>
          </cell>
          <cell r="AH2010">
            <v>0.25</v>
          </cell>
          <cell r="AI2010">
            <v>0.25</v>
          </cell>
          <cell r="AJ2010">
            <v>0.25</v>
          </cell>
          <cell r="AK2010">
            <v>0.25</v>
          </cell>
          <cell r="AL2010">
            <v>0.25</v>
          </cell>
          <cell r="AM2010">
            <v>0.25</v>
          </cell>
          <cell r="AN2010">
            <v>0.25</v>
          </cell>
          <cell r="AO2010">
            <v>0.25</v>
          </cell>
          <cell r="AP2010">
            <v>0.25</v>
          </cell>
          <cell r="AQ2010">
            <v>0.25</v>
          </cell>
          <cell r="AR2010">
            <v>0.25</v>
          </cell>
          <cell r="AS2010">
            <v>0.25</v>
          </cell>
          <cell r="AT2010">
            <v>-0.04</v>
          </cell>
          <cell r="AU2010">
            <v>0.92</v>
          </cell>
          <cell r="AV2010">
            <v>20</v>
          </cell>
          <cell r="AZ2010">
            <v>0.25</v>
          </cell>
          <cell r="BA2010">
            <v>0.25</v>
          </cell>
        </row>
        <row r="2011">
          <cell r="A2011" t="str">
            <v>PUNTO INFISSI DI ANGELO FONTANA</v>
          </cell>
          <cell r="D2011" t="str">
            <v>VIA MAZZINI, 47</v>
          </cell>
          <cell r="E2011">
            <v>24034</v>
          </cell>
          <cell r="F2011" t="str">
            <v>CISANO BERGAMASCO</v>
          </cell>
          <cell r="G2011" t="str">
            <v>BG</v>
          </cell>
          <cell r="H2011" t="str">
            <v>ITALIA</v>
          </cell>
          <cell r="I2011" t="str">
            <v>FNTNLG61B12A794Q</v>
          </cell>
          <cell r="J2011" t="str">
            <v>01815300163</v>
          </cell>
          <cell r="M2011" t="str">
            <v>UFFICIO ACQUISTI</v>
          </cell>
          <cell r="N2011" t="str">
            <v>035 782882</v>
          </cell>
          <cell r="P2011" t="str">
            <v>info@puntoinfissi.com</v>
          </cell>
          <cell r="R2011" t="str">
            <v>BONIFICO BANCARIO, ALLA DATA DELLA NOSTRA CONFERMA D'ORDINE</v>
          </cell>
          <cell r="X2011">
            <v>0.2</v>
          </cell>
          <cell r="Y2011">
            <v>-0.04</v>
          </cell>
          <cell r="AB2011">
            <v>0.2</v>
          </cell>
          <cell r="AC2011">
            <v>0.2</v>
          </cell>
          <cell r="AD2011">
            <v>0.2</v>
          </cell>
          <cell r="AE2011">
            <v>0.2</v>
          </cell>
          <cell r="AF2011">
            <v>0.2</v>
          </cell>
          <cell r="AG2011">
            <v>0.2</v>
          </cell>
          <cell r="AH2011">
            <v>0.2</v>
          </cell>
          <cell r="AI2011">
            <v>0.2</v>
          </cell>
          <cell r="AJ2011">
            <v>0.2</v>
          </cell>
          <cell r="AK2011">
            <v>0.2</v>
          </cell>
          <cell r="AL2011">
            <v>0.2</v>
          </cell>
          <cell r="AM2011">
            <v>0.2</v>
          </cell>
          <cell r="AN2011">
            <v>0.2</v>
          </cell>
          <cell r="AO2011">
            <v>0.2</v>
          </cell>
          <cell r="AP2011">
            <v>0.2</v>
          </cell>
          <cell r="AQ2011">
            <v>0.2</v>
          </cell>
          <cell r="AR2011">
            <v>0.2</v>
          </cell>
          <cell r="AS2011">
            <v>0.2</v>
          </cell>
          <cell r="AT2011">
            <v>-0.04</v>
          </cell>
          <cell r="AU2011">
            <v>0.92</v>
          </cell>
          <cell r="AV2011">
            <v>20</v>
          </cell>
          <cell r="AY2011" t="str">
            <v/>
          </cell>
          <cell r="AZ2011">
            <v>0.2</v>
          </cell>
          <cell r="BA2011">
            <v>0.2</v>
          </cell>
        </row>
        <row r="2012">
          <cell r="A2012" t="str">
            <v>PUNTO INFISSI GROUP</v>
          </cell>
          <cell r="D2012" t="str">
            <v>CORSO NIZZA 80</v>
          </cell>
          <cell r="E2012">
            <v>12100</v>
          </cell>
          <cell r="F2012" t="str">
            <v>CUNEO</v>
          </cell>
          <cell r="G2012" t="str">
            <v>CN</v>
          </cell>
          <cell r="H2012" t="str">
            <v>ITALIA</v>
          </cell>
          <cell r="M2012" t="str">
            <v>UFFICIO ACQUISTI</v>
          </cell>
          <cell r="N2012" t="str">
            <v>0171 412842</v>
          </cell>
          <cell r="P2012" t="str">
            <v>puntoinfissinc@alice.it - info@puntoinfissigroup.it</v>
          </cell>
          <cell r="R2012" t="str">
            <v>BONIFICO BANCARIO, ALLA DATA DELLA NOSTRA CONFERMA D'ORDINE</v>
          </cell>
          <cell r="X2012">
            <v>0.2</v>
          </cell>
          <cell r="Y2012">
            <v>-0.04</v>
          </cell>
          <cell r="AB2012">
            <v>0.2</v>
          </cell>
          <cell r="AC2012">
            <v>0.2</v>
          </cell>
          <cell r="AD2012">
            <v>0.2</v>
          </cell>
          <cell r="AE2012">
            <v>0.2</v>
          </cell>
          <cell r="AF2012">
            <v>0.2</v>
          </cell>
          <cell r="AG2012">
            <v>0.2</v>
          </cell>
          <cell r="AH2012">
            <v>0.2</v>
          </cell>
          <cell r="AI2012">
            <v>0.2</v>
          </cell>
          <cell r="AJ2012">
            <v>0.2</v>
          </cell>
          <cell r="AK2012">
            <v>0.2</v>
          </cell>
          <cell r="AL2012">
            <v>0.2</v>
          </cell>
          <cell r="AM2012">
            <v>0.2</v>
          </cell>
          <cell r="AN2012">
            <v>0.2</v>
          </cell>
          <cell r="AO2012">
            <v>0.2</v>
          </cell>
          <cell r="AP2012">
            <v>0.2</v>
          </cell>
          <cell r="AQ2012">
            <v>0.2</v>
          </cell>
          <cell r="AR2012">
            <v>0.2</v>
          </cell>
          <cell r="AS2012">
            <v>0.2</v>
          </cell>
          <cell r="AT2012">
            <v>-0.04</v>
          </cell>
          <cell r="AU2012">
            <v>0.92</v>
          </cell>
          <cell r="AV2012">
            <v>20</v>
          </cell>
          <cell r="AY2012" t="str">
            <v/>
          </cell>
          <cell r="AZ2012">
            <v>0.2</v>
          </cell>
          <cell r="BA2012">
            <v>0.2</v>
          </cell>
        </row>
        <row r="2013">
          <cell r="A2013" t="str">
            <v>PUNTO INFISSI SNC</v>
          </cell>
          <cell r="D2013" t="str">
            <v>VIA CHANOUX, 1 B</v>
          </cell>
          <cell r="E2013">
            <v>11020</v>
          </cell>
          <cell r="F2013" t="str">
            <v>HONE</v>
          </cell>
          <cell r="G2013" t="str">
            <v>AO</v>
          </cell>
          <cell r="H2013" t="str">
            <v>ITALIA</v>
          </cell>
          <cell r="J2013" t="str">
            <v>01097730079</v>
          </cell>
          <cell r="M2013" t="str">
            <v>UFFICIO ACQUISTI</v>
          </cell>
          <cell r="N2013" t="str">
            <v>0125 809874</v>
          </cell>
          <cell r="R2013" t="str">
            <v>BONIFICO BANCARIO, ALLA DATA DELLA NOSTRA CONFERMA D'ORDINE</v>
          </cell>
          <cell r="X2013">
            <v>0.25</v>
          </cell>
          <cell r="Y2013">
            <v>-0.04</v>
          </cell>
          <cell r="AB2013">
            <v>0.25</v>
          </cell>
          <cell r="AC2013">
            <v>0.25</v>
          </cell>
          <cell r="AD2013">
            <v>0.25</v>
          </cell>
          <cell r="AE2013">
            <v>0.25</v>
          </cell>
          <cell r="AF2013">
            <v>0.25</v>
          </cell>
          <cell r="AG2013">
            <v>0.25</v>
          </cell>
          <cell r="AH2013">
            <v>0.25</v>
          </cell>
          <cell r="AI2013">
            <v>0.25</v>
          </cell>
          <cell r="AJ2013">
            <v>0.25</v>
          </cell>
          <cell r="AK2013">
            <v>0.25</v>
          </cell>
          <cell r="AL2013">
            <v>0.25</v>
          </cell>
          <cell r="AM2013">
            <v>0.25</v>
          </cell>
          <cell r="AN2013">
            <v>0.25</v>
          </cell>
          <cell r="AO2013">
            <v>0.25</v>
          </cell>
          <cell r="AP2013">
            <v>0.25</v>
          </cell>
          <cell r="AQ2013">
            <v>0.25</v>
          </cell>
          <cell r="AR2013">
            <v>0.25</v>
          </cell>
          <cell r="AS2013">
            <v>0.25</v>
          </cell>
          <cell r="AT2013">
            <v>-0.04</v>
          </cell>
          <cell r="AU2013">
            <v>0.92</v>
          </cell>
          <cell r="AV2013">
            <v>20</v>
          </cell>
          <cell r="AZ2013">
            <v>0.25</v>
          </cell>
          <cell r="BA2013">
            <v>0.25</v>
          </cell>
        </row>
        <row r="2014">
          <cell r="A2014" t="str">
            <v>PUNTO PORTE - FINESTRE</v>
          </cell>
          <cell r="D2014" t="str">
            <v>VIA BELICE 21</v>
          </cell>
          <cell r="E2014" t="str">
            <v>04100</v>
          </cell>
          <cell r="F2014" t="str">
            <v>LATINA</v>
          </cell>
          <cell r="G2014" t="str">
            <v>LT</v>
          </cell>
          <cell r="H2014" t="str">
            <v>ITALIA</v>
          </cell>
          <cell r="M2014" t="str">
            <v>UFFICIO ACQUISTI</v>
          </cell>
          <cell r="N2014" t="str">
            <v>07731718278</v>
          </cell>
          <cell r="P2014" t="str">
            <v>puntoportesrl@libero.it</v>
          </cell>
          <cell r="R2014" t="str">
            <v>BONIFICO BANCARIO, ALLA DATA DELLA NOSTRA CONFERMA D'ORDINE</v>
          </cell>
          <cell r="X2014">
            <v>0.25</v>
          </cell>
          <cell r="Y2014">
            <v>-0.04</v>
          </cell>
          <cell r="AB2014">
            <v>0.25</v>
          </cell>
          <cell r="AC2014">
            <v>0.25</v>
          </cell>
          <cell r="AD2014">
            <v>0.25</v>
          </cell>
          <cell r="AE2014">
            <v>0.25</v>
          </cell>
          <cell r="AF2014">
            <v>0.25</v>
          </cell>
          <cell r="AG2014">
            <v>0.25</v>
          </cell>
          <cell r="AH2014">
            <v>0.25</v>
          </cell>
          <cell r="AI2014">
            <v>0.25</v>
          </cell>
          <cell r="AJ2014">
            <v>0.25</v>
          </cell>
          <cell r="AK2014">
            <v>0.25</v>
          </cell>
          <cell r="AL2014">
            <v>0.25</v>
          </cell>
          <cell r="AM2014">
            <v>0.25</v>
          </cell>
          <cell r="AN2014">
            <v>0.25</v>
          </cell>
          <cell r="AO2014">
            <v>0.25</v>
          </cell>
          <cell r="AP2014">
            <v>0.25</v>
          </cell>
          <cell r="AQ2014">
            <v>0.25</v>
          </cell>
          <cell r="AR2014">
            <v>0.25</v>
          </cell>
          <cell r="AS2014">
            <v>0.25</v>
          </cell>
          <cell r="AT2014">
            <v>-0.04</v>
          </cell>
          <cell r="AU2014">
            <v>0.92</v>
          </cell>
          <cell r="AV2014">
            <v>20</v>
          </cell>
          <cell r="AY2014" t="str">
            <v/>
          </cell>
          <cell r="AZ2014">
            <v>0.25</v>
          </cell>
          <cell r="BA2014">
            <v>0.25</v>
          </cell>
        </row>
        <row r="2015">
          <cell r="A2015" t="str">
            <v>PUNTO PORTE DI CIRELLA EMANUELE</v>
          </cell>
          <cell r="D2015" t="str">
            <v>VIA DEL PRATELLINO 40/R</v>
          </cell>
          <cell r="E2015" t="str">
            <v>50131</v>
          </cell>
          <cell r="F2015" t="str">
            <v>FIRENZE</v>
          </cell>
          <cell r="G2015" t="str">
            <v>FI</v>
          </cell>
          <cell r="H2015" t="str">
            <v>ITALIA</v>
          </cell>
          <cell r="J2015" t="str">
            <v>03498120611</v>
          </cell>
          <cell r="M2015" t="str">
            <v>UFFICIO ACQUISTI</v>
          </cell>
          <cell r="N2015" t="str">
            <v>055 2699979</v>
          </cell>
          <cell r="O2015" t="str">
            <v>340 7029951</v>
          </cell>
          <cell r="P2015" t="str">
            <v>commercialepuntoporte@gmail.com</v>
          </cell>
          <cell r="R2015" t="str">
            <v>BONIFICO BANCARIO, ALLA DATA DELLA NOSTRA CONFERMA D'ORDINE</v>
          </cell>
          <cell r="X2015">
            <v>0.2</v>
          </cell>
          <cell r="Y2015">
            <v>-0.04</v>
          </cell>
          <cell r="AB2015">
            <v>0.2</v>
          </cell>
          <cell r="AC2015">
            <v>0.2</v>
          </cell>
          <cell r="AD2015">
            <v>0.2</v>
          </cell>
          <cell r="AE2015">
            <v>0.2</v>
          </cell>
          <cell r="AF2015">
            <v>0.2</v>
          </cell>
          <cell r="AG2015">
            <v>0.2</v>
          </cell>
          <cell r="AH2015">
            <v>0.2</v>
          </cell>
          <cell r="AI2015">
            <v>0.2</v>
          </cell>
          <cell r="AJ2015">
            <v>0.2</v>
          </cell>
          <cell r="AK2015">
            <v>0.2</v>
          </cell>
          <cell r="AL2015">
            <v>0.2</v>
          </cell>
          <cell r="AM2015">
            <v>0.2</v>
          </cell>
          <cell r="AN2015">
            <v>0.2</v>
          </cell>
          <cell r="AO2015">
            <v>0.2</v>
          </cell>
          <cell r="AP2015">
            <v>0.2</v>
          </cell>
          <cell r="AQ2015">
            <v>0.2</v>
          </cell>
          <cell r="AR2015">
            <v>0.2</v>
          </cell>
          <cell r="AS2015">
            <v>0.2</v>
          </cell>
          <cell r="AT2015">
            <v>-0.04</v>
          </cell>
          <cell r="AU2015">
            <v>0.92</v>
          </cell>
          <cell r="AV2015">
            <v>20</v>
          </cell>
          <cell r="AY2015" t="str">
            <v/>
          </cell>
          <cell r="AZ2015">
            <v>0.2</v>
          </cell>
          <cell r="BA2015">
            <v>0.2</v>
          </cell>
        </row>
        <row r="2016">
          <cell r="A2016" t="str">
            <v>PUNTO PORTE SRL</v>
          </cell>
          <cell r="D2016" t="str">
            <v>VIA BELICE 21</v>
          </cell>
          <cell r="E2016" t="str">
            <v>04100</v>
          </cell>
          <cell r="F2016" t="str">
            <v>LATINA</v>
          </cell>
          <cell r="G2016" t="str">
            <v>LT</v>
          </cell>
          <cell r="H2016" t="str">
            <v>ITALIA</v>
          </cell>
          <cell r="J2016" t="str">
            <v>02997160599</v>
          </cell>
          <cell r="M2016" t="str">
            <v>UFFICIO ACQUISTI</v>
          </cell>
          <cell r="N2016" t="str">
            <v>0773 1718278</v>
          </cell>
          <cell r="R2016" t="str">
            <v>BONIFICO BANCARIO, ALLA DATA DELLA NOSTRA CONFERMA D'ORDINE</v>
          </cell>
          <cell r="X2016">
            <v>0.2</v>
          </cell>
          <cell r="Y2016">
            <v>-0.04</v>
          </cell>
          <cell r="AB2016">
            <v>0.2</v>
          </cell>
          <cell r="AC2016">
            <v>0.2</v>
          </cell>
          <cell r="AD2016">
            <v>0.2</v>
          </cell>
          <cell r="AE2016">
            <v>0.2</v>
          </cell>
          <cell r="AF2016">
            <v>0.2</v>
          </cell>
          <cell r="AG2016">
            <v>0.2</v>
          </cell>
          <cell r="AH2016">
            <v>0.2</v>
          </cell>
          <cell r="AI2016">
            <v>0.2</v>
          </cell>
          <cell r="AJ2016">
            <v>0.2</v>
          </cell>
          <cell r="AK2016">
            <v>0.2</v>
          </cell>
          <cell r="AL2016">
            <v>0.2</v>
          </cell>
          <cell r="AM2016">
            <v>0.2</v>
          </cell>
          <cell r="AN2016">
            <v>0.2</v>
          </cell>
          <cell r="AO2016">
            <v>0.2</v>
          </cell>
          <cell r="AP2016">
            <v>0.2</v>
          </cell>
          <cell r="AQ2016">
            <v>0.2</v>
          </cell>
          <cell r="AR2016">
            <v>0.2</v>
          </cell>
          <cell r="AS2016">
            <v>0.2</v>
          </cell>
          <cell r="AT2016">
            <v>-0.04</v>
          </cell>
          <cell r="AU2016">
            <v>0.92</v>
          </cell>
          <cell r="AV2016">
            <v>20</v>
          </cell>
          <cell r="AY2016" t="str">
            <v/>
          </cell>
          <cell r="AZ2016">
            <v>0.2</v>
          </cell>
          <cell r="BA2016">
            <v>0.2</v>
          </cell>
        </row>
        <row r="2017">
          <cell r="A2017" t="str">
            <v>PUNTO RAM SERRAMENTI</v>
          </cell>
          <cell r="B2017" t="str">
            <v>ROBERTO, QUESTO COMPRA.</v>
          </cell>
          <cell r="D2017" t="str">
            <v>VIA COLOMBARA DI VIGNANO, 8</v>
          </cell>
          <cell r="E2017" t="str">
            <v xml:space="preserve">34015 </v>
          </cell>
          <cell r="F2017" t="str">
            <v>MUGGIA</v>
          </cell>
          <cell r="G2017" t="str">
            <v>TS</v>
          </cell>
          <cell r="H2017" t="str">
            <v>ITALIA</v>
          </cell>
          <cell r="M2017" t="str">
            <v>UFFICIO ACQUISTI</v>
          </cell>
          <cell r="N2017" t="str">
            <v>040 231611</v>
          </cell>
          <cell r="O2017" t="str">
            <v>335 6994028</v>
          </cell>
          <cell r="P2017" t="str">
            <v>ennio@puntoram.it</v>
          </cell>
          <cell r="R2017" t="str">
            <v>BONIFICO BANCARIO, ALLA DATA DELLA NOSTRA CONFERMA D'ORDINE</v>
          </cell>
          <cell r="X2017">
            <v>0.2</v>
          </cell>
          <cell r="Y2017">
            <v>-0.04</v>
          </cell>
          <cell r="AB2017">
            <v>0.2</v>
          </cell>
          <cell r="AC2017">
            <v>0.2</v>
          </cell>
          <cell r="AD2017">
            <v>0.2</v>
          </cell>
          <cell r="AE2017">
            <v>0.2</v>
          </cell>
          <cell r="AF2017">
            <v>0.2</v>
          </cell>
          <cell r="AG2017">
            <v>0.2</v>
          </cell>
          <cell r="AH2017">
            <v>0.2</v>
          </cell>
          <cell r="AI2017">
            <v>0.2</v>
          </cell>
          <cell r="AJ2017">
            <v>0.2</v>
          </cell>
          <cell r="AK2017">
            <v>0.2</v>
          </cell>
          <cell r="AL2017">
            <v>0.2</v>
          </cell>
          <cell r="AM2017">
            <v>0.2</v>
          </cell>
          <cell r="AN2017">
            <v>0.2</v>
          </cell>
          <cell r="AO2017">
            <v>0.2</v>
          </cell>
          <cell r="AP2017">
            <v>0.2</v>
          </cell>
          <cell r="AQ2017">
            <v>0.2</v>
          </cell>
          <cell r="AR2017">
            <v>0.2</v>
          </cell>
          <cell r="AS2017">
            <v>0.2</v>
          </cell>
          <cell r="AT2017">
            <v>-0.04</v>
          </cell>
          <cell r="AU2017">
            <v>0.92</v>
          </cell>
          <cell r="AV2017">
            <v>20</v>
          </cell>
          <cell r="AY2017" t="str">
            <v/>
          </cell>
          <cell r="AZ2017">
            <v>0.2</v>
          </cell>
          <cell r="BA2017">
            <v>0.2</v>
          </cell>
        </row>
        <row r="2018">
          <cell r="A2018" t="str">
            <v>PUNTO SERRAMNETI SERVICE</v>
          </cell>
          <cell r="B2018" t="str">
            <v xml:space="preserve">RIVENDITORE TRITONE   - LA PRIMA BARRIERA CHE FA LA PRENDE DA NOI - LA PRIMA CHE VENDE CI CHIAMA - P.S. VORREBBE VENIRE LUI A RITIRARE </v>
          </cell>
          <cell r="D2018" t="str">
            <v>P.ZZA UMBERTO I°, 31</v>
          </cell>
          <cell r="E2018">
            <v>44015</v>
          </cell>
          <cell r="F2018" t="str">
            <v>PORTOMAGGIORE</v>
          </cell>
          <cell r="G2018" t="str">
            <v>FE</v>
          </cell>
          <cell r="H2018" t="str">
            <v>ITALIA</v>
          </cell>
          <cell r="I2018" t="str">
            <v>BLLNDR71E20D548R</v>
          </cell>
          <cell r="J2018" t="str">
            <v>01853300380</v>
          </cell>
          <cell r="M2018" t="str">
            <v>UFFICIO ACQUISTI</v>
          </cell>
          <cell r="N2018" t="str">
            <v>0532 1867302</v>
          </cell>
          <cell r="O2018" t="str">
            <v>329 2814337</v>
          </cell>
          <cell r="P2018" t="str">
            <v>puntoserramentiservice@gmail.com</v>
          </cell>
          <cell r="R2018" t="str">
            <v>BONIFICO BANCARIO, ALLA DATA DELLA NOSTRA CONFERMA D'ORDINE</v>
          </cell>
          <cell r="X2018">
            <v>0.25</v>
          </cell>
          <cell r="Y2018">
            <v>-0.04</v>
          </cell>
          <cell r="AB2018">
            <v>0.25</v>
          </cell>
          <cell r="AC2018">
            <v>0.25</v>
          </cell>
          <cell r="AD2018">
            <v>0.25</v>
          </cell>
          <cell r="AE2018">
            <v>0.25</v>
          </cell>
          <cell r="AF2018">
            <v>0.25</v>
          </cell>
          <cell r="AG2018">
            <v>0.25</v>
          </cell>
          <cell r="AH2018">
            <v>0.25</v>
          </cell>
          <cell r="AI2018">
            <v>0.25</v>
          </cell>
          <cell r="AJ2018">
            <v>0.25</v>
          </cell>
          <cell r="AK2018">
            <v>0.25</v>
          </cell>
          <cell r="AL2018">
            <v>0.25</v>
          </cell>
          <cell r="AM2018">
            <v>0.25</v>
          </cell>
          <cell r="AN2018">
            <v>0.25</v>
          </cell>
          <cell r="AO2018">
            <v>0.25</v>
          </cell>
          <cell r="AP2018">
            <v>0.25</v>
          </cell>
          <cell r="AQ2018">
            <v>0.25</v>
          </cell>
          <cell r="AR2018">
            <v>0.25</v>
          </cell>
          <cell r="AS2018">
            <v>0.25</v>
          </cell>
          <cell r="AT2018">
            <v>-0.04</v>
          </cell>
          <cell r="AU2018">
            <v>0.92</v>
          </cell>
          <cell r="AV2018">
            <v>20</v>
          </cell>
          <cell r="AY2018" t="str">
            <v/>
          </cell>
          <cell r="AZ2018">
            <v>0.25</v>
          </cell>
          <cell r="BA2018">
            <v>0.25</v>
          </cell>
        </row>
        <row r="2019">
          <cell r="A2019" t="str">
            <v>PUNTO SICUREZZA CASA</v>
          </cell>
          <cell r="H2019" t="str">
            <v>ITALIA</v>
          </cell>
          <cell r="M2019" t="str">
            <v>UFFICIO ACQUISTI</v>
          </cell>
          <cell r="O2019" t="str">
            <v>345 6846431 ROBERTO CORBETTA</v>
          </cell>
          <cell r="R2019" t="str">
            <v>BONIFICO BANCARIO, ALLA DATA DELLA NOSTRA CONFERMA D'ORDINE</v>
          </cell>
          <cell r="X2019">
            <v>0.25</v>
          </cell>
          <cell r="Y2019">
            <v>-0.04</v>
          </cell>
          <cell r="AB2019">
            <v>0.25</v>
          </cell>
          <cell r="AC2019">
            <v>0.25</v>
          </cell>
          <cell r="AD2019">
            <v>0.25</v>
          </cell>
          <cell r="AE2019">
            <v>0.25</v>
          </cell>
          <cell r="AF2019">
            <v>0.25</v>
          </cell>
          <cell r="AG2019">
            <v>0.25</v>
          </cell>
          <cell r="AH2019">
            <v>0.25</v>
          </cell>
          <cell r="AI2019">
            <v>0.25</v>
          </cell>
          <cell r="AJ2019">
            <v>0.25</v>
          </cell>
          <cell r="AK2019">
            <v>0.25</v>
          </cell>
          <cell r="AL2019">
            <v>0.25</v>
          </cell>
          <cell r="AM2019">
            <v>0.25</v>
          </cell>
          <cell r="AN2019">
            <v>0.25</v>
          </cell>
          <cell r="AO2019">
            <v>0.25</v>
          </cell>
          <cell r="AP2019">
            <v>0.25</v>
          </cell>
          <cell r="AQ2019">
            <v>0.25</v>
          </cell>
          <cell r="AR2019">
            <v>0.25</v>
          </cell>
          <cell r="AS2019">
            <v>0.25</v>
          </cell>
          <cell r="AT2019">
            <v>-0.04</v>
          </cell>
          <cell r="AU2019">
            <v>0.92</v>
          </cell>
          <cell r="AV2019">
            <v>20</v>
          </cell>
          <cell r="AY2019" t="str">
            <v/>
          </cell>
          <cell r="AZ2019">
            <v>0.25</v>
          </cell>
          <cell r="BA2019">
            <v>0.25</v>
          </cell>
        </row>
        <row r="2020">
          <cell r="A2020" t="str">
            <v>PUNTO SICUREZZA CASA SRL</v>
          </cell>
          <cell r="B2020" t="str">
            <v>FABIO PELLEGRINELLI CONS.COMM.LE</v>
          </cell>
          <cell r="D2020" t="str">
            <v>VIA G.MATTEOTTI, 66</v>
          </cell>
          <cell r="E2020" t="str">
            <v>20851</v>
          </cell>
          <cell r="F2020" t="str">
            <v xml:space="preserve">LISSONE </v>
          </cell>
          <cell r="G2020" t="str">
            <v>BG</v>
          </cell>
          <cell r="H2020" t="str">
            <v>ITALIA</v>
          </cell>
          <cell r="L2020" t="str">
            <v>VIA M.BUTTARO, 4E - DALMINE 035 0560270</v>
          </cell>
          <cell r="M2020" t="str">
            <v>UFFICIO ACQUISTI</v>
          </cell>
          <cell r="N2020" t="str">
            <v>039 2145200</v>
          </cell>
          <cell r="O2020" t="str">
            <v>344 2221121 FABIO PELLEGRINELLI</v>
          </cell>
          <cell r="P2020" t="str">
            <v>fabiopellegrinelli@puntosicurezzacasa.it</v>
          </cell>
          <cell r="R2020" t="str">
            <v>BONIFICO BANCARIO, ALLA DATA DELLA NOSTRA CONFERMA D'ORDINE</v>
          </cell>
          <cell r="X2020">
            <v>0.2</v>
          </cell>
          <cell r="Y2020">
            <v>-0.04</v>
          </cell>
          <cell r="AB2020">
            <v>0.2</v>
          </cell>
          <cell r="AC2020">
            <v>0.2</v>
          </cell>
          <cell r="AD2020">
            <v>0.2</v>
          </cell>
          <cell r="AE2020">
            <v>0.2</v>
          </cell>
          <cell r="AF2020">
            <v>0.2</v>
          </cell>
          <cell r="AG2020">
            <v>0.2</v>
          </cell>
          <cell r="AH2020">
            <v>0.2</v>
          </cell>
          <cell r="AI2020">
            <v>0.2</v>
          </cell>
          <cell r="AJ2020">
            <v>0.2</v>
          </cell>
          <cell r="AK2020">
            <v>0.2</v>
          </cell>
          <cell r="AL2020">
            <v>0.2</v>
          </cell>
          <cell r="AM2020">
            <v>0.2</v>
          </cell>
          <cell r="AN2020">
            <v>0.2</v>
          </cell>
          <cell r="AO2020">
            <v>0.2</v>
          </cell>
          <cell r="AP2020">
            <v>0.2</v>
          </cell>
          <cell r="AQ2020">
            <v>0.2</v>
          </cell>
          <cell r="AR2020">
            <v>0.2</v>
          </cell>
          <cell r="AS2020">
            <v>0.2</v>
          </cell>
          <cell r="AT2020">
            <v>-0.04</v>
          </cell>
          <cell r="AU2020">
            <v>0.92</v>
          </cell>
          <cell r="AV2020">
            <v>20</v>
          </cell>
          <cell r="AZ2020">
            <v>0.2</v>
          </cell>
          <cell r="BA2020">
            <v>0.2</v>
          </cell>
        </row>
        <row r="2021">
          <cell r="A2021" t="str">
            <v>PUNTO TENDA</v>
          </cell>
          <cell r="E2021" t="str">
            <v>15066</v>
          </cell>
          <cell r="F2021" t="str">
            <v>GAVI</v>
          </cell>
          <cell r="G2021" t="str">
            <v>AL</v>
          </cell>
          <cell r="H2021" t="str">
            <v>ITALIA</v>
          </cell>
          <cell r="M2021" t="str">
            <v>UFFICIO ACQUISTI</v>
          </cell>
          <cell r="R2021" t="str">
            <v>BONIFICO BANCARIO, ALLA DATA DELLA NOSTRA CONFERMA D'ORDINE</v>
          </cell>
          <cell r="X2021">
            <v>0.25</v>
          </cell>
          <cell r="Y2021">
            <v>-0.04</v>
          </cell>
          <cell r="AB2021">
            <v>0.25</v>
          </cell>
          <cell r="AC2021">
            <v>0.25</v>
          </cell>
          <cell r="AD2021">
            <v>0.25</v>
          </cell>
          <cell r="AE2021">
            <v>0.25</v>
          </cell>
          <cell r="AF2021">
            <v>0.25</v>
          </cell>
          <cell r="AG2021">
            <v>0.25</v>
          </cell>
          <cell r="AH2021">
            <v>0.25</v>
          </cell>
          <cell r="AI2021">
            <v>0.25</v>
          </cell>
          <cell r="AJ2021">
            <v>0.25</v>
          </cell>
          <cell r="AK2021">
            <v>0.25</v>
          </cell>
          <cell r="AL2021">
            <v>0.25</v>
          </cell>
          <cell r="AM2021">
            <v>0.25</v>
          </cell>
          <cell r="AN2021">
            <v>0.25</v>
          </cell>
          <cell r="AO2021">
            <v>0.25</v>
          </cell>
          <cell r="AP2021">
            <v>0.25</v>
          </cell>
          <cell r="AQ2021">
            <v>0.25</v>
          </cell>
          <cell r="AR2021">
            <v>0.25</v>
          </cell>
          <cell r="AS2021">
            <v>0.25</v>
          </cell>
          <cell r="AT2021">
            <v>-0.04</v>
          </cell>
          <cell r="AU2021">
            <v>0.92</v>
          </cell>
          <cell r="AV2021">
            <v>20</v>
          </cell>
          <cell r="AY2021" t="str">
            <v/>
          </cell>
          <cell r="AZ2021">
            <v>0.25</v>
          </cell>
          <cell r="BA2021">
            <v>0.25</v>
          </cell>
        </row>
        <row r="2022">
          <cell r="A2022" t="str">
            <v>PUNTO-CI SRL</v>
          </cell>
          <cell r="D2022" t="str">
            <v>VIA A. BOITO 8</v>
          </cell>
          <cell r="E2022" t="str">
            <v>31048</v>
          </cell>
          <cell r="F2022" t="str">
            <v>SAN BIAGIO DI CALLALTA</v>
          </cell>
          <cell r="G2022" t="str">
            <v>TV</v>
          </cell>
          <cell r="H2022" t="str">
            <v>ITALIA</v>
          </cell>
          <cell r="J2022" t="str">
            <v>02301100265</v>
          </cell>
          <cell r="M2022" t="str">
            <v>UFFICIO ACQUISTI</v>
          </cell>
          <cell r="N2022" t="str">
            <v>0422 797529</v>
          </cell>
          <cell r="P2022" t="str">
            <v>info@puntoci.it</v>
          </cell>
          <cell r="R2022" t="str">
            <v>BONIFICO BANCARIO, ALLA DATA DELLA NOSTRA CONFERMA D'ORDINE</v>
          </cell>
          <cell r="X2022">
            <v>0.25</v>
          </cell>
          <cell r="Y2022">
            <v>-0.04</v>
          </cell>
          <cell r="AB2022">
            <v>0.25</v>
          </cell>
          <cell r="AC2022">
            <v>0.25</v>
          </cell>
          <cell r="AD2022">
            <v>0.25</v>
          </cell>
          <cell r="AE2022">
            <v>0.25</v>
          </cell>
          <cell r="AF2022">
            <v>0.25</v>
          </cell>
          <cell r="AG2022">
            <v>0.25</v>
          </cell>
          <cell r="AH2022">
            <v>0.25</v>
          </cell>
          <cell r="AI2022">
            <v>0.25</v>
          </cell>
          <cell r="AJ2022">
            <v>0.25</v>
          </cell>
          <cell r="AK2022">
            <v>0.25</v>
          </cell>
          <cell r="AL2022">
            <v>0.25</v>
          </cell>
          <cell r="AM2022">
            <v>0.25</v>
          </cell>
          <cell r="AN2022">
            <v>0.25</v>
          </cell>
          <cell r="AO2022">
            <v>0.25</v>
          </cell>
          <cell r="AP2022">
            <v>0.25</v>
          </cell>
          <cell r="AQ2022">
            <v>0.25</v>
          </cell>
          <cell r="AR2022">
            <v>0.25</v>
          </cell>
          <cell r="AS2022">
            <v>0.25</v>
          </cell>
          <cell r="AT2022">
            <v>-0.04</v>
          </cell>
          <cell r="AU2022">
            <v>0.92</v>
          </cell>
          <cell r="AV2022">
            <v>20</v>
          </cell>
          <cell r="AY2022" t="str">
            <v/>
          </cell>
          <cell r="AZ2022">
            <v>0.25</v>
          </cell>
          <cell r="BA2022">
            <v>0.25</v>
          </cell>
        </row>
        <row r="2023">
          <cell r="A2023" t="str">
            <v>PUNTOMETAL F.LLI CENTAMORE</v>
          </cell>
          <cell r="B2023" t="str">
            <v>14/02/23 NON INTERESSATI</v>
          </cell>
          <cell r="D2023" t="str">
            <v>VIA DEGLI ESPORTATORI, 46 48</v>
          </cell>
          <cell r="E2023">
            <v>96016</v>
          </cell>
          <cell r="F2023" t="str">
            <v>LENTINI</v>
          </cell>
          <cell r="G2023" t="str">
            <v>SR</v>
          </cell>
          <cell r="H2023" t="str">
            <v>ITALIA</v>
          </cell>
          <cell r="M2023" t="str">
            <v>UFFICIO ACQUISTI</v>
          </cell>
          <cell r="N2023" t="str">
            <v>095 901985</v>
          </cell>
          <cell r="O2023" t="str">
            <v>339 8553893- 339 8288857- 339 8421110</v>
          </cell>
          <cell r="P2023" t="str">
            <v>info@puntometal.it</v>
          </cell>
          <cell r="R2023" t="str">
            <v>BONIFICO BANCARIO, ALLA DATA DELLA NOSTRA CONFERMA D'ORDINE</v>
          </cell>
          <cell r="X2023">
            <v>0.25</v>
          </cell>
          <cell r="Y2023">
            <v>-0.04</v>
          </cell>
          <cell r="AB2023">
            <v>0.25</v>
          </cell>
          <cell r="AC2023">
            <v>0.25</v>
          </cell>
          <cell r="AD2023">
            <v>0.25</v>
          </cell>
          <cell r="AE2023">
            <v>0.25</v>
          </cell>
          <cell r="AF2023">
            <v>0.25</v>
          </cell>
          <cell r="AG2023">
            <v>0.25</v>
          </cell>
          <cell r="AH2023">
            <v>0.25</v>
          </cell>
          <cell r="AI2023">
            <v>0.25</v>
          </cell>
          <cell r="AJ2023">
            <v>0.25</v>
          </cell>
          <cell r="AK2023">
            <v>0.25</v>
          </cell>
          <cell r="AL2023">
            <v>0.25</v>
          </cell>
          <cell r="AM2023">
            <v>0.25</v>
          </cell>
          <cell r="AN2023">
            <v>0.25</v>
          </cell>
          <cell r="AO2023">
            <v>0.25</v>
          </cell>
          <cell r="AP2023">
            <v>0.25</v>
          </cell>
          <cell r="AQ2023">
            <v>0.25</v>
          </cell>
          <cell r="AR2023">
            <v>0.25</v>
          </cell>
          <cell r="AS2023">
            <v>0.25</v>
          </cell>
          <cell r="AT2023">
            <v>-0.04</v>
          </cell>
          <cell r="AU2023">
            <v>0.92</v>
          </cell>
          <cell r="AV2023">
            <v>20</v>
          </cell>
          <cell r="AY2023" t="str">
            <v/>
          </cell>
          <cell r="AZ2023">
            <v>0.25</v>
          </cell>
          <cell r="BA2023">
            <v>0.25</v>
          </cell>
        </row>
        <row r="2024">
          <cell r="A2024" t="str">
            <v>PUNTOPRIMO DI FUSCHINI MONICA E PAOLO S.N.C.</v>
          </cell>
          <cell r="D2024" t="str">
            <v>VIA CELLETTA, 41</v>
          </cell>
          <cell r="E2024" t="str">
            <v>44011</v>
          </cell>
          <cell r="F2024" t="str">
            <v>ARGENTA</v>
          </cell>
          <cell r="G2024" t="str">
            <v>FE</v>
          </cell>
          <cell r="H2024" t="str">
            <v>ITALIA</v>
          </cell>
          <cell r="J2024" t="str">
            <v>01503760389</v>
          </cell>
          <cell r="M2024" t="str">
            <v>UFFICIO ACQUISTI</v>
          </cell>
          <cell r="N2024" t="str">
            <v>0532 804331</v>
          </cell>
          <cell r="P2024" t="str">
            <v>andrea@puntoprimoinfissi.it</v>
          </cell>
          <cell r="R2024" t="str">
            <v>BONIFICO BANCARIO, ALLA DATA DELLA NOSTRA CONFERMA D'ORDINE</v>
          </cell>
          <cell r="X2024">
            <v>0.25</v>
          </cell>
          <cell r="Y2024">
            <v>-0.04</v>
          </cell>
          <cell r="AB2024">
            <v>0.25</v>
          </cell>
          <cell r="AC2024">
            <v>0.25</v>
          </cell>
          <cell r="AD2024">
            <v>0.25</v>
          </cell>
          <cell r="AE2024">
            <v>0.25</v>
          </cell>
          <cell r="AF2024">
            <v>0.25</v>
          </cell>
          <cell r="AG2024">
            <v>0.25</v>
          </cell>
          <cell r="AH2024">
            <v>0.25</v>
          </cell>
          <cell r="AI2024">
            <v>0.25</v>
          </cell>
          <cell r="AJ2024">
            <v>0.25</v>
          </cell>
          <cell r="AK2024">
            <v>0.25</v>
          </cell>
          <cell r="AL2024">
            <v>0.25</v>
          </cell>
          <cell r="AM2024">
            <v>0.25</v>
          </cell>
          <cell r="AN2024">
            <v>0.25</v>
          </cell>
          <cell r="AO2024">
            <v>0.25</v>
          </cell>
          <cell r="AP2024">
            <v>0.25</v>
          </cell>
          <cell r="AQ2024">
            <v>0.25</v>
          </cell>
          <cell r="AR2024">
            <v>0.25</v>
          </cell>
          <cell r="AS2024">
            <v>0.25</v>
          </cell>
          <cell r="AT2024">
            <v>-0.04</v>
          </cell>
          <cell r="AU2024">
            <v>0.92</v>
          </cell>
          <cell r="AV2024">
            <v>20</v>
          </cell>
          <cell r="AZ2024">
            <v>0.25</v>
          </cell>
          <cell r="BA2024">
            <v>0.25</v>
          </cell>
        </row>
        <row r="2025">
          <cell r="A2025" t="str">
            <v>PUSCEDDU SERRAMENTI</v>
          </cell>
          <cell r="B2025" t="str">
            <v>SOLO BIGLIETTO DA VISITA</v>
          </cell>
          <cell r="D2025" t="str">
            <v>VIA MARCONI, 704</v>
          </cell>
          <cell r="E2025" t="str">
            <v>09045</v>
          </cell>
          <cell r="F2025" t="str">
            <v>QUARTU S.ELENA</v>
          </cell>
          <cell r="G2025" t="str">
            <v>CA</v>
          </cell>
          <cell r="H2025" t="str">
            <v>ITALIA</v>
          </cell>
          <cell r="M2025" t="str">
            <v>UFFICIO ACQUISTI</v>
          </cell>
          <cell r="N2025" t="str">
            <v>070 2890293</v>
          </cell>
          <cell r="O2025" t="str">
            <v xml:space="preserve">347 5591261 </v>
          </cell>
          <cell r="P2025" t="str">
            <v>pusceddutore@gmail.com</v>
          </cell>
          <cell r="R2025" t="str">
            <v>BONIFICO BANCARIO, ALLA DATA DELLA NOSTRA CONFERMA D'ORDINE</v>
          </cell>
          <cell r="X2025">
            <v>0.25</v>
          </cell>
          <cell r="Y2025">
            <v>-0.04</v>
          </cell>
          <cell r="AB2025">
            <v>0.25</v>
          </cell>
          <cell r="AC2025">
            <v>0.25</v>
          </cell>
          <cell r="AD2025">
            <v>0.25</v>
          </cell>
          <cell r="AE2025">
            <v>0.25</v>
          </cell>
          <cell r="AF2025">
            <v>0.25</v>
          </cell>
          <cell r="AG2025">
            <v>0.25</v>
          </cell>
          <cell r="AH2025">
            <v>0.25</v>
          </cell>
          <cell r="AI2025">
            <v>0.25</v>
          </cell>
          <cell r="AJ2025">
            <v>0.25</v>
          </cell>
          <cell r="AK2025">
            <v>0.25</v>
          </cell>
          <cell r="AL2025">
            <v>0.25</v>
          </cell>
          <cell r="AM2025">
            <v>0.25</v>
          </cell>
          <cell r="AN2025">
            <v>0.25</v>
          </cell>
          <cell r="AO2025">
            <v>0.25</v>
          </cell>
          <cell r="AP2025">
            <v>0.25</v>
          </cell>
          <cell r="AQ2025">
            <v>0.25</v>
          </cell>
          <cell r="AR2025">
            <v>0.25</v>
          </cell>
          <cell r="AS2025">
            <v>0.25</v>
          </cell>
          <cell r="AT2025">
            <v>-0.04</v>
          </cell>
          <cell r="AU2025">
            <v>0.92</v>
          </cell>
          <cell r="AV2025">
            <v>20</v>
          </cell>
          <cell r="AZ2025">
            <v>0.25</v>
          </cell>
          <cell r="BA2025">
            <v>0.25</v>
          </cell>
        </row>
        <row r="2026">
          <cell r="A2026" t="str">
            <v>PUTELLI</v>
          </cell>
          <cell r="D2026" t="str">
            <v>VIA J. GUTEMBERG, 30</v>
          </cell>
          <cell r="E2026">
            <v>25020</v>
          </cell>
          <cell r="F2026" t="str">
            <v>PONCARALE</v>
          </cell>
          <cell r="G2026" t="str">
            <v>BS</v>
          </cell>
          <cell r="H2026" t="str">
            <v>ITALIA</v>
          </cell>
          <cell r="M2026" t="str">
            <v>UFFICIO ACQUISTI</v>
          </cell>
          <cell r="N2026" t="str">
            <v>030 2680417</v>
          </cell>
          <cell r="R2026" t="str">
            <v>BONIFICO BANCARIO, ALLA DATA DELLA NOSTRA CONFERMA D'ORDINE</v>
          </cell>
          <cell r="X2026">
            <v>0.25</v>
          </cell>
          <cell r="Y2026">
            <v>-0.04</v>
          </cell>
          <cell r="AB2026">
            <v>0.25</v>
          </cell>
          <cell r="AC2026">
            <v>0.25</v>
          </cell>
          <cell r="AD2026">
            <v>0.25</v>
          </cell>
          <cell r="AE2026">
            <v>0.25</v>
          </cell>
          <cell r="AF2026">
            <v>0.25</v>
          </cell>
          <cell r="AG2026">
            <v>0.25</v>
          </cell>
          <cell r="AH2026">
            <v>0.25</v>
          </cell>
          <cell r="AI2026">
            <v>0.25</v>
          </cell>
          <cell r="AJ2026">
            <v>0.25</v>
          </cell>
          <cell r="AK2026">
            <v>0.25</v>
          </cell>
          <cell r="AL2026">
            <v>0.25</v>
          </cell>
          <cell r="AM2026">
            <v>0.25</v>
          </cell>
          <cell r="AN2026">
            <v>0.25</v>
          </cell>
          <cell r="AO2026">
            <v>0.25</v>
          </cell>
          <cell r="AP2026">
            <v>0.25</v>
          </cell>
          <cell r="AQ2026">
            <v>0.25</v>
          </cell>
          <cell r="AR2026">
            <v>0.25</v>
          </cell>
          <cell r="AS2026">
            <v>0.25</v>
          </cell>
          <cell r="AT2026">
            <v>-0.04</v>
          </cell>
          <cell r="AU2026">
            <v>0.92</v>
          </cell>
          <cell r="AV2026">
            <v>20</v>
          </cell>
          <cell r="AZ2026">
            <v>0.25</v>
          </cell>
          <cell r="BA2026">
            <v>0.25</v>
          </cell>
        </row>
        <row r="2027">
          <cell r="A2027" t="str">
            <v>Q.RO SRL</v>
          </cell>
          <cell r="D2027" t="str">
            <v>VIA A.VOLPICELLI, 29</v>
          </cell>
          <cell r="E2027" t="str">
            <v>80022</v>
          </cell>
          <cell r="F2027" t="str">
            <v>ARZANO</v>
          </cell>
          <cell r="G2027" t="str">
            <v>NA</v>
          </cell>
          <cell r="H2027" t="str">
            <v>ITALIA</v>
          </cell>
          <cell r="M2027" t="str">
            <v>UFFICIO ACQUISTI</v>
          </cell>
          <cell r="N2027" t="str">
            <v>081 7318474</v>
          </cell>
          <cell r="R2027" t="str">
            <v>BONIFICO BANCARIO, ALLA DATA DELLA NOSTRA CONFERMA D'ORDINE</v>
          </cell>
          <cell r="X2027">
            <v>0.25</v>
          </cell>
          <cell r="Y2027">
            <v>-0.04</v>
          </cell>
          <cell r="AB2027">
            <v>0.25</v>
          </cell>
          <cell r="AC2027">
            <v>0.25</v>
          </cell>
          <cell r="AD2027">
            <v>0.25</v>
          </cell>
          <cell r="AE2027">
            <v>0.25</v>
          </cell>
          <cell r="AF2027">
            <v>0.25</v>
          </cell>
          <cell r="AG2027">
            <v>0.25</v>
          </cell>
          <cell r="AH2027">
            <v>0.25</v>
          </cell>
          <cell r="AI2027">
            <v>0.25</v>
          </cell>
          <cell r="AJ2027">
            <v>0.25</v>
          </cell>
          <cell r="AK2027">
            <v>0.25</v>
          </cell>
          <cell r="AL2027">
            <v>0.25</v>
          </cell>
          <cell r="AM2027">
            <v>0.25</v>
          </cell>
          <cell r="AN2027">
            <v>0.25</v>
          </cell>
          <cell r="AO2027">
            <v>0.25</v>
          </cell>
          <cell r="AP2027">
            <v>0.25</v>
          </cell>
          <cell r="AQ2027">
            <v>0.25</v>
          </cell>
          <cell r="AR2027">
            <v>0.25</v>
          </cell>
          <cell r="AS2027">
            <v>0.25</v>
          </cell>
          <cell r="AT2027">
            <v>-0.04</v>
          </cell>
          <cell r="AU2027">
            <v>0.92</v>
          </cell>
          <cell r="AV2027">
            <v>20</v>
          </cell>
          <cell r="AZ2027">
            <v>0.25</v>
          </cell>
          <cell r="BA2027">
            <v>0.25</v>
          </cell>
        </row>
        <row r="2028">
          <cell r="A2028" t="str">
            <v>QR LEGNO SRL</v>
          </cell>
          <cell r="D2028" t="str">
            <v>VIA E.FERRI, 1/A</v>
          </cell>
          <cell r="E2028" t="str">
            <v>24054</v>
          </cell>
          <cell r="F2028" t="str">
            <v>CALCIO</v>
          </cell>
          <cell r="G2028" t="str">
            <v>BG</v>
          </cell>
          <cell r="H2028" t="str">
            <v>ITALIA</v>
          </cell>
          <cell r="M2028" t="str">
            <v>UFFICIO ACQUISTI</v>
          </cell>
          <cell r="N2028" t="str">
            <v>0363 969108</v>
          </cell>
          <cell r="P2028" t="str">
            <v>info@qrlegno.it</v>
          </cell>
          <cell r="R2028" t="str">
            <v>BONIFICO BANCARIO, ALLA DATA DELLA NOSTRA CONFERMA D'ORDINE</v>
          </cell>
          <cell r="X2028">
            <v>0.2</v>
          </cell>
          <cell r="Y2028">
            <v>-0.04</v>
          </cell>
          <cell r="AB2028">
            <v>0.2</v>
          </cell>
          <cell r="AC2028">
            <v>0.2</v>
          </cell>
          <cell r="AD2028">
            <v>0.2</v>
          </cell>
          <cell r="AE2028">
            <v>0.2</v>
          </cell>
          <cell r="AF2028">
            <v>0.2</v>
          </cell>
          <cell r="AG2028">
            <v>0.2</v>
          </cell>
          <cell r="AH2028">
            <v>0.2</v>
          </cell>
          <cell r="AI2028">
            <v>0.2</v>
          </cell>
          <cell r="AJ2028">
            <v>0.2</v>
          </cell>
          <cell r="AK2028">
            <v>0.2</v>
          </cell>
          <cell r="AL2028">
            <v>0.2</v>
          </cell>
          <cell r="AM2028">
            <v>0.2</v>
          </cell>
          <cell r="AN2028">
            <v>0.2</v>
          </cell>
          <cell r="AO2028">
            <v>0.2</v>
          </cell>
          <cell r="AP2028">
            <v>0.2</v>
          </cell>
          <cell r="AQ2028">
            <v>0.2</v>
          </cell>
          <cell r="AR2028">
            <v>0.2</v>
          </cell>
          <cell r="AS2028">
            <v>0.2</v>
          </cell>
          <cell r="AT2028">
            <v>-0.04</v>
          </cell>
          <cell r="AU2028">
            <v>0.92</v>
          </cell>
          <cell r="AV2028">
            <v>20</v>
          </cell>
          <cell r="AZ2028">
            <v>0.2</v>
          </cell>
          <cell r="BA2028">
            <v>0.2</v>
          </cell>
        </row>
        <row r="2029">
          <cell r="A2029" t="str">
            <v>QUARTIERI SERRAMENTI</v>
          </cell>
          <cell r="D2029" t="str">
            <v>VIA FOLLA, 9</v>
          </cell>
          <cell r="E2029">
            <v>26010</v>
          </cell>
          <cell r="F2029" t="str">
            <v>DOVERA</v>
          </cell>
          <cell r="G2029" t="str">
            <v>CR</v>
          </cell>
          <cell r="H2029" t="str">
            <v>ITALIA</v>
          </cell>
          <cell r="M2029" t="str">
            <v>UFFICIO ACQUISTI</v>
          </cell>
          <cell r="N2029" t="str">
            <v>0373 94042</v>
          </cell>
          <cell r="P2029" t="str">
            <v>amministrazione@quartieriluigi.com</v>
          </cell>
          <cell r="R2029" t="str">
            <v>BONIFICO BANCARIO, ALLA DATA DELLA NOSTRA CONFERMA D'ORDINE</v>
          </cell>
          <cell r="X2029">
            <v>0.25</v>
          </cell>
          <cell r="Y2029">
            <v>-0.04</v>
          </cell>
          <cell r="AB2029">
            <v>0.25</v>
          </cell>
          <cell r="AC2029">
            <v>0.25</v>
          </cell>
          <cell r="AD2029">
            <v>0.25</v>
          </cell>
          <cell r="AE2029">
            <v>0.25</v>
          </cell>
          <cell r="AF2029">
            <v>0.25</v>
          </cell>
          <cell r="AG2029">
            <v>0.25</v>
          </cell>
          <cell r="AH2029">
            <v>0.25</v>
          </cell>
          <cell r="AI2029">
            <v>0.25</v>
          </cell>
          <cell r="AJ2029">
            <v>0.25</v>
          </cell>
          <cell r="AK2029">
            <v>0.25</v>
          </cell>
          <cell r="AL2029">
            <v>0.25</v>
          </cell>
          <cell r="AM2029">
            <v>0.25</v>
          </cell>
          <cell r="AN2029">
            <v>0.25</v>
          </cell>
          <cell r="AO2029">
            <v>0.25</v>
          </cell>
          <cell r="AP2029">
            <v>0.25</v>
          </cell>
          <cell r="AQ2029">
            <v>0.25</v>
          </cell>
          <cell r="AR2029">
            <v>0.25</v>
          </cell>
          <cell r="AS2029">
            <v>0.25</v>
          </cell>
          <cell r="AT2029">
            <v>-0.04</v>
          </cell>
          <cell r="AU2029">
            <v>0.92</v>
          </cell>
          <cell r="AV2029">
            <v>20</v>
          </cell>
          <cell r="AY2029" t="str">
            <v/>
          </cell>
          <cell r="AZ2029">
            <v>0.25</v>
          </cell>
          <cell r="BA2029">
            <v>0.25</v>
          </cell>
        </row>
        <row r="2030">
          <cell r="A2030" t="str">
            <v>QUATTRO M</v>
          </cell>
          <cell r="B2030" t="str">
            <v>ROBERTA GASPARI RESPONSABILE COMMERCIALE</v>
          </cell>
          <cell r="D2030" t="str">
            <v>TRAVERSA CIRCONVALLAZIONE BRAN, 84</v>
          </cell>
          <cell r="E2030">
            <v>37013</v>
          </cell>
          <cell r="F2030" t="str">
            <v>CAPRINO V.SE</v>
          </cell>
          <cell r="G2030" t="str">
            <v>VR</v>
          </cell>
          <cell r="H2030" t="str">
            <v>ITALIA</v>
          </cell>
          <cell r="M2030" t="str">
            <v>UFFICIO ACQUISTI</v>
          </cell>
          <cell r="N2030" t="str">
            <v>045 7200107</v>
          </cell>
          <cell r="P2030" t="str">
            <v>info@quattrom.it</v>
          </cell>
          <cell r="R2030" t="str">
            <v>BONIFICO BANCARIO, ALLA DATA DELLA NOSTRA CONFERMA D'ORDINE</v>
          </cell>
          <cell r="X2030">
            <v>0.25</v>
          </cell>
          <cell r="Y2030">
            <v>-0.04</v>
          </cell>
          <cell r="AB2030">
            <v>0.25</v>
          </cell>
          <cell r="AC2030">
            <v>0.25</v>
          </cell>
          <cell r="AD2030">
            <v>0.25</v>
          </cell>
          <cell r="AE2030">
            <v>0.25</v>
          </cell>
          <cell r="AF2030">
            <v>0.25</v>
          </cell>
          <cell r="AG2030">
            <v>0.25</v>
          </cell>
          <cell r="AH2030">
            <v>0.25</v>
          </cell>
          <cell r="AI2030">
            <v>0.25</v>
          </cell>
          <cell r="AJ2030">
            <v>0.25</v>
          </cell>
          <cell r="AK2030">
            <v>0.25</v>
          </cell>
          <cell r="AL2030">
            <v>0.25</v>
          </cell>
          <cell r="AM2030">
            <v>0.25</v>
          </cell>
          <cell r="AN2030">
            <v>0.25</v>
          </cell>
          <cell r="AO2030">
            <v>0.25</v>
          </cell>
          <cell r="AP2030">
            <v>0.25</v>
          </cell>
          <cell r="AQ2030">
            <v>0.25</v>
          </cell>
          <cell r="AR2030">
            <v>0.25</v>
          </cell>
          <cell r="AS2030">
            <v>0.25</v>
          </cell>
          <cell r="AT2030">
            <v>-0.04</v>
          </cell>
          <cell r="AU2030">
            <v>0.92</v>
          </cell>
          <cell r="AV2030">
            <v>20</v>
          </cell>
          <cell r="AY2030" t="str">
            <v/>
          </cell>
          <cell r="AZ2030">
            <v>0.25</v>
          </cell>
          <cell r="BA2030">
            <v>0.25</v>
          </cell>
        </row>
        <row r="2031">
          <cell r="A2031" t="str">
            <v>R.A.M.</v>
          </cell>
          <cell r="D2031" t="str">
            <v>VIA EINSTEIN, 34</v>
          </cell>
          <cell r="E2031" t="str">
            <v>47122</v>
          </cell>
          <cell r="F2031" t="str">
            <v>FORLI</v>
          </cell>
          <cell r="G2031" t="str">
            <v>FC</v>
          </cell>
          <cell r="H2031" t="str">
            <v>ITALIA</v>
          </cell>
          <cell r="I2031" t="str">
            <v>03625740406</v>
          </cell>
          <cell r="J2031" t="str">
            <v>03625740406</v>
          </cell>
          <cell r="M2031" t="str">
            <v>UFFICIO ACQUISTI</v>
          </cell>
          <cell r="N2031" t="str">
            <v>0543 795127</v>
          </cell>
          <cell r="P2031" t="str">
            <v>info@raminfissi.it</v>
          </cell>
          <cell r="R2031" t="str">
            <v>BONIFICO BANCARIO, ALLA DATA DELLA NOSTRA CONFERMA D'ORDINE</v>
          </cell>
          <cell r="X2031">
            <v>0</v>
          </cell>
          <cell r="Y2031">
            <v>-0.04</v>
          </cell>
          <cell r="AB2031">
            <v>0</v>
          </cell>
          <cell r="AC2031">
            <v>0</v>
          </cell>
          <cell r="AD2031">
            <v>0</v>
          </cell>
          <cell r="AE2031">
            <v>0</v>
          </cell>
          <cell r="AF2031">
            <v>0</v>
          </cell>
          <cell r="AG2031">
            <v>0</v>
          </cell>
          <cell r="AH2031">
            <v>0</v>
          </cell>
          <cell r="AI2031">
            <v>0</v>
          </cell>
          <cell r="AJ2031">
            <v>0</v>
          </cell>
          <cell r="AK2031">
            <v>0</v>
          </cell>
          <cell r="AL2031">
            <v>0</v>
          </cell>
          <cell r="AM2031">
            <v>0</v>
          </cell>
          <cell r="AN2031">
            <v>0</v>
          </cell>
          <cell r="AO2031">
            <v>0</v>
          </cell>
          <cell r="AP2031">
            <v>0</v>
          </cell>
          <cell r="AQ2031">
            <v>0</v>
          </cell>
          <cell r="AR2031">
            <v>0</v>
          </cell>
          <cell r="AS2031">
            <v>0</v>
          </cell>
          <cell r="AT2031">
            <v>-0.04</v>
          </cell>
          <cell r="AU2031">
            <v>0.92</v>
          </cell>
          <cell r="AV2031">
            <v>20</v>
          </cell>
          <cell r="AZ2031">
            <v>0</v>
          </cell>
          <cell r="BA2031">
            <v>0</v>
          </cell>
        </row>
        <row r="2032">
          <cell r="A2032" t="str">
            <v>R.B. snc di Belviso Michele &amp; C.</v>
          </cell>
          <cell r="D2032" t="str">
            <v>VIA TAGGIA 97 99 101 103 R</v>
          </cell>
          <cell r="E2032">
            <v>16157</v>
          </cell>
          <cell r="F2032" t="str">
            <v>GENOVA PRA'</v>
          </cell>
          <cell r="G2032" t="str">
            <v>GE</v>
          </cell>
          <cell r="H2032" t="str">
            <v>ITALIA</v>
          </cell>
          <cell r="J2032" t="str">
            <v>03462250105</v>
          </cell>
          <cell r="M2032" t="str">
            <v>UFFICIO ACQUISTI</v>
          </cell>
          <cell r="N2032" t="str">
            <v>010 6980774</v>
          </cell>
          <cell r="P2032" t="str">
            <v>belviso.michele@fastwebnet.it</v>
          </cell>
          <cell r="R2032" t="str">
            <v>BONIFICO BANCARIO, ALLA DATA DELLA NOSTRA CONFERMA D'ORDINE</v>
          </cell>
          <cell r="X2032">
            <v>0.25</v>
          </cell>
          <cell r="Y2032">
            <v>-0.04</v>
          </cell>
          <cell r="AB2032">
            <v>0.25</v>
          </cell>
          <cell r="AC2032">
            <v>0.25</v>
          </cell>
          <cell r="AD2032">
            <v>0.25</v>
          </cell>
          <cell r="AE2032">
            <v>0.25</v>
          </cell>
          <cell r="AF2032">
            <v>0.25</v>
          </cell>
          <cell r="AG2032">
            <v>0.25</v>
          </cell>
          <cell r="AH2032">
            <v>0.25</v>
          </cell>
          <cell r="AI2032">
            <v>0.25</v>
          </cell>
          <cell r="AJ2032">
            <v>0.25</v>
          </cell>
          <cell r="AK2032">
            <v>0.25</v>
          </cell>
          <cell r="AL2032">
            <v>0.25</v>
          </cell>
          <cell r="AM2032">
            <v>0.25</v>
          </cell>
          <cell r="AN2032">
            <v>0.25</v>
          </cell>
          <cell r="AO2032">
            <v>0.25</v>
          </cell>
          <cell r="AP2032">
            <v>0.25</v>
          </cell>
          <cell r="AQ2032">
            <v>0.25</v>
          </cell>
          <cell r="AR2032">
            <v>0.25</v>
          </cell>
          <cell r="AS2032">
            <v>0.25</v>
          </cell>
          <cell r="AT2032">
            <v>-0.04</v>
          </cell>
          <cell r="AU2032">
            <v>0.92</v>
          </cell>
          <cell r="AV2032">
            <v>20</v>
          </cell>
          <cell r="AY2032" t="str">
            <v/>
          </cell>
          <cell r="AZ2032">
            <v>0.25</v>
          </cell>
          <cell r="BA2032">
            <v>0.25</v>
          </cell>
        </row>
        <row r="2033">
          <cell r="A2033" t="str">
            <v xml:space="preserve">R.E.M. SRL </v>
          </cell>
          <cell r="B2033" t="str">
            <v>ACQUASTOP  GLI INTERESSA ANCHE LA NOSTRA 05/12/22 SIG. BERGAMINI, TITOLARE. QUANDO CHIAMO CHIEDERE DI LUI. INTANTO MANDATA MAIL 14/12 NO RISP</v>
          </cell>
          <cell r="D2033" t="str">
            <v>VIA PANARIA BASSA, 74</v>
          </cell>
          <cell r="E2033" t="str">
            <v>41030</v>
          </cell>
          <cell r="F2033" t="str">
            <v>SOLARA</v>
          </cell>
          <cell r="G2033" t="str">
            <v>MO</v>
          </cell>
          <cell r="H2033" t="str">
            <v>ITALIA</v>
          </cell>
          <cell r="I2033" t="str">
            <v>01027310364</v>
          </cell>
          <cell r="J2033" t="str">
            <v>01027310364</v>
          </cell>
          <cell r="M2033" t="str">
            <v>UFFICIO ACQUISTI</v>
          </cell>
          <cell r="N2033">
            <v>59814066</v>
          </cell>
          <cell r="P2033" t="str">
            <v>info@infissirem.it</v>
          </cell>
          <cell r="R2033" t="str">
            <v>BONIFICO BANCARIO, ALLA DATA DELLA NOSTRA CONFERMA D'ORDINE</v>
          </cell>
          <cell r="X2033">
            <v>0.25</v>
          </cell>
          <cell r="Y2033">
            <v>-0.04</v>
          </cell>
          <cell r="AB2033">
            <v>0.25</v>
          </cell>
          <cell r="AC2033">
            <v>0.25</v>
          </cell>
          <cell r="AD2033">
            <v>0.25</v>
          </cell>
          <cell r="AE2033">
            <v>0.25</v>
          </cell>
          <cell r="AF2033">
            <v>0.25</v>
          </cell>
          <cell r="AG2033">
            <v>0.25</v>
          </cell>
          <cell r="AH2033">
            <v>0.25</v>
          </cell>
          <cell r="AI2033">
            <v>0.25</v>
          </cell>
          <cell r="AJ2033">
            <v>0.25</v>
          </cell>
          <cell r="AK2033">
            <v>0.25</v>
          </cell>
          <cell r="AL2033">
            <v>0.25</v>
          </cell>
          <cell r="AM2033">
            <v>0.25</v>
          </cell>
          <cell r="AN2033">
            <v>0.25</v>
          </cell>
          <cell r="AO2033">
            <v>0.25</v>
          </cell>
          <cell r="AP2033">
            <v>0.25</v>
          </cell>
          <cell r="AQ2033">
            <v>0.25</v>
          </cell>
          <cell r="AR2033">
            <v>0.25</v>
          </cell>
          <cell r="AS2033">
            <v>0.25</v>
          </cell>
          <cell r="AT2033">
            <v>-0.04</v>
          </cell>
          <cell r="AU2033">
            <v>0.92</v>
          </cell>
          <cell r="AV2033">
            <v>20</v>
          </cell>
          <cell r="AY2033" t="str">
            <v/>
          </cell>
          <cell r="AZ2033">
            <v>0.25</v>
          </cell>
          <cell r="BA2033">
            <v>0.25</v>
          </cell>
        </row>
        <row r="2034">
          <cell r="A2034" t="str">
            <v>R.F. MONTAGGI</v>
          </cell>
          <cell r="D2034" t="str">
            <v>VIA ZANARDELLI, 178</v>
          </cell>
          <cell r="E2034" t="str">
            <v>25060</v>
          </cell>
          <cell r="F2034" t="str">
            <v>MARCHENO</v>
          </cell>
          <cell r="G2034" t="str">
            <v>BS</v>
          </cell>
          <cell r="H2034" t="str">
            <v>ITALIA</v>
          </cell>
          <cell r="M2034" t="str">
            <v>UFFICIO ACQUISTI</v>
          </cell>
          <cell r="N2034" t="str">
            <v>030 8960222</v>
          </cell>
          <cell r="O2034" t="str">
            <v>338 2084988</v>
          </cell>
          <cell r="P2034" t="str">
            <v>amministrazione@rfserramenti.it</v>
          </cell>
          <cell r="R2034" t="str">
            <v>BONIFICO BANCARIO, ALLA DATA DELLA NOSTRA CONFERMA D'ORDINE</v>
          </cell>
          <cell r="X2034">
            <v>0.2</v>
          </cell>
          <cell r="Y2034">
            <v>-0.04</v>
          </cell>
          <cell r="AB2034">
            <v>0.2</v>
          </cell>
          <cell r="AC2034">
            <v>0.2</v>
          </cell>
          <cell r="AD2034">
            <v>0.2</v>
          </cell>
          <cell r="AE2034">
            <v>0.2</v>
          </cell>
          <cell r="AF2034">
            <v>0.2</v>
          </cell>
          <cell r="AG2034">
            <v>0.2</v>
          </cell>
          <cell r="AH2034">
            <v>0.2</v>
          </cell>
          <cell r="AI2034">
            <v>0.2</v>
          </cell>
          <cell r="AJ2034">
            <v>0.2</v>
          </cell>
          <cell r="AK2034">
            <v>0.2</v>
          </cell>
          <cell r="AL2034">
            <v>0.2</v>
          </cell>
          <cell r="AM2034">
            <v>0.2</v>
          </cell>
          <cell r="AN2034">
            <v>0.2</v>
          </cell>
          <cell r="AO2034">
            <v>0.2</v>
          </cell>
          <cell r="AP2034">
            <v>0.2</v>
          </cell>
          <cell r="AQ2034">
            <v>0.2</v>
          </cell>
          <cell r="AR2034">
            <v>0.2</v>
          </cell>
          <cell r="AS2034">
            <v>0.2</v>
          </cell>
          <cell r="AT2034">
            <v>-0.04</v>
          </cell>
          <cell r="AU2034">
            <v>0.92</v>
          </cell>
          <cell r="AV2034">
            <v>20</v>
          </cell>
          <cell r="AZ2034">
            <v>0.2</v>
          </cell>
          <cell r="BA2034">
            <v>0.2</v>
          </cell>
        </row>
        <row r="2035">
          <cell r="A2035" t="str">
            <v>R.GENERATION SRL</v>
          </cell>
          <cell r="B2035" t="str">
            <v>ROBERTO (FORSE COMPRA)</v>
          </cell>
          <cell r="D2035" t="str">
            <v>PIAZZA CASE ALTE, 24</v>
          </cell>
          <cell r="F2035" t="str">
            <v>SANT'OMERO</v>
          </cell>
          <cell r="G2035" t="str">
            <v>TE</v>
          </cell>
          <cell r="H2035" t="str">
            <v>ITALIA</v>
          </cell>
          <cell r="J2035" t="str">
            <v>01889320675</v>
          </cell>
          <cell r="M2035" t="str">
            <v>UFFICIO ACQUISTI</v>
          </cell>
          <cell r="N2035" t="str">
            <v>0861 88444</v>
          </cell>
          <cell r="O2035" t="str">
            <v>349 1866555 - 345 4082127</v>
          </cell>
          <cell r="P2035" t="str">
            <v>r.generation@libero.it</v>
          </cell>
          <cell r="R2035" t="str">
            <v>BONIFICO BANCARIO, ALLA DATA DELLA NOSTRA CONFERMA D'ORDINE</v>
          </cell>
          <cell r="X2035">
            <v>0.25</v>
          </cell>
          <cell r="Y2035">
            <v>-0.04</v>
          </cell>
          <cell r="AB2035">
            <v>0.25</v>
          </cell>
          <cell r="AC2035">
            <v>0.25</v>
          </cell>
          <cell r="AD2035">
            <v>0.25</v>
          </cell>
          <cell r="AE2035">
            <v>0.25</v>
          </cell>
          <cell r="AF2035">
            <v>0.25</v>
          </cell>
          <cell r="AG2035">
            <v>0.25</v>
          </cell>
          <cell r="AH2035">
            <v>0.25</v>
          </cell>
          <cell r="AI2035">
            <v>0.25</v>
          </cell>
          <cell r="AJ2035">
            <v>0.25</v>
          </cell>
          <cell r="AK2035">
            <v>0.25</v>
          </cell>
          <cell r="AL2035">
            <v>0.25</v>
          </cell>
          <cell r="AM2035">
            <v>0.25</v>
          </cell>
          <cell r="AN2035">
            <v>0.25</v>
          </cell>
          <cell r="AO2035">
            <v>0.25</v>
          </cell>
          <cell r="AP2035">
            <v>0.25</v>
          </cell>
          <cell r="AQ2035">
            <v>0.25</v>
          </cell>
          <cell r="AR2035">
            <v>0.25</v>
          </cell>
          <cell r="AS2035">
            <v>0.25</v>
          </cell>
          <cell r="AT2035">
            <v>-0.04</v>
          </cell>
          <cell r="AU2035">
            <v>0.92</v>
          </cell>
          <cell r="AV2035">
            <v>20</v>
          </cell>
          <cell r="AY2035" t="str">
            <v/>
          </cell>
          <cell r="AZ2035">
            <v>0.25</v>
          </cell>
          <cell r="BA2035">
            <v>0.25</v>
          </cell>
        </row>
        <row r="2036">
          <cell r="A2036" t="str">
            <v>R.I.S.P.O.S.T.A. SERRAMENTI</v>
          </cell>
          <cell r="B2036" t="str">
            <v>20/12/2022 NON VENDONO PRODOTTI DI ALTRI MA SONO QUELLI CHE PRODUCONO</v>
          </cell>
          <cell r="D2036" t="str">
            <v>VIA GIAN BATTISTA MELI, 104</v>
          </cell>
          <cell r="E2036">
            <v>25013</v>
          </cell>
          <cell r="F2036" t="str">
            <v>CARPENEDOLO</v>
          </cell>
          <cell r="G2036" t="str">
            <v>BS</v>
          </cell>
          <cell r="H2036" t="str">
            <v>ITALIA</v>
          </cell>
          <cell r="M2036" t="str">
            <v>UFFICIO ACQUISTI</v>
          </cell>
          <cell r="N2036" t="str">
            <v>030 9658720</v>
          </cell>
          <cell r="O2036" t="str">
            <v>Andrea 344 2193122</v>
          </cell>
          <cell r="P2036" t="str">
            <v>andrea.contini@rispostaserramenti.com</v>
          </cell>
          <cell r="R2036" t="str">
            <v>BONIFICO BANCARIO, ALLA DATA DELLA NOSTRA CONFERMA D'ORDINE</v>
          </cell>
          <cell r="X2036">
            <v>0.25</v>
          </cell>
          <cell r="Y2036">
            <v>-0.04</v>
          </cell>
          <cell r="AB2036">
            <v>0.25</v>
          </cell>
          <cell r="AC2036">
            <v>0.25</v>
          </cell>
          <cell r="AD2036">
            <v>0.25</v>
          </cell>
          <cell r="AE2036">
            <v>0.25</v>
          </cell>
          <cell r="AF2036">
            <v>0.25</v>
          </cell>
          <cell r="AG2036">
            <v>0.25</v>
          </cell>
          <cell r="AH2036">
            <v>0.25</v>
          </cell>
          <cell r="AI2036">
            <v>0.25</v>
          </cell>
          <cell r="AJ2036">
            <v>0.25</v>
          </cell>
          <cell r="AK2036">
            <v>0.25</v>
          </cell>
          <cell r="AL2036">
            <v>0.25</v>
          </cell>
          <cell r="AM2036">
            <v>0.25</v>
          </cell>
          <cell r="AN2036">
            <v>0.25</v>
          </cell>
          <cell r="AO2036">
            <v>0.25</v>
          </cell>
          <cell r="AP2036">
            <v>0.25</v>
          </cell>
          <cell r="AQ2036">
            <v>0.25</v>
          </cell>
          <cell r="AR2036">
            <v>0.25</v>
          </cell>
          <cell r="AS2036">
            <v>0.25</v>
          </cell>
          <cell r="AT2036">
            <v>-0.04</v>
          </cell>
          <cell r="AU2036">
            <v>0.92</v>
          </cell>
          <cell r="AV2036">
            <v>20</v>
          </cell>
          <cell r="AY2036" t="str">
            <v/>
          </cell>
          <cell r="AZ2036">
            <v>0.25</v>
          </cell>
          <cell r="BA2036">
            <v>0.25</v>
          </cell>
        </row>
        <row r="2037">
          <cell r="A2037" t="str">
            <v>R.LEGNO DI ROVAI LORENZO</v>
          </cell>
          <cell r="D2037" t="str">
            <v>VIA DI MEZZO SNC</v>
          </cell>
          <cell r="E2037">
            <v>51038</v>
          </cell>
          <cell r="F2037" t="str">
            <v>VIGNOLE OLMI QUARRATA</v>
          </cell>
          <cell r="G2037" t="str">
            <v>PT</v>
          </cell>
          <cell r="H2037" t="str">
            <v>ITALIA</v>
          </cell>
          <cell r="M2037" t="str">
            <v>UFFICIO ACQUISTI</v>
          </cell>
          <cell r="O2037" t="str">
            <v>338 2746943</v>
          </cell>
          <cell r="P2037" t="str">
            <v>rlegno@tiscali.it</v>
          </cell>
          <cell r="R2037" t="str">
            <v>BONIFICO BANCARIO, ALLA DATA DELLA NOSTRA CONFERMA D'ORDINE</v>
          </cell>
          <cell r="X2037">
            <v>0.25</v>
          </cell>
          <cell r="Y2037">
            <v>-0.04</v>
          </cell>
          <cell r="AB2037">
            <v>0.25</v>
          </cell>
          <cell r="AC2037">
            <v>0.25</v>
          </cell>
          <cell r="AD2037">
            <v>0.25</v>
          </cell>
          <cell r="AE2037">
            <v>0.25</v>
          </cell>
          <cell r="AF2037">
            <v>0.25</v>
          </cell>
          <cell r="AG2037">
            <v>0.25</v>
          </cell>
          <cell r="AH2037">
            <v>0.25</v>
          </cell>
          <cell r="AI2037">
            <v>0.25</v>
          </cell>
          <cell r="AJ2037">
            <v>0.25</v>
          </cell>
          <cell r="AK2037">
            <v>0.25</v>
          </cell>
          <cell r="AL2037">
            <v>0.25</v>
          </cell>
          <cell r="AM2037">
            <v>0.25</v>
          </cell>
          <cell r="AN2037">
            <v>0.25</v>
          </cell>
          <cell r="AO2037">
            <v>0.25</v>
          </cell>
          <cell r="AP2037">
            <v>0.25</v>
          </cell>
          <cell r="AQ2037">
            <v>0.25</v>
          </cell>
          <cell r="AR2037">
            <v>0.25</v>
          </cell>
          <cell r="AS2037">
            <v>0.25</v>
          </cell>
          <cell r="AT2037">
            <v>-0.04</v>
          </cell>
          <cell r="AU2037">
            <v>0.92</v>
          </cell>
          <cell r="AV2037">
            <v>20</v>
          </cell>
          <cell r="AY2037" t="str">
            <v/>
          </cell>
          <cell r="AZ2037">
            <v>0.25</v>
          </cell>
          <cell r="BA2037">
            <v>0.25</v>
          </cell>
        </row>
        <row r="2038">
          <cell r="A2038" t="str">
            <v>R.R. DI  ROVERSI LUCA ARTURO E C. SNC</v>
          </cell>
          <cell r="D2038" t="str">
            <v>VIALE DELLE INDUSTRIE, 12</v>
          </cell>
          <cell r="E2038" t="str">
            <v>45100</v>
          </cell>
          <cell r="F2038" t="str">
            <v>ROVIGO</v>
          </cell>
          <cell r="G2038" t="str">
            <v>RO</v>
          </cell>
          <cell r="H2038" t="str">
            <v>ITALIA</v>
          </cell>
          <cell r="I2038" t="str">
            <v>00890800295</v>
          </cell>
          <cell r="J2038" t="str">
            <v>00890800295</v>
          </cell>
          <cell r="M2038" t="str">
            <v>UFFICIO ACQUISTI</v>
          </cell>
          <cell r="N2038" t="str">
            <v>0425 474979</v>
          </cell>
          <cell r="P2038" t="str">
            <v>info@rrserramenti.it</v>
          </cell>
          <cell r="R2038" t="str">
            <v>BONIFICO BANCARIO, ALLA DATA DELLA NOSTRA CONFERMA D'ORDINE</v>
          </cell>
          <cell r="X2038">
            <v>0.25</v>
          </cell>
          <cell r="Y2038">
            <v>-0.04</v>
          </cell>
          <cell r="AB2038">
            <v>0.25</v>
          </cell>
          <cell r="AC2038">
            <v>0.25</v>
          </cell>
          <cell r="AD2038">
            <v>0.25</v>
          </cell>
          <cell r="AE2038">
            <v>0.25</v>
          </cell>
          <cell r="AF2038">
            <v>0.25</v>
          </cell>
          <cell r="AG2038">
            <v>0.25</v>
          </cell>
          <cell r="AH2038">
            <v>0.25</v>
          </cell>
          <cell r="AI2038">
            <v>0.25</v>
          </cell>
          <cell r="AJ2038">
            <v>0.25</v>
          </cell>
          <cell r="AK2038">
            <v>0.25</v>
          </cell>
          <cell r="AL2038">
            <v>0.25</v>
          </cell>
          <cell r="AM2038">
            <v>0.25</v>
          </cell>
          <cell r="AN2038">
            <v>0.25</v>
          </cell>
          <cell r="AO2038">
            <v>0.25</v>
          </cell>
          <cell r="AP2038">
            <v>0.25</v>
          </cell>
          <cell r="AQ2038">
            <v>0.25</v>
          </cell>
          <cell r="AR2038">
            <v>0.25</v>
          </cell>
          <cell r="AS2038">
            <v>0.25</v>
          </cell>
          <cell r="AT2038">
            <v>-0.04</v>
          </cell>
          <cell r="AU2038">
            <v>0.92</v>
          </cell>
          <cell r="AV2038">
            <v>20</v>
          </cell>
          <cell r="AY2038" t="str">
            <v/>
          </cell>
          <cell r="AZ2038">
            <v>0.25</v>
          </cell>
          <cell r="BA2038">
            <v>0.25</v>
          </cell>
        </row>
        <row r="2039">
          <cell r="A2039" t="str">
            <v>RA DI AVOGADRI FABIO E C. SAS</v>
          </cell>
          <cell r="B2039" t="str">
            <v>BUONO</v>
          </cell>
          <cell r="D2039" t="str">
            <v>VIA GHANDI, 3</v>
          </cell>
          <cell r="E2039" t="str">
            <v>29017</v>
          </cell>
          <cell r="F2039" t="str">
            <v>FIORENZUOLA D'ARDA</v>
          </cell>
          <cell r="G2039" t="str">
            <v>PC</v>
          </cell>
          <cell r="H2039" t="str">
            <v>ITALIA</v>
          </cell>
          <cell r="J2039" t="str">
            <v>01682020332</v>
          </cell>
          <cell r="K2039" t="str">
            <v>5RUO82D</v>
          </cell>
          <cell r="M2039" t="str">
            <v>UFFICIO ACQUISTI</v>
          </cell>
          <cell r="N2039" t="str">
            <v>0523 983203</v>
          </cell>
          <cell r="O2039" t="str">
            <v>333 2639531</v>
          </cell>
          <cell r="P2039" t="str">
            <v>avogadri.roberto@libero.it</v>
          </cell>
          <cell r="R2039" t="str">
            <v>BONIFICO BANCARIO, ALLA DATA DELLA NOSTRA CONFERMA D'ORDINE</v>
          </cell>
          <cell r="Y2039">
            <v>-0.04</v>
          </cell>
          <cell r="AT2039">
            <v>-0.04</v>
          </cell>
          <cell r="AV2039">
            <v>20</v>
          </cell>
          <cell r="AZ2039">
            <v>0</v>
          </cell>
          <cell r="BA2039">
            <v>0</v>
          </cell>
        </row>
        <row r="2040">
          <cell r="A2040" t="str">
            <v>RACASI TENDE</v>
          </cell>
          <cell r="D2040" t="str">
            <v>VIALE DEL LAVORO, 34</v>
          </cell>
          <cell r="E2040">
            <v>37135</v>
          </cell>
          <cell r="F2040" t="str">
            <v>VERONA</v>
          </cell>
          <cell r="G2040" t="str">
            <v>VR</v>
          </cell>
          <cell r="H2040" t="str">
            <v>ITALIA</v>
          </cell>
          <cell r="M2040" t="str">
            <v>UFFICIO ACQUISTI</v>
          </cell>
          <cell r="N2040" t="str">
            <v>045 7200799</v>
          </cell>
          <cell r="O2040" t="str">
            <v>Andrea Ballarini 337 1220674</v>
          </cell>
          <cell r="P2040" t="str">
            <v>andrea@racasitende.com</v>
          </cell>
          <cell r="R2040" t="str">
            <v>BONIFICO BANCARIO, ALLA DATA DELLA NOSTRA CONFERMA D'ORDINE</v>
          </cell>
          <cell r="X2040">
            <v>0.25</v>
          </cell>
          <cell r="Y2040">
            <v>-0.04</v>
          </cell>
          <cell r="AB2040">
            <v>0.25</v>
          </cell>
          <cell r="AC2040">
            <v>0.25</v>
          </cell>
          <cell r="AD2040">
            <v>0.25</v>
          </cell>
          <cell r="AE2040">
            <v>0.25</v>
          </cell>
          <cell r="AF2040">
            <v>0.25</v>
          </cell>
          <cell r="AG2040">
            <v>0.25</v>
          </cell>
          <cell r="AH2040">
            <v>0.25</v>
          </cell>
          <cell r="AI2040">
            <v>0.25</v>
          </cell>
          <cell r="AJ2040">
            <v>0.25</v>
          </cell>
          <cell r="AK2040">
            <v>0.25</v>
          </cell>
          <cell r="AL2040">
            <v>0.25</v>
          </cell>
          <cell r="AM2040">
            <v>0.25</v>
          </cell>
          <cell r="AN2040">
            <v>0.25</v>
          </cell>
          <cell r="AO2040">
            <v>0.25</v>
          </cell>
          <cell r="AP2040">
            <v>0.25</v>
          </cell>
          <cell r="AQ2040">
            <v>0.25</v>
          </cell>
          <cell r="AR2040">
            <v>0.25</v>
          </cell>
          <cell r="AS2040">
            <v>0.25</v>
          </cell>
          <cell r="AT2040">
            <v>-0.04</v>
          </cell>
          <cell r="AU2040">
            <v>0.92</v>
          </cell>
          <cell r="AV2040">
            <v>20</v>
          </cell>
          <cell r="AY2040" t="str">
            <v/>
          </cell>
          <cell r="AZ2040">
            <v>0.25</v>
          </cell>
          <cell r="BA2040">
            <v>0.25</v>
          </cell>
        </row>
        <row r="2041">
          <cell r="A2041" t="str">
            <v>RAFFAELE RIZZOLI</v>
          </cell>
          <cell r="D2041" t="str">
            <v>VIA CIRCONVALLAZIONE SUD, 10</v>
          </cell>
          <cell r="E2041">
            <v>46010</v>
          </cell>
          <cell r="F2041" t="str">
            <v>LEVATA</v>
          </cell>
          <cell r="G2041" t="str">
            <v>MN</v>
          </cell>
          <cell r="H2041" t="str">
            <v>ITALIA</v>
          </cell>
          <cell r="M2041" t="str">
            <v>UFFICIO ACQUISTI</v>
          </cell>
          <cell r="N2041" t="str">
            <v>0376 290436</v>
          </cell>
          <cell r="O2041" t="str">
            <v>Denis 342 5834223</v>
          </cell>
          <cell r="P2041" t="str">
            <v>denis@rizziolisnc.com</v>
          </cell>
          <cell r="R2041" t="str">
            <v>BONIFICO BANCARIO, ALLA DATA DELLA NOSTRA CONFERMA D'ORDINE</v>
          </cell>
          <cell r="X2041">
            <v>0.25</v>
          </cell>
          <cell r="Y2041">
            <v>-0.04</v>
          </cell>
          <cell r="AB2041">
            <v>0.25</v>
          </cell>
          <cell r="AC2041">
            <v>0.25</v>
          </cell>
          <cell r="AD2041">
            <v>0.25</v>
          </cell>
          <cell r="AE2041">
            <v>0.25</v>
          </cell>
          <cell r="AF2041">
            <v>0.25</v>
          </cell>
          <cell r="AG2041">
            <v>0.25</v>
          </cell>
          <cell r="AH2041">
            <v>0.25</v>
          </cell>
          <cell r="AI2041">
            <v>0.25</v>
          </cell>
          <cell r="AJ2041">
            <v>0.25</v>
          </cell>
          <cell r="AK2041">
            <v>0.25</v>
          </cell>
          <cell r="AL2041">
            <v>0.25</v>
          </cell>
          <cell r="AM2041">
            <v>0.25</v>
          </cell>
          <cell r="AN2041">
            <v>0.25</v>
          </cell>
          <cell r="AO2041">
            <v>0.25</v>
          </cell>
          <cell r="AP2041">
            <v>0.25</v>
          </cell>
          <cell r="AQ2041">
            <v>0.25</v>
          </cell>
          <cell r="AR2041">
            <v>0.25</v>
          </cell>
          <cell r="AS2041">
            <v>0.25</v>
          </cell>
          <cell r="AT2041">
            <v>-0.04</v>
          </cell>
          <cell r="AU2041">
            <v>0.92</v>
          </cell>
          <cell r="AV2041">
            <v>20</v>
          </cell>
          <cell r="AZ2041">
            <v>0.25</v>
          </cell>
          <cell r="BA2041">
            <v>0.25</v>
          </cell>
        </row>
        <row r="2042">
          <cell r="A2042" t="str">
            <v>RAFFAELLO LUCADAMO ARCHITETTO</v>
          </cell>
          <cell r="D2042" t="str">
            <v>VIA FRANCESCO TEDESCO 310</v>
          </cell>
          <cell r="E2042">
            <v>83100</v>
          </cell>
          <cell r="F2042" t="str">
            <v>AVELLINO</v>
          </cell>
          <cell r="G2042" t="str">
            <v>AV</v>
          </cell>
          <cell r="H2042" t="str">
            <v>ITALIA</v>
          </cell>
          <cell r="M2042" t="str">
            <v>UFFICIO ACQUISTI</v>
          </cell>
          <cell r="O2042" t="str">
            <v>335 5771751</v>
          </cell>
          <cell r="P2042" t="str">
            <v>raffaello.lucadamo@gmail.com</v>
          </cell>
          <cell r="R2042" t="str">
            <v>BONIFICO BANCARIO, ALLA DATA DELLA NOSTRA CONFERMA D'ORDINE</v>
          </cell>
          <cell r="X2042">
            <v>0.25</v>
          </cell>
          <cell r="Y2042">
            <v>-0.04</v>
          </cell>
          <cell r="AB2042">
            <v>0.25</v>
          </cell>
          <cell r="AC2042">
            <v>0.25</v>
          </cell>
          <cell r="AD2042">
            <v>0.25</v>
          </cell>
          <cell r="AE2042">
            <v>0.25</v>
          </cell>
          <cell r="AF2042">
            <v>0.25</v>
          </cell>
          <cell r="AG2042">
            <v>0.25</v>
          </cell>
          <cell r="AH2042">
            <v>0.25</v>
          </cell>
          <cell r="AI2042">
            <v>0.25</v>
          </cell>
          <cell r="AJ2042">
            <v>0.25</v>
          </cell>
          <cell r="AK2042">
            <v>0.25</v>
          </cell>
          <cell r="AL2042">
            <v>0.25</v>
          </cell>
          <cell r="AM2042">
            <v>0.25</v>
          </cell>
          <cell r="AN2042">
            <v>0.25</v>
          </cell>
          <cell r="AO2042">
            <v>0.25</v>
          </cell>
          <cell r="AP2042">
            <v>0.25</v>
          </cell>
          <cell r="AQ2042">
            <v>0.25</v>
          </cell>
          <cell r="AR2042">
            <v>0.25</v>
          </cell>
          <cell r="AS2042">
            <v>0.25</v>
          </cell>
          <cell r="AT2042">
            <v>-0.04</v>
          </cell>
          <cell r="AU2042">
            <v>0.92</v>
          </cell>
          <cell r="AV2042">
            <v>20</v>
          </cell>
          <cell r="AY2042" t="str">
            <v/>
          </cell>
          <cell r="AZ2042">
            <v>0.25</v>
          </cell>
          <cell r="BA2042">
            <v>0.25</v>
          </cell>
        </row>
        <row r="2043">
          <cell r="A2043" t="str">
            <v>RAGAZZO SNC</v>
          </cell>
          <cell r="D2043" t="str">
            <v>LOC. ROVANELLO 1</v>
          </cell>
          <cell r="E2043" t="str">
            <v>15010</v>
          </cell>
          <cell r="F2043" t="str">
            <v>ORSARA BORMIDA</v>
          </cell>
          <cell r="G2043" t="str">
            <v>AL</v>
          </cell>
          <cell r="H2043" t="str">
            <v>ITALIA</v>
          </cell>
          <cell r="J2043" t="str">
            <v>00418890067</v>
          </cell>
          <cell r="M2043" t="str">
            <v>UFFICIO ACQUISTI</v>
          </cell>
          <cell r="N2043" t="str">
            <v>0144 367239</v>
          </cell>
          <cell r="P2043" t="str">
            <v>info@falegnameriaragazzo.com</v>
          </cell>
          <cell r="R2043" t="str">
            <v>BONIFICO BANCARIO, ALLA DATA DELLA NOSTRA CONFERMA D'ORDINE</v>
          </cell>
          <cell r="X2043">
            <v>0.25</v>
          </cell>
          <cell r="Y2043">
            <v>-0.04</v>
          </cell>
          <cell r="AB2043">
            <v>0.25</v>
          </cell>
          <cell r="AC2043">
            <v>0.25</v>
          </cell>
          <cell r="AD2043">
            <v>0.25</v>
          </cell>
          <cell r="AE2043">
            <v>0.25</v>
          </cell>
          <cell r="AF2043">
            <v>0.25</v>
          </cell>
          <cell r="AG2043">
            <v>0.25</v>
          </cell>
          <cell r="AH2043">
            <v>0.25</v>
          </cell>
          <cell r="AI2043">
            <v>0.25</v>
          </cell>
          <cell r="AJ2043">
            <v>0.25</v>
          </cell>
          <cell r="AK2043">
            <v>0.25</v>
          </cell>
          <cell r="AL2043">
            <v>0.25</v>
          </cell>
          <cell r="AM2043">
            <v>0.25</v>
          </cell>
          <cell r="AN2043">
            <v>0.25</v>
          </cell>
          <cell r="AO2043">
            <v>0.25</v>
          </cell>
          <cell r="AP2043">
            <v>0.25</v>
          </cell>
          <cell r="AQ2043">
            <v>0.25</v>
          </cell>
          <cell r="AR2043">
            <v>0.25</v>
          </cell>
          <cell r="AS2043">
            <v>0.25</v>
          </cell>
          <cell r="AT2043">
            <v>-0.04</v>
          </cell>
          <cell r="AU2043">
            <v>0.92</v>
          </cell>
          <cell r="AV2043">
            <v>20</v>
          </cell>
          <cell r="AY2043" t="str">
            <v/>
          </cell>
          <cell r="AZ2043">
            <v>0.25</v>
          </cell>
          <cell r="BA2043">
            <v>0.25</v>
          </cell>
        </row>
        <row r="2044">
          <cell r="A2044" t="str">
            <v>RAIOLA INFISSI DI LUCIANO RAIOLA</v>
          </cell>
          <cell r="D2044" t="str">
            <v>VIA DEL CORALLO, 21</v>
          </cell>
          <cell r="E2044">
            <v>80059</v>
          </cell>
          <cell r="F2044" t="str">
            <v>TORRE DEL GRECO</v>
          </cell>
          <cell r="G2044" t="str">
            <v>NA</v>
          </cell>
          <cell r="H2044" t="str">
            <v>ITALIA</v>
          </cell>
          <cell r="I2044" t="str">
            <v>RLALCN66S03L259B</v>
          </cell>
          <cell r="J2044" t="str">
            <v>03422621213</v>
          </cell>
          <cell r="M2044" t="str">
            <v>UFFICIO ACQUISTI</v>
          </cell>
          <cell r="N2044" t="str">
            <v>081 8493603</v>
          </cell>
          <cell r="O2044" t="str">
            <v>338 8193777</v>
          </cell>
          <cell r="P2044" t="str">
            <v>info@raiolainfissi.com</v>
          </cell>
          <cell r="R2044" t="str">
            <v>BONIFICO BANCARIO, ALLA DATA DELLA NOSTRA CONFERMA D'ORDINE</v>
          </cell>
          <cell r="X2044">
            <v>0.25</v>
          </cell>
          <cell r="Y2044">
            <v>-0.04</v>
          </cell>
          <cell r="AB2044">
            <v>0.25</v>
          </cell>
          <cell r="AC2044">
            <v>0.25</v>
          </cell>
          <cell r="AD2044">
            <v>0.25</v>
          </cell>
          <cell r="AE2044">
            <v>0.25</v>
          </cell>
          <cell r="AF2044">
            <v>0.25</v>
          </cell>
          <cell r="AG2044">
            <v>0.25</v>
          </cell>
          <cell r="AH2044">
            <v>0.25</v>
          </cell>
          <cell r="AI2044">
            <v>0.25</v>
          </cell>
          <cell r="AJ2044">
            <v>0.25</v>
          </cell>
          <cell r="AK2044">
            <v>0.25</v>
          </cell>
          <cell r="AL2044">
            <v>0.25</v>
          </cell>
          <cell r="AM2044">
            <v>0.25</v>
          </cell>
          <cell r="AN2044">
            <v>0.25</v>
          </cell>
          <cell r="AO2044">
            <v>0.25</v>
          </cell>
          <cell r="AP2044">
            <v>0.25</v>
          </cell>
          <cell r="AQ2044">
            <v>0.25</v>
          </cell>
          <cell r="AR2044">
            <v>0.25</v>
          </cell>
          <cell r="AS2044">
            <v>0.25</v>
          </cell>
          <cell r="AT2044">
            <v>-0.04</v>
          </cell>
          <cell r="AU2044">
            <v>0.92</v>
          </cell>
          <cell r="AV2044">
            <v>20</v>
          </cell>
          <cell r="AZ2044">
            <v>0.25</v>
          </cell>
          <cell r="BA2044">
            <v>0.25</v>
          </cell>
        </row>
        <row r="2045">
          <cell r="A2045" t="str">
            <v>RAMACCIONI</v>
          </cell>
          <cell r="B2045" t="str">
            <v>MICHELE CANULLO RESPONSABILE COMMERCIALE</v>
          </cell>
          <cell r="D2045" t="str">
            <v>VIA GIOVANNI BATTISTA VELLUTI, 32/34</v>
          </cell>
          <cell r="E2045" t="str">
            <v>62100</v>
          </cell>
          <cell r="F2045" t="str">
            <v>PIEDIRIPA</v>
          </cell>
          <cell r="G2045" t="str">
            <v>MC</v>
          </cell>
          <cell r="H2045" t="str">
            <v>ITALIA</v>
          </cell>
          <cell r="J2045" t="str">
            <v>00083950436</v>
          </cell>
          <cell r="M2045" t="str">
            <v>UFFICIO ACQUISTI</v>
          </cell>
          <cell r="O2045" t="str">
            <v>347 7287494</v>
          </cell>
          <cell r="P2045" t="str">
            <v>commerciale@ramaccioni.com</v>
          </cell>
          <cell r="R2045" t="str">
            <v>BONIFICO BANCARIO, ALLA DATA DELLA NOSTRA CONFERMA D'ORDINE</v>
          </cell>
          <cell r="X2045">
            <v>0.25</v>
          </cell>
          <cell r="Y2045">
            <v>-0.04</v>
          </cell>
          <cell r="AB2045">
            <v>0.25</v>
          </cell>
          <cell r="AC2045">
            <v>0.25</v>
          </cell>
          <cell r="AD2045">
            <v>0.25</v>
          </cell>
          <cell r="AE2045">
            <v>0.25</v>
          </cell>
          <cell r="AF2045">
            <v>0.25</v>
          </cell>
          <cell r="AG2045">
            <v>0.25</v>
          </cell>
          <cell r="AH2045">
            <v>0.25</v>
          </cell>
          <cell r="AI2045">
            <v>0.25</v>
          </cell>
          <cell r="AJ2045">
            <v>0.25</v>
          </cell>
          <cell r="AK2045">
            <v>0.25</v>
          </cell>
          <cell r="AL2045">
            <v>0.25</v>
          </cell>
          <cell r="AM2045">
            <v>0.25</v>
          </cell>
          <cell r="AN2045">
            <v>0.25</v>
          </cell>
          <cell r="AO2045">
            <v>0.25</v>
          </cell>
          <cell r="AP2045">
            <v>0.25</v>
          </cell>
          <cell r="AQ2045">
            <v>0.25</v>
          </cell>
          <cell r="AR2045">
            <v>0.25</v>
          </cell>
          <cell r="AS2045">
            <v>0.25</v>
          </cell>
          <cell r="AT2045">
            <v>-0.04</v>
          </cell>
          <cell r="AU2045">
            <v>0.92</v>
          </cell>
          <cell r="AV2045">
            <v>20</v>
          </cell>
          <cell r="AY2045" t="str">
            <v/>
          </cell>
          <cell r="AZ2045">
            <v>0.25</v>
          </cell>
          <cell r="BA2045">
            <v>0.25</v>
          </cell>
        </row>
        <row r="2046">
          <cell r="A2046" t="str">
            <v>RAMERA DI RAMERA PAOLINO &amp; C. SNC</v>
          </cell>
          <cell r="D2046" t="str">
            <v>VIA S.ANDREA, 101</v>
          </cell>
          <cell r="E2046" t="str">
            <v>25038</v>
          </cell>
          <cell r="F2046" t="str">
            <v>ROVATO</v>
          </cell>
          <cell r="G2046" t="str">
            <v>BS</v>
          </cell>
          <cell r="H2046" t="str">
            <v>ITALIA</v>
          </cell>
          <cell r="J2046" t="str">
            <v>00547070987</v>
          </cell>
          <cell r="M2046" t="str">
            <v>UFFICIO ACQUISTI</v>
          </cell>
          <cell r="N2046" t="str">
            <v>030 7721894</v>
          </cell>
          <cell r="O2046" t="str">
            <v>393 9791388 GILDO RAMERA</v>
          </cell>
          <cell r="P2046" t="str">
            <v>ramera@ramerainfissi.it</v>
          </cell>
          <cell r="R2046" t="str">
            <v>BONIFICO BANCARIO, ALLA DATA DELLA NOSTRA CONFERMA D'ORDINE</v>
          </cell>
          <cell r="X2046">
            <v>0.2</v>
          </cell>
          <cell r="Y2046">
            <v>-0.04</v>
          </cell>
          <cell r="AB2046">
            <v>0.2</v>
          </cell>
          <cell r="AC2046">
            <v>0.2</v>
          </cell>
          <cell r="AD2046">
            <v>0.2</v>
          </cell>
          <cell r="AE2046">
            <v>0.2</v>
          </cell>
          <cell r="AF2046">
            <v>0.2</v>
          </cell>
          <cell r="AG2046">
            <v>0.2</v>
          </cell>
          <cell r="AH2046">
            <v>0.2</v>
          </cell>
          <cell r="AI2046">
            <v>0.2</v>
          </cell>
          <cell r="AJ2046">
            <v>0.2</v>
          </cell>
          <cell r="AK2046">
            <v>0.2</v>
          </cell>
          <cell r="AL2046">
            <v>0.2</v>
          </cell>
          <cell r="AM2046">
            <v>0.2</v>
          </cell>
          <cell r="AN2046">
            <v>0.2</v>
          </cell>
          <cell r="AO2046">
            <v>0.2</v>
          </cell>
          <cell r="AP2046">
            <v>0.2</v>
          </cell>
          <cell r="AQ2046">
            <v>0.2</v>
          </cell>
          <cell r="AR2046">
            <v>0.2</v>
          </cell>
          <cell r="AS2046">
            <v>0.2</v>
          </cell>
          <cell r="AT2046">
            <v>-0.04</v>
          </cell>
          <cell r="AU2046">
            <v>0.92</v>
          </cell>
          <cell r="AV2046">
            <v>20</v>
          </cell>
          <cell r="AZ2046">
            <v>0.2</v>
          </cell>
          <cell r="BA2046">
            <v>0.2</v>
          </cell>
        </row>
        <row r="2047">
          <cell r="A2047" t="str">
            <v>RASPANTI GIUSEPPE</v>
          </cell>
          <cell r="D2047" t="str">
            <v>CONTRADA S.ANDREA</v>
          </cell>
          <cell r="E2047" t="str">
            <v>94014</v>
          </cell>
          <cell r="F2047" t="str">
            <v>NICOSIA</v>
          </cell>
          <cell r="G2047" t="str">
            <v>EN</v>
          </cell>
          <cell r="H2047" t="str">
            <v>ITALIA</v>
          </cell>
          <cell r="J2047" t="str">
            <v>01166630861</v>
          </cell>
          <cell r="M2047" t="str">
            <v>UFFICIO ACQUISTI</v>
          </cell>
          <cell r="O2047" t="str">
            <v>328 6761932</v>
          </cell>
          <cell r="P2047" t="str">
            <v>peppuccioraspanti@tiscali.it</v>
          </cell>
          <cell r="R2047" t="str">
            <v>BONIFICO BANCARIO, ALLA DATA DELLA NOSTRA CONFERMA D'ORDINE</v>
          </cell>
          <cell r="X2047">
            <v>0.25</v>
          </cell>
          <cell r="Y2047">
            <v>-0.04</v>
          </cell>
          <cell r="AB2047">
            <v>0.25</v>
          </cell>
          <cell r="AC2047">
            <v>0.25</v>
          </cell>
          <cell r="AD2047">
            <v>0.25</v>
          </cell>
          <cell r="AE2047">
            <v>0.25</v>
          </cell>
          <cell r="AF2047">
            <v>0.25</v>
          </cell>
          <cell r="AG2047">
            <v>0.25</v>
          </cell>
          <cell r="AH2047">
            <v>0.25</v>
          </cell>
          <cell r="AI2047">
            <v>0.25</v>
          </cell>
          <cell r="AJ2047">
            <v>0.25</v>
          </cell>
          <cell r="AK2047">
            <v>0.25</v>
          </cell>
          <cell r="AL2047">
            <v>0.25</v>
          </cell>
          <cell r="AM2047">
            <v>0.25</v>
          </cell>
          <cell r="AN2047">
            <v>0.25</v>
          </cell>
          <cell r="AO2047">
            <v>0.25</v>
          </cell>
          <cell r="AP2047">
            <v>0.25</v>
          </cell>
          <cell r="AQ2047">
            <v>0.25</v>
          </cell>
          <cell r="AR2047">
            <v>0.25</v>
          </cell>
          <cell r="AS2047">
            <v>0.25</v>
          </cell>
          <cell r="AT2047">
            <v>-0.04</v>
          </cell>
          <cell r="AU2047">
            <v>0.92</v>
          </cell>
          <cell r="AV2047">
            <v>20</v>
          </cell>
          <cell r="AY2047" t="str">
            <v/>
          </cell>
          <cell r="AZ2047">
            <v>0.25</v>
          </cell>
          <cell r="BA2047">
            <v>0.25</v>
          </cell>
        </row>
        <row r="2048">
          <cell r="A2048" t="str">
            <v>RB SERRAMENTI SNC</v>
          </cell>
          <cell r="D2048" t="str">
            <v>VIA BORIOLI, 8</v>
          </cell>
          <cell r="E2048">
            <v>20090</v>
          </cell>
          <cell r="F2048" t="str">
            <v>SEGRATE</v>
          </cell>
          <cell r="G2048" t="str">
            <v>MI</v>
          </cell>
          <cell r="H2048" t="str">
            <v>ITALIA</v>
          </cell>
          <cell r="J2048" t="str">
            <v>11994880158</v>
          </cell>
          <cell r="M2048" t="str">
            <v>UFFICIO ACQUISTI</v>
          </cell>
          <cell r="N2048" t="str">
            <v>02 26923131</v>
          </cell>
          <cell r="O2048" t="str">
            <v>336 444776</v>
          </cell>
          <cell r="P2048" t="str">
            <v>info@rbserramentimilano.com</v>
          </cell>
          <cell r="R2048" t="str">
            <v>BONIFICO BANCARIO, ALLA DATA DELLA NOSTRA CONFERMA D'ORDINE</v>
          </cell>
          <cell r="X2048">
            <v>0.25</v>
          </cell>
          <cell r="Y2048">
            <v>-0.04</v>
          </cell>
          <cell r="AB2048">
            <v>0.25</v>
          </cell>
          <cell r="AC2048">
            <v>0.25</v>
          </cell>
          <cell r="AD2048">
            <v>0.25</v>
          </cell>
          <cell r="AE2048">
            <v>0.25</v>
          </cell>
          <cell r="AF2048">
            <v>0.25</v>
          </cell>
          <cell r="AG2048">
            <v>0.25</v>
          </cell>
          <cell r="AH2048">
            <v>0.25</v>
          </cell>
          <cell r="AI2048">
            <v>0.25</v>
          </cell>
          <cell r="AJ2048">
            <v>0.25</v>
          </cell>
          <cell r="AK2048">
            <v>0.25</v>
          </cell>
          <cell r="AL2048">
            <v>0.25</v>
          </cell>
          <cell r="AM2048">
            <v>0.25</v>
          </cell>
          <cell r="AN2048">
            <v>0.25</v>
          </cell>
          <cell r="AO2048">
            <v>0.25</v>
          </cell>
          <cell r="AP2048">
            <v>0.25</v>
          </cell>
          <cell r="AQ2048">
            <v>0.25</v>
          </cell>
          <cell r="AR2048">
            <v>0.25</v>
          </cell>
          <cell r="AS2048">
            <v>0.25</v>
          </cell>
          <cell r="AT2048">
            <v>-0.04</v>
          </cell>
          <cell r="AU2048">
            <v>0.92</v>
          </cell>
          <cell r="AV2048">
            <v>20</v>
          </cell>
          <cell r="AY2048" t="str">
            <v/>
          </cell>
          <cell r="AZ2048">
            <v>0.25</v>
          </cell>
          <cell r="BA2048">
            <v>0.25</v>
          </cell>
        </row>
        <row r="2049">
          <cell r="A2049" t="str">
            <v>RC SISTEM SISTEMI DI SICUREZZA</v>
          </cell>
          <cell r="D2049" t="str">
            <v>CALLE DEL TINTOR, 1811 SANTA CROCE</v>
          </cell>
          <cell r="E2049" t="str">
            <v>30135</v>
          </cell>
          <cell r="F2049" t="str">
            <v>VENEZIA</v>
          </cell>
          <cell r="G2049" t="str">
            <v>VE</v>
          </cell>
          <cell r="H2049" t="str">
            <v>ITALIA</v>
          </cell>
          <cell r="M2049" t="str">
            <v>UFFICIO ACQUISTI</v>
          </cell>
          <cell r="N2049" t="str">
            <v>041 00995993</v>
          </cell>
          <cell r="O2049" t="str">
            <v>Jose' 347 5446654</v>
          </cell>
          <cell r="P2049" t="str">
            <v>rcinstallazione@hotmail.it</v>
          </cell>
          <cell r="R2049" t="str">
            <v>BONIFICO BANCARIO, ALLA DATA DELLA NOSTRA CONFERMA D'ORDINE</v>
          </cell>
          <cell r="W2049" t="str">
            <v>ACQUA SALATA</v>
          </cell>
          <cell r="X2049">
            <v>0.3</v>
          </cell>
          <cell r="Y2049">
            <v>-0.04</v>
          </cell>
          <cell r="AB2049">
            <v>0.3</v>
          </cell>
          <cell r="AC2049">
            <v>0.3</v>
          </cell>
          <cell r="AD2049">
            <v>0.3</v>
          </cell>
          <cell r="AE2049">
            <v>0.3</v>
          </cell>
          <cell r="AF2049">
            <v>0.3</v>
          </cell>
          <cell r="AG2049">
            <v>0.3</v>
          </cell>
          <cell r="AH2049">
            <v>0.3</v>
          </cell>
          <cell r="AI2049">
            <v>0.3</v>
          </cell>
          <cell r="AJ2049">
            <v>0.3</v>
          </cell>
          <cell r="AK2049">
            <v>0.3</v>
          </cell>
          <cell r="AL2049">
            <v>0.3</v>
          </cell>
          <cell r="AM2049">
            <v>0.3</v>
          </cell>
          <cell r="AN2049">
            <v>0.3</v>
          </cell>
          <cell r="AO2049">
            <v>0.3</v>
          </cell>
          <cell r="AP2049">
            <v>0.3</v>
          </cell>
          <cell r="AQ2049">
            <v>0.3</v>
          </cell>
          <cell r="AR2049">
            <v>0.3</v>
          </cell>
          <cell r="AS2049">
            <v>0.3</v>
          </cell>
          <cell r="AT2049">
            <v>-0.04</v>
          </cell>
          <cell r="AU2049">
            <v>0.92</v>
          </cell>
          <cell r="AV2049">
            <v>20</v>
          </cell>
          <cell r="AZ2049">
            <v>0.3</v>
          </cell>
          <cell r="BA2049">
            <v>0.3</v>
          </cell>
        </row>
        <row r="2050">
          <cell r="A2050" t="str">
            <v>RD METALVETRO</v>
          </cell>
          <cell r="E2050" t="str">
            <v>00018</v>
          </cell>
          <cell r="F2050" t="str">
            <v>PALOMBARA SABINA</v>
          </cell>
          <cell r="G2050" t="str">
            <v>RM</v>
          </cell>
          <cell r="H2050" t="str">
            <v>ITALIA</v>
          </cell>
          <cell r="M2050" t="str">
            <v>UFFICIO ACQUISTI</v>
          </cell>
          <cell r="N2050" t="str">
            <v>0774 615625</v>
          </cell>
          <cell r="O2050" t="str">
            <v>360 428357</v>
          </cell>
          <cell r="R2050" t="str">
            <v>BONIFICO BANCARIO, ALLA DATA DELLA NOSTRA CONFERMA D'ORDINE</v>
          </cell>
          <cell r="X2050">
            <v>0.25</v>
          </cell>
          <cell r="Y2050">
            <v>-0.04</v>
          </cell>
          <cell r="AB2050">
            <v>0.25</v>
          </cell>
          <cell r="AC2050">
            <v>0.25</v>
          </cell>
          <cell r="AD2050">
            <v>0.25</v>
          </cell>
          <cell r="AE2050">
            <v>0.25</v>
          </cell>
          <cell r="AF2050">
            <v>0.25</v>
          </cell>
          <cell r="AG2050">
            <v>0.25</v>
          </cell>
          <cell r="AH2050">
            <v>0.25</v>
          </cell>
          <cell r="AI2050">
            <v>0.25</v>
          </cell>
          <cell r="AJ2050">
            <v>0.25</v>
          </cell>
          <cell r="AK2050">
            <v>0.25</v>
          </cell>
          <cell r="AL2050">
            <v>0.25</v>
          </cell>
          <cell r="AM2050">
            <v>0.25</v>
          </cell>
          <cell r="AN2050">
            <v>0.25</v>
          </cell>
          <cell r="AO2050">
            <v>0.25</v>
          </cell>
          <cell r="AP2050">
            <v>0.25</v>
          </cell>
          <cell r="AQ2050">
            <v>0.25</v>
          </cell>
          <cell r="AR2050">
            <v>0.25</v>
          </cell>
          <cell r="AS2050">
            <v>0.25</v>
          </cell>
          <cell r="AT2050">
            <v>-0.04</v>
          </cell>
          <cell r="AU2050">
            <v>0.92</v>
          </cell>
          <cell r="AV2050">
            <v>20</v>
          </cell>
          <cell r="AY2050" t="str">
            <v/>
          </cell>
          <cell r="AZ2050">
            <v>0.25</v>
          </cell>
          <cell r="BA2050">
            <v>0.25</v>
          </cell>
        </row>
        <row r="2051">
          <cell r="A2051" t="str">
            <v>RE SERRAMENTI</v>
          </cell>
          <cell r="D2051" t="str">
            <v>FRAZ. MOLLERE 51</v>
          </cell>
          <cell r="E2051">
            <v>12073</v>
          </cell>
          <cell r="F2051" t="str">
            <v>CEVA</v>
          </cell>
          <cell r="G2051" t="str">
            <v>CN</v>
          </cell>
          <cell r="H2051" t="str">
            <v>ITALIA</v>
          </cell>
          <cell r="M2051" t="str">
            <v>UFFICIO ACQUISTI</v>
          </cell>
          <cell r="N2051" t="str">
            <v>0174 701540</v>
          </cell>
          <cell r="O2051" t="str">
            <v>335 6065501</v>
          </cell>
          <cell r="P2051" t="str">
            <v>info@reserramenti.it</v>
          </cell>
          <cell r="R2051" t="str">
            <v>BONIFICO BANCARIO, ALLA DATA DELLA NOSTRA CONFERMA D'ORDINE</v>
          </cell>
          <cell r="X2051">
            <v>0.25</v>
          </cell>
          <cell r="Y2051">
            <v>-0.04</v>
          </cell>
          <cell r="AB2051">
            <v>0.25</v>
          </cell>
          <cell r="AC2051">
            <v>0.25</v>
          </cell>
          <cell r="AD2051">
            <v>0.25</v>
          </cell>
          <cell r="AE2051">
            <v>0.25</v>
          </cell>
          <cell r="AF2051">
            <v>0.25</v>
          </cell>
          <cell r="AG2051">
            <v>0.25</v>
          </cell>
          <cell r="AH2051">
            <v>0.25</v>
          </cell>
          <cell r="AI2051">
            <v>0.25</v>
          </cell>
          <cell r="AJ2051">
            <v>0.25</v>
          </cell>
          <cell r="AK2051">
            <v>0.25</v>
          </cell>
          <cell r="AL2051">
            <v>0.25</v>
          </cell>
          <cell r="AM2051">
            <v>0.25</v>
          </cell>
          <cell r="AN2051">
            <v>0.25</v>
          </cell>
          <cell r="AO2051">
            <v>0.25</v>
          </cell>
          <cell r="AP2051">
            <v>0.25</v>
          </cell>
          <cell r="AQ2051">
            <v>0.25</v>
          </cell>
          <cell r="AR2051">
            <v>0.25</v>
          </cell>
          <cell r="AS2051">
            <v>0.25</v>
          </cell>
          <cell r="AT2051">
            <v>-0.04</v>
          </cell>
          <cell r="AU2051">
            <v>0.92</v>
          </cell>
          <cell r="AV2051">
            <v>20</v>
          </cell>
          <cell r="AY2051" t="str">
            <v/>
          </cell>
          <cell r="AZ2051">
            <v>0.25</v>
          </cell>
          <cell r="BA2051">
            <v>0.25</v>
          </cell>
        </row>
        <row r="2052">
          <cell r="A2052" t="str">
            <v>REAL SERRAMENTI DI GOINA EDOARDO</v>
          </cell>
          <cell r="B2052" t="str">
            <v xml:space="preserve">VA IN PENSIONE, ESPOSIZIONE CENTRO COMMERCIALE </v>
          </cell>
          <cell r="D2052" t="str">
            <v>VIA DI MONTE D'ORO, 82 A</v>
          </cell>
          <cell r="E2052" t="str">
            <v>34015</v>
          </cell>
          <cell r="F2052" t="str">
            <v>MUGGIA</v>
          </cell>
          <cell r="G2052" t="str">
            <v>TV</v>
          </cell>
          <cell r="H2052" t="str">
            <v>ITALIA</v>
          </cell>
          <cell r="J2052" t="str">
            <v>01293330328</v>
          </cell>
          <cell r="M2052" t="str">
            <v>UFFICIO ACQUISTI</v>
          </cell>
          <cell r="N2052" t="str">
            <v>040 9235043</v>
          </cell>
          <cell r="O2052" t="str">
            <v>392 0238538</v>
          </cell>
          <cell r="P2052" t="str">
            <v>realserramenti.ts@libero.it</v>
          </cell>
          <cell r="R2052" t="str">
            <v>BONIFICO BANCARIO, ALLA DATA DELLA NOSTRA CONFERMA D'ORDINE</v>
          </cell>
          <cell r="X2052">
            <v>0.25</v>
          </cell>
          <cell r="Y2052">
            <v>-0.04</v>
          </cell>
          <cell r="AB2052">
            <v>0.25</v>
          </cell>
          <cell r="AC2052">
            <v>0.25</v>
          </cell>
          <cell r="AD2052">
            <v>0.25</v>
          </cell>
          <cell r="AE2052">
            <v>0.25</v>
          </cell>
          <cell r="AF2052">
            <v>0.25</v>
          </cell>
          <cell r="AG2052">
            <v>0.25</v>
          </cell>
          <cell r="AH2052">
            <v>0.25</v>
          </cell>
          <cell r="AI2052">
            <v>0.25</v>
          </cell>
          <cell r="AJ2052">
            <v>0.25</v>
          </cell>
          <cell r="AK2052">
            <v>0.25</v>
          </cell>
          <cell r="AL2052">
            <v>0.25</v>
          </cell>
          <cell r="AM2052">
            <v>0.25</v>
          </cell>
          <cell r="AN2052">
            <v>0.25</v>
          </cell>
          <cell r="AO2052">
            <v>0.25</v>
          </cell>
          <cell r="AP2052">
            <v>0.25</v>
          </cell>
          <cell r="AQ2052">
            <v>0.25</v>
          </cell>
          <cell r="AR2052">
            <v>0.25</v>
          </cell>
          <cell r="AS2052">
            <v>0.25</v>
          </cell>
          <cell r="AT2052">
            <v>-0.04</v>
          </cell>
          <cell r="AU2052">
            <v>0.92</v>
          </cell>
          <cell r="AV2052">
            <v>20</v>
          </cell>
          <cell r="AY2052" t="str">
            <v/>
          </cell>
          <cell r="AZ2052">
            <v>0.25</v>
          </cell>
          <cell r="BA2052">
            <v>0.25</v>
          </cell>
        </row>
        <row r="2053">
          <cell r="A2053" t="str">
            <v>REALE CARLO SERRAMENTI E CARPENTERIA DI REALE CARLO S.R.L.</v>
          </cell>
          <cell r="C2053" t="str">
            <v>AL1</v>
          </cell>
          <cell r="D2053" t="str">
            <v>Strada del Turchino, 20</v>
          </cell>
          <cell r="E2053">
            <v>15067</v>
          </cell>
          <cell r="F2053" t="str">
            <v>NOVI LIGURE</v>
          </cell>
          <cell r="G2053" t="str">
            <v>AL</v>
          </cell>
          <cell r="H2053" t="str">
            <v>ITALIA</v>
          </cell>
          <cell r="I2053" t="str">
            <v>02517120065</v>
          </cell>
          <cell r="J2053" t="str">
            <v>02517120065</v>
          </cell>
          <cell r="K2053" t="str">
            <v>T04ZHR3</v>
          </cell>
          <cell r="M2053" t="str">
            <v>UFFICIO ACQUISTI</v>
          </cell>
          <cell r="N2053" t="str">
            <v>0143 78250</v>
          </cell>
          <cell r="O2053" t="str">
            <v>347 2756387</v>
          </cell>
          <cell r="P2053" t="str">
            <v>REALE@REALECARLO.IT</v>
          </cell>
          <cell r="R2053" t="str">
            <v>BONIFICO BANCARIO, ALLA DATA DELLA NOSTRA CONFERMA D'ORDINE</v>
          </cell>
          <cell r="X2053">
            <v>0.25</v>
          </cell>
          <cell r="Y2053">
            <v>-0.04</v>
          </cell>
          <cell r="AB2053">
            <v>0.25</v>
          </cell>
          <cell r="AC2053">
            <v>0.25</v>
          </cell>
          <cell r="AD2053">
            <v>0.25</v>
          </cell>
          <cell r="AE2053">
            <v>0.25</v>
          </cell>
          <cell r="AF2053">
            <v>0.25</v>
          </cell>
          <cell r="AG2053">
            <v>0.25</v>
          </cell>
          <cell r="AH2053">
            <v>0.25</v>
          </cell>
          <cell r="AI2053">
            <v>0.25</v>
          </cell>
          <cell r="AJ2053">
            <v>0.25</v>
          </cell>
          <cell r="AK2053">
            <v>0.25</v>
          </cell>
          <cell r="AL2053">
            <v>0.25</v>
          </cell>
          <cell r="AM2053">
            <v>0.25</v>
          </cell>
          <cell r="AN2053">
            <v>0.25</v>
          </cell>
          <cell r="AO2053">
            <v>0.25</v>
          </cell>
          <cell r="AP2053">
            <v>0.25</v>
          </cell>
          <cell r="AQ2053">
            <v>0.25</v>
          </cell>
          <cell r="AR2053">
            <v>0.25</v>
          </cell>
          <cell r="AS2053">
            <v>0.25</v>
          </cell>
          <cell r="AT2053">
            <v>-0.04</v>
          </cell>
          <cell r="AU2053">
            <v>0.92</v>
          </cell>
          <cell r="AV2053">
            <v>20</v>
          </cell>
          <cell r="AY2053" t="str">
            <v/>
          </cell>
          <cell r="AZ2053">
            <v>0.25</v>
          </cell>
          <cell r="BA2053">
            <v>0.25</v>
          </cell>
        </row>
        <row r="2054">
          <cell r="A2054" t="str">
            <v>REALE ING. ANDREA INFISSI E CARPENTERIA SRL</v>
          </cell>
          <cell r="C2054" t="str">
            <v>AL4</v>
          </cell>
          <cell r="D2054" t="str">
            <v>STRADA DEL TURCHINO, 20</v>
          </cell>
          <cell r="E2054">
            <v>15067</v>
          </cell>
          <cell r="F2054" t="str">
            <v>NOVI LIGURE</v>
          </cell>
          <cell r="G2054" t="str">
            <v>AL</v>
          </cell>
          <cell r="H2054" t="str">
            <v>ITALIA</v>
          </cell>
          <cell r="I2054" t="str">
            <v>02518640061</v>
          </cell>
          <cell r="J2054" t="str">
            <v>02518640061</v>
          </cell>
          <cell r="K2054" t="str">
            <v>M5UXCR1</v>
          </cell>
          <cell r="M2054" t="str">
            <v>UFFICIO ACQUISTI</v>
          </cell>
          <cell r="N2054" t="str">
            <v>0143 71521</v>
          </cell>
          <cell r="O2054" t="str">
            <v>393 9224595</v>
          </cell>
          <cell r="P2054" t="str">
            <v>ing.andrea.reale@gmail.com</v>
          </cell>
          <cell r="R2054" t="str">
            <v>BONIFICO BANCARIO, ALLA DATA DELLA NOSTRA CONFERMA D'ORDINE</v>
          </cell>
          <cell r="X2054">
            <v>0.25</v>
          </cell>
          <cell r="Y2054">
            <v>-0.04</v>
          </cell>
          <cell r="AB2054">
            <v>0.25</v>
          </cell>
          <cell r="AC2054">
            <v>0.25</v>
          </cell>
          <cell r="AD2054">
            <v>0.25</v>
          </cell>
          <cell r="AE2054">
            <v>0.25</v>
          </cell>
          <cell r="AF2054">
            <v>0.25</v>
          </cell>
          <cell r="AG2054">
            <v>0.25</v>
          </cell>
          <cell r="AH2054">
            <v>0.25</v>
          </cell>
          <cell r="AI2054">
            <v>0.25</v>
          </cell>
          <cell r="AJ2054">
            <v>0.25</v>
          </cell>
          <cell r="AK2054">
            <v>0.25</v>
          </cell>
          <cell r="AL2054">
            <v>0.25</v>
          </cell>
          <cell r="AM2054">
            <v>0.25</v>
          </cell>
          <cell r="AN2054">
            <v>0.25</v>
          </cell>
          <cell r="AO2054">
            <v>0.25</v>
          </cell>
          <cell r="AP2054">
            <v>0.25</v>
          </cell>
          <cell r="AQ2054">
            <v>0.25</v>
          </cell>
          <cell r="AR2054">
            <v>0.25</v>
          </cell>
          <cell r="AS2054">
            <v>0.25</v>
          </cell>
          <cell r="AT2054">
            <v>-0.04</v>
          </cell>
          <cell r="AU2054">
            <v>0.92</v>
          </cell>
          <cell r="AV2054">
            <v>20</v>
          </cell>
          <cell r="AY2054" t="str">
            <v/>
          </cell>
          <cell r="AZ2054">
            <v>0.25</v>
          </cell>
          <cell r="BA2054">
            <v>0.25</v>
          </cell>
          <cell r="BF2054" t="str">
            <v xml:space="preserve"> CLICK RAPID con carpenteria 2019</v>
          </cell>
        </row>
        <row r="2055">
          <cell r="A2055" t="str">
            <v>REALI &amp; MANARA S.N.C. DI MANARA LINO E C.</v>
          </cell>
          <cell r="B2055" t="str">
            <v>POTREBBE</v>
          </cell>
          <cell r="D2055" t="str">
            <v>VIA ARTIGIANI, 8</v>
          </cell>
          <cell r="E2055">
            <v>26100</v>
          </cell>
          <cell r="F2055" t="str">
            <v>CREMONA</v>
          </cell>
          <cell r="G2055" t="str">
            <v>CR</v>
          </cell>
          <cell r="H2055" t="str">
            <v>ITALIA</v>
          </cell>
          <cell r="I2055" t="str">
            <v>00132310194</v>
          </cell>
          <cell r="J2055" t="str">
            <v>00132310194</v>
          </cell>
          <cell r="M2055" t="str">
            <v>UFFICIO ACQUISTI</v>
          </cell>
          <cell r="N2055" t="str">
            <v>0372 23730</v>
          </cell>
          <cell r="R2055" t="str">
            <v>BONIFICO BANCARIO, ALLA DATA DELLA NOSTRA CONFERMA D'ORDINE</v>
          </cell>
          <cell r="X2055">
            <v>0.25</v>
          </cell>
          <cell r="Y2055">
            <v>-0.04</v>
          </cell>
          <cell r="AB2055">
            <v>0.25</v>
          </cell>
          <cell r="AC2055">
            <v>0.25</v>
          </cell>
          <cell r="AD2055">
            <v>0.25</v>
          </cell>
          <cell r="AE2055">
            <v>0.25</v>
          </cell>
          <cell r="AF2055">
            <v>0.25</v>
          </cell>
          <cell r="AG2055">
            <v>0.25</v>
          </cell>
          <cell r="AH2055">
            <v>0.25</v>
          </cell>
          <cell r="AI2055">
            <v>0.25</v>
          </cell>
          <cell r="AJ2055">
            <v>0.25</v>
          </cell>
          <cell r="AK2055">
            <v>0.25</v>
          </cell>
          <cell r="AL2055">
            <v>0.25</v>
          </cell>
          <cell r="AM2055">
            <v>0.25</v>
          </cell>
          <cell r="AN2055">
            <v>0.25</v>
          </cell>
          <cell r="AO2055">
            <v>0.25</v>
          </cell>
          <cell r="AP2055">
            <v>0.25</v>
          </cell>
          <cell r="AQ2055">
            <v>0.25</v>
          </cell>
          <cell r="AR2055">
            <v>0.25</v>
          </cell>
          <cell r="AS2055">
            <v>0.25</v>
          </cell>
          <cell r="AT2055">
            <v>-0.04</v>
          </cell>
          <cell r="AU2055">
            <v>0.92</v>
          </cell>
          <cell r="AV2055">
            <v>20</v>
          </cell>
          <cell r="AY2055" t="str">
            <v/>
          </cell>
          <cell r="AZ2055">
            <v>0.25</v>
          </cell>
          <cell r="BA2055">
            <v>0.25</v>
          </cell>
        </row>
        <row r="2056">
          <cell r="A2056" t="str">
            <v>REFER DI REBONI MARIO</v>
          </cell>
          <cell r="D2056" t="str">
            <v>VIA G.ZANARDELLI, 40</v>
          </cell>
          <cell r="E2056" t="str">
            <v>25060</v>
          </cell>
          <cell r="F2056" t="str">
            <v>MARCHENO</v>
          </cell>
          <cell r="G2056" t="str">
            <v>BS</v>
          </cell>
          <cell r="H2056" t="str">
            <v>ITALIA</v>
          </cell>
          <cell r="I2056" t="str">
            <v>RBNMRA56M17I433B</v>
          </cell>
          <cell r="J2056" t="str">
            <v>03386470987</v>
          </cell>
          <cell r="M2056" t="str">
            <v>UFFICIO ACQUISTI</v>
          </cell>
          <cell r="N2056" t="str">
            <v>030 8960288</v>
          </cell>
          <cell r="O2056" t="str">
            <v>335 6859358 REBONI MARIO</v>
          </cell>
          <cell r="P2056" t="str">
            <v>refer.reboni@virgilio.it</v>
          </cell>
          <cell r="R2056" t="str">
            <v>BONIFICO BANCARIO, ALLA DATA DELLA NOSTRA CONFERMA D'ORDINE</v>
          </cell>
          <cell r="X2056">
            <v>0.2</v>
          </cell>
          <cell r="Y2056">
            <v>-0.04</v>
          </cell>
          <cell r="AB2056">
            <v>0.2</v>
          </cell>
          <cell r="AC2056">
            <v>0.2</v>
          </cell>
          <cell r="AD2056">
            <v>0.2</v>
          </cell>
          <cell r="AE2056">
            <v>0.2</v>
          </cell>
          <cell r="AF2056">
            <v>0.2</v>
          </cell>
          <cell r="AG2056">
            <v>0.2</v>
          </cell>
          <cell r="AH2056">
            <v>0.2</v>
          </cell>
          <cell r="AI2056">
            <v>0.2</v>
          </cell>
          <cell r="AJ2056">
            <v>0.2</v>
          </cell>
          <cell r="AK2056">
            <v>0.2</v>
          </cell>
          <cell r="AL2056">
            <v>0.2</v>
          </cell>
          <cell r="AM2056">
            <v>0.2</v>
          </cell>
          <cell r="AN2056">
            <v>0.2</v>
          </cell>
          <cell r="AO2056">
            <v>0.2</v>
          </cell>
          <cell r="AP2056">
            <v>0.2</v>
          </cell>
          <cell r="AQ2056">
            <v>0.2</v>
          </cell>
          <cell r="AR2056">
            <v>0.2</v>
          </cell>
          <cell r="AS2056">
            <v>0.2</v>
          </cell>
          <cell r="AT2056">
            <v>-0.04</v>
          </cell>
          <cell r="AU2056">
            <v>0.92</v>
          </cell>
          <cell r="AV2056">
            <v>20</v>
          </cell>
          <cell r="AZ2056">
            <v>0.2</v>
          </cell>
          <cell r="BA2056">
            <v>0.2</v>
          </cell>
        </row>
        <row r="2057">
          <cell r="A2057" t="str">
            <v>REGAL PLAST PVC</v>
          </cell>
          <cell r="B2057" t="str">
            <v>21/03/23 MANDATA MAIL</v>
          </cell>
          <cell r="D2057" t="str">
            <v>VIA SILVIO PELLICO, 4</v>
          </cell>
          <cell r="E2057" t="str">
            <v>29017</v>
          </cell>
          <cell r="F2057" t="str">
            <v>FIORENZUOLA D'ARDA</v>
          </cell>
          <cell r="G2057" t="str">
            <v>PC</v>
          </cell>
          <cell r="H2057" t="str">
            <v>ITALIA</v>
          </cell>
          <cell r="M2057" t="str">
            <v>SIG.RA LOREDANA</v>
          </cell>
          <cell r="O2057" t="str">
            <v>388 6523087 - 329 8992499</v>
          </cell>
          <cell r="P2057" t="str">
            <v>info@regalplastpvc.it</v>
          </cell>
          <cell r="R2057" t="str">
            <v>BONIFICO BANCARIO, ALLA DATA DELLA NOSTRA CONFERMA D'ORDINE</v>
          </cell>
          <cell r="Y2057">
            <v>-0.04</v>
          </cell>
          <cell r="AT2057">
            <v>-0.04</v>
          </cell>
          <cell r="AV2057">
            <v>20</v>
          </cell>
          <cell r="AZ2057">
            <v>0</v>
          </cell>
          <cell r="BA2057">
            <v>0</v>
          </cell>
        </row>
        <row r="2058">
          <cell r="A2058" t="str">
            <v>REGGIANINI SAS DI REGGIANINI PAOLO &amp; C.</v>
          </cell>
          <cell r="D2058" t="str">
            <v>VIA PER CASTELVETRO, 13</v>
          </cell>
          <cell r="E2058">
            <v>41058</v>
          </cell>
          <cell r="F2058" t="str">
            <v>VIGNOLA</v>
          </cell>
          <cell r="G2058" t="str">
            <v>MO</v>
          </cell>
          <cell r="H2058" t="str">
            <v>ITALIA</v>
          </cell>
          <cell r="I2058" t="str">
            <v>02403330364</v>
          </cell>
          <cell r="J2058" t="str">
            <v>02403330364</v>
          </cell>
          <cell r="M2058" t="str">
            <v>UFFICIO ACQUISTI</v>
          </cell>
          <cell r="N2058" t="str">
            <v>059 772091</v>
          </cell>
          <cell r="O2058" t="str">
            <v>348 7405881</v>
          </cell>
          <cell r="P2058" t="str">
            <v>info@reggianinisas.it</v>
          </cell>
          <cell r="R2058" t="str">
            <v>BONIFICO BANCARIO, ALLA DATA DELLA NOSTRA CONFERMA D'ORDINE</v>
          </cell>
          <cell r="X2058">
            <v>0.25</v>
          </cell>
          <cell r="Y2058">
            <v>-0.04</v>
          </cell>
          <cell r="AB2058">
            <v>0.25</v>
          </cell>
          <cell r="AC2058">
            <v>0.25</v>
          </cell>
          <cell r="AD2058">
            <v>0.25</v>
          </cell>
          <cell r="AE2058">
            <v>0.25</v>
          </cell>
          <cell r="AF2058">
            <v>0.25</v>
          </cell>
          <cell r="AG2058">
            <v>0.25</v>
          </cell>
          <cell r="AH2058">
            <v>0.25</v>
          </cell>
          <cell r="AI2058">
            <v>0.25</v>
          </cell>
          <cell r="AJ2058">
            <v>0.25</v>
          </cell>
          <cell r="AK2058">
            <v>0.25</v>
          </cell>
          <cell r="AL2058">
            <v>0.25</v>
          </cell>
          <cell r="AM2058">
            <v>0.25</v>
          </cell>
          <cell r="AN2058">
            <v>0.25</v>
          </cell>
          <cell r="AO2058">
            <v>0.25</v>
          </cell>
          <cell r="AP2058">
            <v>0.25</v>
          </cell>
          <cell r="AQ2058">
            <v>0.25</v>
          </cell>
          <cell r="AR2058">
            <v>0.25</v>
          </cell>
          <cell r="AS2058">
            <v>0.25</v>
          </cell>
          <cell r="AT2058">
            <v>-0.04</v>
          </cell>
          <cell r="AU2058">
            <v>0.92</v>
          </cell>
          <cell r="AV2058">
            <v>20</v>
          </cell>
          <cell r="AZ2058">
            <v>0.25</v>
          </cell>
          <cell r="BA2058">
            <v>0.25</v>
          </cell>
        </row>
        <row r="2059">
          <cell r="A2059" t="str">
            <v xml:space="preserve">REGGIMENTI </v>
          </cell>
          <cell r="D2059" t="str">
            <v>VIA BEATO ANGELICO, 12</v>
          </cell>
          <cell r="E2059">
            <v>21047</v>
          </cell>
          <cell r="F2059" t="str">
            <v>SARONNO</v>
          </cell>
          <cell r="G2059" t="str">
            <v>VA</v>
          </cell>
          <cell r="H2059" t="str">
            <v>ITALIA</v>
          </cell>
          <cell r="M2059" t="str">
            <v>UFFICIO ACQUISTI</v>
          </cell>
          <cell r="N2059" t="str">
            <v>02 9606463</v>
          </cell>
          <cell r="O2059" t="str">
            <v>335 7324562 Walter</v>
          </cell>
          <cell r="R2059" t="str">
            <v>BONIFICO BANCARIO, ALLA DATA DELLA NOSTRA CONFERMA D'ORDINE</v>
          </cell>
          <cell r="X2059">
            <v>0.25</v>
          </cell>
          <cell r="Y2059">
            <v>-0.04</v>
          </cell>
          <cell r="AB2059">
            <v>0.25</v>
          </cell>
          <cell r="AC2059">
            <v>0.25</v>
          </cell>
          <cell r="AD2059">
            <v>0.25</v>
          </cell>
          <cell r="AE2059">
            <v>0.25</v>
          </cell>
          <cell r="AF2059">
            <v>0.25</v>
          </cell>
          <cell r="AG2059">
            <v>0.25</v>
          </cell>
          <cell r="AH2059">
            <v>0.25</v>
          </cell>
          <cell r="AI2059">
            <v>0.25</v>
          </cell>
          <cell r="AJ2059">
            <v>0.25</v>
          </cell>
          <cell r="AK2059">
            <v>0.25</v>
          </cell>
          <cell r="AL2059">
            <v>0.25</v>
          </cell>
          <cell r="AM2059">
            <v>0.25</v>
          </cell>
          <cell r="AN2059">
            <v>0.25</v>
          </cell>
          <cell r="AO2059">
            <v>0.25</v>
          </cell>
          <cell r="AP2059">
            <v>0.25</v>
          </cell>
          <cell r="AQ2059">
            <v>0.25</v>
          </cell>
          <cell r="AR2059">
            <v>0.25</v>
          </cell>
          <cell r="AS2059">
            <v>0.25</v>
          </cell>
          <cell r="AT2059">
            <v>-0.04</v>
          </cell>
          <cell r="AU2059">
            <v>0.92</v>
          </cell>
          <cell r="AV2059">
            <v>20</v>
          </cell>
          <cell r="AY2059" t="str">
            <v/>
          </cell>
          <cell r="AZ2059">
            <v>0.25</v>
          </cell>
          <cell r="BA2059">
            <v>0.25</v>
          </cell>
        </row>
        <row r="2060">
          <cell r="A2060" t="str">
            <v>REIN SRL</v>
          </cell>
          <cell r="D2060" t="str">
            <v>VIA S. CROCE, 71/C</v>
          </cell>
          <cell r="E2060">
            <v>30135</v>
          </cell>
          <cell r="F2060" t="str">
            <v>VENEZIA</v>
          </cell>
          <cell r="G2060" t="str">
            <v>VE</v>
          </cell>
          <cell r="H2060" t="str">
            <v>ITALIA</v>
          </cell>
          <cell r="J2060" t="str">
            <v>04079280279</v>
          </cell>
          <cell r="M2060" t="str">
            <v>UFFICIO ACQUISTI</v>
          </cell>
          <cell r="N2060" t="str">
            <v>041 717520</v>
          </cell>
          <cell r="O2060" t="str">
            <v xml:space="preserve">348 8705446 GEOM. ROBERTO DE CARLI </v>
          </cell>
          <cell r="P2060" t="str">
            <v>roberto.decarli@orseolo.it</v>
          </cell>
          <cell r="R2060" t="str">
            <v>BONIFICO BANCARIO, ALLA DATA DELLA NOSTRA CONFERMA D'ORDINE</v>
          </cell>
          <cell r="W2060" t="str">
            <v>ACQUA SALATA</v>
          </cell>
          <cell r="X2060">
            <v>0.25</v>
          </cell>
          <cell r="Y2060">
            <v>-0.04</v>
          </cell>
          <cell r="AB2060">
            <v>0.25</v>
          </cell>
          <cell r="AC2060">
            <v>0.25</v>
          </cell>
          <cell r="AD2060">
            <v>0.25</v>
          </cell>
          <cell r="AE2060">
            <v>0.25</v>
          </cell>
          <cell r="AF2060">
            <v>0.25</v>
          </cell>
          <cell r="AG2060">
            <v>0.25</v>
          </cell>
          <cell r="AH2060">
            <v>0.25</v>
          </cell>
          <cell r="AI2060">
            <v>0.25</v>
          </cell>
          <cell r="AJ2060">
            <v>0.25</v>
          </cell>
          <cell r="AK2060">
            <v>0.25</v>
          </cell>
          <cell r="AL2060">
            <v>0.25</v>
          </cell>
          <cell r="AM2060">
            <v>0.25</v>
          </cell>
          <cell r="AN2060">
            <v>0.25</v>
          </cell>
          <cell r="AO2060">
            <v>0.25</v>
          </cell>
          <cell r="AP2060">
            <v>0.25</v>
          </cell>
          <cell r="AQ2060">
            <v>0.25</v>
          </cell>
          <cell r="AR2060">
            <v>0.25</v>
          </cell>
          <cell r="AS2060">
            <v>0.25</v>
          </cell>
          <cell r="AT2060">
            <v>-0.04</v>
          </cell>
          <cell r="AU2060">
            <v>0.92</v>
          </cell>
          <cell r="AV2060">
            <v>20</v>
          </cell>
          <cell r="AY2060" t="str">
            <v/>
          </cell>
          <cell r="AZ2060">
            <v>0.25</v>
          </cell>
          <cell r="BA2060">
            <v>0.25</v>
          </cell>
        </row>
        <row r="2061">
          <cell r="A2061" t="str">
            <v>REMONATO VERZINI S.N.C.</v>
          </cell>
          <cell r="D2061" t="str">
            <v>VIA TOGAROLE, 170</v>
          </cell>
          <cell r="E2061">
            <v>37047</v>
          </cell>
          <cell r="F2061" t="str">
            <v xml:space="preserve">SAN BONIFACIO </v>
          </cell>
          <cell r="G2061" t="str">
            <v>VR</v>
          </cell>
          <cell r="H2061" t="str">
            <v>ITALIA</v>
          </cell>
          <cell r="J2061" t="str">
            <v>02250620230</v>
          </cell>
          <cell r="M2061" t="str">
            <v>UFFICIO ACQUISTI</v>
          </cell>
          <cell r="N2061" t="str">
            <v>045 7665370</v>
          </cell>
          <cell r="R2061" t="str">
            <v>BONIFICO BANCARIO, ALLA DATA DELLA NOSTRA CONFERMA D'ORDINE</v>
          </cell>
          <cell r="X2061">
            <v>0.25</v>
          </cell>
          <cell r="Y2061">
            <v>-0.04</v>
          </cell>
          <cell r="AB2061">
            <v>0.25</v>
          </cell>
          <cell r="AC2061">
            <v>0.25</v>
          </cell>
          <cell r="AD2061">
            <v>0.25</v>
          </cell>
          <cell r="AE2061">
            <v>0.25</v>
          </cell>
          <cell r="AF2061">
            <v>0.25</v>
          </cell>
          <cell r="AG2061">
            <v>0.25</v>
          </cell>
          <cell r="AH2061">
            <v>0.25</v>
          </cell>
          <cell r="AI2061">
            <v>0.25</v>
          </cell>
          <cell r="AJ2061">
            <v>0.25</v>
          </cell>
          <cell r="AK2061">
            <v>0.25</v>
          </cell>
          <cell r="AL2061">
            <v>0.25</v>
          </cell>
          <cell r="AM2061">
            <v>0.25</v>
          </cell>
          <cell r="AN2061">
            <v>0.25</v>
          </cell>
          <cell r="AO2061">
            <v>0.25</v>
          </cell>
          <cell r="AP2061">
            <v>0.25</v>
          </cell>
          <cell r="AQ2061">
            <v>0.25</v>
          </cell>
          <cell r="AR2061">
            <v>0.25</v>
          </cell>
          <cell r="AS2061">
            <v>0.25</v>
          </cell>
          <cell r="AT2061">
            <v>-0.04</v>
          </cell>
          <cell r="AU2061">
            <v>0.92</v>
          </cell>
          <cell r="AV2061">
            <v>20</v>
          </cell>
          <cell r="AY2061" t="str">
            <v/>
          </cell>
          <cell r="AZ2061">
            <v>0.25</v>
          </cell>
          <cell r="BA2061">
            <v>0.25</v>
          </cell>
        </row>
        <row r="2062">
          <cell r="A2062" t="str">
            <v>REMONTANO VERZINI SNC DI REMONTANO CALUDIO E C.</v>
          </cell>
          <cell r="D2062" t="str">
            <v>VIA NOGAROLE, 170</v>
          </cell>
          <cell r="E2062">
            <v>37047</v>
          </cell>
          <cell r="F2062" t="str">
            <v xml:space="preserve">SAN BONIFACIO </v>
          </cell>
          <cell r="G2062" t="str">
            <v>VR</v>
          </cell>
          <cell r="H2062" t="str">
            <v>ITALIA</v>
          </cell>
          <cell r="J2062" t="str">
            <v>02250620230</v>
          </cell>
          <cell r="M2062" t="str">
            <v>UFFICIO ACQUISTI</v>
          </cell>
          <cell r="N2062" t="str">
            <v>045 7665370</v>
          </cell>
          <cell r="O2062" t="str">
            <v>333 4762389</v>
          </cell>
          <cell r="P2062" t="str">
            <v>remonatoverzini@gmail.com</v>
          </cell>
          <cell r="R2062" t="str">
            <v>BONIFICO BANCARIO, ALLA DATA DELLA NOSTRA CONFERMA D'ORDINE</v>
          </cell>
          <cell r="X2062">
            <v>0.25</v>
          </cell>
          <cell r="Y2062">
            <v>-0.04</v>
          </cell>
          <cell r="AB2062">
            <v>0.25</v>
          </cell>
          <cell r="AC2062">
            <v>0.25</v>
          </cell>
          <cell r="AD2062">
            <v>0.25</v>
          </cell>
          <cell r="AE2062">
            <v>0.25</v>
          </cell>
          <cell r="AF2062">
            <v>0.25</v>
          </cell>
          <cell r="AG2062">
            <v>0.25</v>
          </cell>
          <cell r="AH2062">
            <v>0.25</v>
          </cell>
          <cell r="AI2062">
            <v>0.25</v>
          </cell>
          <cell r="AJ2062">
            <v>0.25</v>
          </cell>
          <cell r="AK2062">
            <v>0.25</v>
          </cell>
          <cell r="AL2062">
            <v>0.25</v>
          </cell>
          <cell r="AM2062">
            <v>0.25</v>
          </cell>
          <cell r="AN2062">
            <v>0.25</v>
          </cell>
          <cell r="AO2062">
            <v>0.25</v>
          </cell>
          <cell r="AP2062">
            <v>0.25</v>
          </cell>
          <cell r="AQ2062">
            <v>0.25</v>
          </cell>
          <cell r="AR2062">
            <v>0.25</v>
          </cell>
          <cell r="AS2062">
            <v>0.25</v>
          </cell>
          <cell r="AT2062">
            <v>-0.04</v>
          </cell>
          <cell r="AU2062">
            <v>0.92</v>
          </cell>
          <cell r="AV2062">
            <v>20</v>
          </cell>
          <cell r="AY2062" t="str">
            <v/>
          </cell>
          <cell r="AZ2062">
            <v>0.25</v>
          </cell>
          <cell r="BA2062">
            <v>0.25</v>
          </cell>
        </row>
        <row r="2063">
          <cell r="A2063" t="str">
            <v>RENATO CUTUGNO</v>
          </cell>
          <cell r="D2063" t="str">
            <v>CORSO GENOVA, 92</v>
          </cell>
          <cell r="E2063">
            <v>18039</v>
          </cell>
          <cell r="F2063" t="str">
            <v>VENTIMIGLIA</v>
          </cell>
          <cell r="G2063" t="str">
            <v>IM</v>
          </cell>
          <cell r="H2063" t="str">
            <v>ITALIA</v>
          </cell>
          <cell r="M2063" t="str">
            <v>UFFICIO ACQUISTI</v>
          </cell>
          <cell r="O2063" t="str">
            <v>327 5886044</v>
          </cell>
          <cell r="P2063" t="str">
            <v>cutugnorenato@yahoo.it</v>
          </cell>
          <cell r="R2063" t="str">
            <v>BONIFICO BANCARIO, ALLA DATA DELLA NOSTRA CONFERMA D'ORDINE</v>
          </cell>
          <cell r="X2063">
            <v>0.25</v>
          </cell>
          <cell r="Y2063">
            <v>-0.04</v>
          </cell>
          <cell r="AB2063">
            <v>0.25</v>
          </cell>
          <cell r="AC2063">
            <v>0.25</v>
          </cell>
          <cell r="AD2063">
            <v>0.25</v>
          </cell>
          <cell r="AE2063">
            <v>0.25</v>
          </cell>
          <cell r="AF2063">
            <v>0.25</v>
          </cell>
          <cell r="AG2063">
            <v>0.25</v>
          </cell>
          <cell r="AH2063">
            <v>0.25</v>
          </cell>
          <cell r="AI2063">
            <v>0.25</v>
          </cell>
          <cell r="AJ2063">
            <v>0.25</v>
          </cell>
          <cell r="AK2063">
            <v>0.25</v>
          </cell>
          <cell r="AL2063">
            <v>0.25</v>
          </cell>
          <cell r="AM2063">
            <v>0.25</v>
          </cell>
          <cell r="AN2063">
            <v>0.25</v>
          </cell>
          <cell r="AO2063">
            <v>0.25</v>
          </cell>
          <cell r="AP2063">
            <v>0.25</v>
          </cell>
          <cell r="AQ2063">
            <v>0.25</v>
          </cell>
          <cell r="AR2063">
            <v>0.25</v>
          </cell>
          <cell r="AS2063">
            <v>0.25</v>
          </cell>
          <cell r="AT2063">
            <v>-0.04</v>
          </cell>
          <cell r="AU2063">
            <v>0.92</v>
          </cell>
          <cell r="AV2063">
            <v>20</v>
          </cell>
          <cell r="AY2063" t="str">
            <v/>
          </cell>
          <cell r="AZ2063">
            <v>0.25</v>
          </cell>
          <cell r="BA2063">
            <v>0.25</v>
          </cell>
        </row>
        <row r="2064">
          <cell r="A2064" t="str">
            <v>RENNA INFISSI S.r.l</v>
          </cell>
          <cell r="B2064" t="str">
            <v>15/02/23 HANNO DEPLIANT MA NESSUNA RICHIESTA</v>
          </cell>
          <cell r="D2064" t="str">
            <v>VIA CICERONE, 61</v>
          </cell>
          <cell r="E2064">
            <v>96016</v>
          </cell>
          <cell r="F2064" t="str">
            <v>LENTINI</v>
          </cell>
          <cell r="G2064" t="str">
            <v>SR</v>
          </cell>
          <cell r="H2064" t="str">
            <v>ITALIA</v>
          </cell>
          <cell r="J2064" t="str">
            <v>01551750894</v>
          </cell>
          <cell r="M2064" t="str">
            <v>UFFICIO ACQUISTI</v>
          </cell>
          <cell r="N2064" t="str">
            <v>095 7835530</v>
          </cell>
          <cell r="O2064" t="str">
            <v>347 5522033</v>
          </cell>
          <cell r="P2064" t="str">
            <v>rennainfissisrl@live.it</v>
          </cell>
          <cell r="R2064" t="str">
            <v>BONIFICO BANCARIO, ALLA DATA DELLA NOSTRA CONFERMA D'ORDINE</v>
          </cell>
          <cell r="X2064">
            <v>0.25</v>
          </cell>
          <cell r="Y2064">
            <v>-0.04</v>
          </cell>
          <cell r="AB2064">
            <v>0.25</v>
          </cell>
          <cell r="AC2064">
            <v>0.25</v>
          </cell>
          <cell r="AD2064">
            <v>0.25</v>
          </cell>
          <cell r="AE2064">
            <v>0.25</v>
          </cell>
          <cell r="AF2064">
            <v>0.25</v>
          </cell>
          <cell r="AG2064">
            <v>0.25</v>
          </cell>
          <cell r="AH2064">
            <v>0.25</v>
          </cell>
          <cell r="AI2064">
            <v>0.25</v>
          </cell>
          <cell r="AJ2064">
            <v>0.25</v>
          </cell>
          <cell r="AK2064">
            <v>0.25</v>
          </cell>
          <cell r="AL2064">
            <v>0.25</v>
          </cell>
          <cell r="AM2064">
            <v>0.25</v>
          </cell>
          <cell r="AN2064">
            <v>0.25</v>
          </cell>
          <cell r="AO2064">
            <v>0.25</v>
          </cell>
          <cell r="AP2064">
            <v>0.25</v>
          </cell>
          <cell r="AQ2064">
            <v>0.25</v>
          </cell>
          <cell r="AR2064">
            <v>0.25</v>
          </cell>
          <cell r="AS2064">
            <v>0.25</v>
          </cell>
          <cell r="AT2064">
            <v>-0.04</v>
          </cell>
          <cell r="AU2064">
            <v>0.92</v>
          </cell>
          <cell r="AV2064">
            <v>20</v>
          </cell>
          <cell r="AY2064" t="str">
            <v/>
          </cell>
          <cell r="AZ2064">
            <v>0.25</v>
          </cell>
          <cell r="BA2064">
            <v>0.25</v>
          </cell>
        </row>
        <row r="2065">
          <cell r="A2065" t="str">
            <v>RENZI  L'ARTE CHE ARREDA SAS</v>
          </cell>
          <cell r="D2065" t="str">
            <v>VIA ISONZO 50</v>
          </cell>
          <cell r="E2065" t="str">
            <v>00053</v>
          </cell>
          <cell r="F2065" t="str">
            <v>CIVITAVECCHIA</v>
          </cell>
          <cell r="G2065" t="str">
            <v>RM</v>
          </cell>
          <cell r="H2065" t="str">
            <v>ITALIA</v>
          </cell>
          <cell r="J2065" t="str">
            <v>12952001001</v>
          </cell>
          <cell r="M2065" t="str">
            <v>UFFICIO ACQUISTI</v>
          </cell>
          <cell r="N2065" t="str">
            <v>0766 23063</v>
          </cell>
          <cell r="O2065" t="str">
            <v>333 9967046</v>
          </cell>
          <cell r="P2065" t="str">
            <v>lartechearredasas@pec.it</v>
          </cell>
          <cell r="R2065" t="str">
            <v>BONIFICO BANCARIO, ALLA DATA DELLA NOSTRA CONFERMA D'ORDINE</v>
          </cell>
          <cell r="X2065">
            <v>0.25</v>
          </cell>
          <cell r="Y2065">
            <v>-0.04</v>
          </cell>
          <cell r="AB2065">
            <v>0.25</v>
          </cell>
          <cell r="AC2065">
            <v>0.25</v>
          </cell>
          <cell r="AD2065">
            <v>0.25</v>
          </cell>
          <cell r="AE2065">
            <v>0.25</v>
          </cell>
          <cell r="AF2065">
            <v>0.25</v>
          </cell>
          <cell r="AG2065">
            <v>0.25</v>
          </cell>
          <cell r="AH2065">
            <v>0.25</v>
          </cell>
          <cell r="AI2065">
            <v>0.25</v>
          </cell>
          <cell r="AJ2065">
            <v>0.25</v>
          </cell>
          <cell r="AK2065">
            <v>0.25</v>
          </cell>
          <cell r="AL2065">
            <v>0.25</v>
          </cell>
          <cell r="AM2065">
            <v>0.25</v>
          </cell>
          <cell r="AN2065">
            <v>0.25</v>
          </cell>
          <cell r="AO2065">
            <v>0.25</v>
          </cell>
          <cell r="AP2065">
            <v>0.25</v>
          </cell>
          <cell r="AQ2065">
            <v>0.25</v>
          </cell>
          <cell r="AR2065">
            <v>0.25</v>
          </cell>
          <cell r="AS2065">
            <v>0.25</v>
          </cell>
          <cell r="AT2065">
            <v>-0.04</v>
          </cell>
          <cell r="AU2065">
            <v>0.92</v>
          </cell>
          <cell r="AV2065">
            <v>20</v>
          </cell>
          <cell r="AY2065" t="str">
            <v/>
          </cell>
          <cell r="AZ2065">
            <v>0.25</v>
          </cell>
          <cell r="BA2065">
            <v>0.25</v>
          </cell>
        </row>
        <row r="2066">
          <cell r="A2066" t="str">
            <v>RESTAURI GENERALI VENEZIANI S.R.L.</v>
          </cell>
          <cell r="D2066" t="str">
            <v>ISOLA DELLA GIUDECCA, 424</v>
          </cell>
          <cell r="E2066" t="str">
            <v>30133</v>
          </cell>
          <cell r="F2066" t="str">
            <v>VENEZIA</v>
          </cell>
          <cell r="G2066" t="str">
            <v>VE</v>
          </cell>
          <cell r="H2066" t="str">
            <v>ITALIA</v>
          </cell>
          <cell r="J2066" t="str">
            <v>04340200270</v>
          </cell>
          <cell r="M2066" t="str">
            <v>UFFICIO ACQUISTI</v>
          </cell>
          <cell r="N2066" t="str">
            <v>041 5233454</v>
          </cell>
          <cell r="O2066" t="str">
            <v>348 0118753 GEOM. PITTERI UMBERTO</v>
          </cell>
          <cell r="P2066" t="str">
            <v>umberto@rgvsrl.it</v>
          </cell>
          <cell r="R2066" t="str">
            <v>BONIFICO BANCARIO, ALLA DATA DELLA NOSTRA CONFERMA D'ORDINE</v>
          </cell>
          <cell r="W2066" t="str">
            <v>ACQUA SALATA</v>
          </cell>
          <cell r="X2066">
            <v>0.25</v>
          </cell>
          <cell r="Y2066">
            <v>-0.04</v>
          </cell>
          <cell r="AB2066">
            <v>0.25</v>
          </cell>
          <cell r="AC2066">
            <v>0.25</v>
          </cell>
          <cell r="AD2066">
            <v>0.25</v>
          </cell>
          <cell r="AE2066">
            <v>0.25</v>
          </cell>
          <cell r="AF2066">
            <v>0.25</v>
          </cell>
          <cell r="AG2066">
            <v>0.25</v>
          </cell>
          <cell r="AH2066">
            <v>0.25</v>
          </cell>
          <cell r="AI2066">
            <v>0.25</v>
          </cell>
          <cell r="AJ2066">
            <v>0.25</v>
          </cell>
          <cell r="AK2066">
            <v>0.25</v>
          </cell>
          <cell r="AL2066">
            <v>0.25</v>
          </cell>
          <cell r="AM2066">
            <v>0.25</v>
          </cell>
          <cell r="AN2066">
            <v>0.25</v>
          </cell>
          <cell r="AO2066">
            <v>0.25</v>
          </cell>
          <cell r="AP2066">
            <v>0.25</v>
          </cell>
          <cell r="AQ2066">
            <v>0.25</v>
          </cell>
          <cell r="AR2066">
            <v>0.25</v>
          </cell>
          <cell r="AS2066">
            <v>0.25</v>
          </cell>
          <cell r="AT2066">
            <v>-0.04</v>
          </cell>
          <cell r="AU2066">
            <v>0.92</v>
          </cell>
          <cell r="AV2066">
            <v>20</v>
          </cell>
          <cell r="AY2066" t="str">
            <v/>
          </cell>
          <cell r="AZ2066">
            <v>0.25</v>
          </cell>
          <cell r="BA2066">
            <v>0.25</v>
          </cell>
        </row>
        <row r="2067">
          <cell r="A2067" t="str">
            <v>RESTAURO INFISSI MICHELE MEDEI</v>
          </cell>
          <cell r="B2067" t="str">
            <v>FA' LAVORI PER : DELLA CECA</v>
          </cell>
          <cell r="D2067" t="str">
            <v>VIA C.COLOMBO, 8</v>
          </cell>
          <cell r="E2067">
            <v>62029</v>
          </cell>
          <cell r="F2067" t="str">
            <v>TOLENTINO</v>
          </cell>
          <cell r="G2067" t="str">
            <v>MC</v>
          </cell>
          <cell r="H2067" t="str">
            <v>ITALIA</v>
          </cell>
          <cell r="J2067" t="str">
            <v>01968140432</v>
          </cell>
          <cell r="M2067" t="str">
            <v>UFFICIO ACQUISTI</v>
          </cell>
          <cell r="O2067" t="str">
            <v>347 1883229</v>
          </cell>
          <cell r="P2067" t="str">
            <v>michelemedei79@gmail.com</v>
          </cell>
          <cell r="R2067" t="str">
            <v>BONIFICO BANCARIO, ALLA DATA DELLA NOSTRA CONFERMA D'ORDINE</v>
          </cell>
          <cell r="X2067">
            <v>0.25</v>
          </cell>
          <cell r="Y2067">
            <v>-0.04</v>
          </cell>
          <cell r="AB2067">
            <v>0.25</v>
          </cell>
          <cell r="AC2067">
            <v>0.25</v>
          </cell>
          <cell r="AD2067">
            <v>0.25</v>
          </cell>
          <cell r="AE2067">
            <v>0.25</v>
          </cell>
          <cell r="AF2067">
            <v>0.25</v>
          </cell>
          <cell r="AG2067">
            <v>0.25</v>
          </cell>
          <cell r="AH2067">
            <v>0.25</v>
          </cell>
          <cell r="AI2067">
            <v>0.25</v>
          </cell>
          <cell r="AJ2067">
            <v>0.25</v>
          </cell>
          <cell r="AK2067">
            <v>0.25</v>
          </cell>
          <cell r="AL2067">
            <v>0.25</v>
          </cell>
          <cell r="AM2067">
            <v>0.25</v>
          </cell>
          <cell r="AN2067">
            <v>0.25</v>
          </cell>
          <cell r="AO2067">
            <v>0.25</v>
          </cell>
          <cell r="AP2067">
            <v>0.25</v>
          </cell>
          <cell r="AQ2067">
            <v>0.25</v>
          </cell>
          <cell r="AR2067">
            <v>0.25</v>
          </cell>
          <cell r="AS2067">
            <v>0.25</v>
          </cell>
          <cell r="AT2067">
            <v>-0.04</v>
          </cell>
          <cell r="AU2067">
            <v>0.92</v>
          </cell>
          <cell r="AV2067">
            <v>20</v>
          </cell>
          <cell r="AZ2067">
            <v>0.25</v>
          </cell>
          <cell r="BA2067">
            <v>0.25</v>
          </cell>
        </row>
        <row r="2068">
          <cell r="A2068" t="str">
            <v>REVEANESERRAMENTI</v>
          </cell>
          <cell r="D2068" t="str">
            <v>VIA CADOLA, 18</v>
          </cell>
          <cell r="E2068">
            <v>32014</v>
          </cell>
          <cell r="F2068" t="str">
            <v>PONTE NELLE ALPI</v>
          </cell>
          <cell r="G2068" t="str">
            <v>BL</v>
          </cell>
          <cell r="H2068" t="str">
            <v>ITALIA</v>
          </cell>
          <cell r="J2068" t="str">
            <v>00918460254</v>
          </cell>
          <cell r="M2068" t="str">
            <v>UFFICIO ACQUISTI</v>
          </cell>
          <cell r="N2068" t="str">
            <v>0437 998196</v>
          </cell>
          <cell r="P2068" t="str">
            <v>info@reveanserramenti.it</v>
          </cell>
          <cell r="R2068" t="str">
            <v>BONIFICO BANCARIO, ALLA DATA DELLA NOSTRA CONFERMA D'ORDINE</v>
          </cell>
          <cell r="X2068">
            <v>0</v>
          </cell>
          <cell r="Y2068">
            <v>-0.04</v>
          </cell>
          <cell r="AB2068">
            <v>0</v>
          </cell>
          <cell r="AC2068">
            <v>0</v>
          </cell>
          <cell r="AD2068">
            <v>0</v>
          </cell>
          <cell r="AE2068">
            <v>0</v>
          </cell>
          <cell r="AF2068">
            <v>0</v>
          </cell>
          <cell r="AG2068">
            <v>0</v>
          </cell>
          <cell r="AH2068">
            <v>0</v>
          </cell>
          <cell r="AI2068">
            <v>0</v>
          </cell>
          <cell r="AJ2068">
            <v>0</v>
          </cell>
          <cell r="AK2068">
            <v>0</v>
          </cell>
          <cell r="AL2068">
            <v>0</v>
          </cell>
          <cell r="AM2068">
            <v>0</v>
          </cell>
          <cell r="AN2068">
            <v>0</v>
          </cell>
          <cell r="AO2068">
            <v>0</v>
          </cell>
          <cell r="AP2068">
            <v>0</v>
          </cell>
          <cell r="AQ2068">
            <v>0</v>
          </cell>
          <cell r="AR2068">
            <v>0</v>
          </cell>
          <cell r="AS2068">
            <v>0</v>
          </cell>
          <cell r="AT2068">
            <v>-0.04</v>
          </cell>
          <cell r="AU2068">
            <v>0.92</v>
          </cell>
          <cell r="AV2068">
            <v>20</v>
          </cell>
          <cell r="AZ2068">
            <v>0</v>
          </cell>
          <cell r="BA2068">
            <v>0</v>
          </cell>
        </row>
        <row r="2069">
          <cell r="A2069" t="str">
            <v>RF INFISSI STORE</v>
          </cell>
          <cell r="D2069" t="str">
            <v>CORSO UMBERTO I, 234</v>
          </cell>
          <cell r="F2069" t="str">
            <v>SAN GIOVANNI GEMINI</v>
          </cell>
          <cell r="G2069" t="str">
            <v>AG</v>
          </cell>
          <cell r="H2069" t="str">
            <v>ITALIA</v>
          </cell>
          <cell r="M2069" t="str">
            <v>UFFICIO ACQUISTI</v>
          </cell>
          <cell r="O2069" t="str">
            <v>392 8057529 - 348 2406343 - 329 3917415</v>
          </cell>
          <cell r="P2069" t="str">
            <v>sifarsrl@tiscali.it - rampanteangelo@tiscali.it</v>
          </cell>
          <cell r="R2069" t="str">
            <v>BONIFICO BANCARIO, ALLA DATA DELLA NOSTRA CONFERMA D'ORDINE</v>
          </cell>
          <cell r="X2069">
            <v>0.25</v>
          </cell>
          <cell r="Y2069">
            <v>-0.04</v>
          </cell>
          <cell r="AB2069">
            <v>0.25</v>
          </cell>
          <cell r="AC2069">
            <v>0.25</v>
          </cell>
          <cell r="AD2069">
            <v>0.25</v>
          </cell>
          <cell r="AE2069">
            <v>0.25</v>
          </cell>
          <cell r="AF2069">
            <v>0.25</v>
          </cell>
          <cell r="AG2069">
            <v>0.25</v>
          </cell>
          <cell r="AH2069">
            <v>0.25</v>
          </cell>
          <cell r="AI2069">
            <v>0.25</v>
          </cell>
          <cell r="AJ2069">
            <v>0.25</v>
          </cell>
          <cell r="AK2069">
            <v>0.25</v>
          </cell>
          <cell r="AL2069">
            <v>0.25</v>
          </cell>
          <cell r="AM2069">
            <v>0.25</v>
          </cell>
          <cell r="AN2069">
            <v>0.25</v>
          </cell>
          <cell r="AO2069">
            <v>0.25</v>
          </cell>
          <cell r="AP2069">
            <v>0.25</v>
          </cell>
          <cell r="AQ2069">
            <v>0.25</v>
          </cell>
          <cell r="AR2069">
            <v>0.25</v>
          </cell>
          <cell r="AS2069">
            <v>0.25</v>
          </cell>
          <cell r="AT2069">
            <v>-0.04</v>
          </cell>
          <cell r="AU2069">
            <v>0.92</v>
          </cell>
          <cell r="AV2069">
            <v>20</v>
          </cell>
          <cell r="AY2069" t="str">
            <v/>
          </cell>
          <cell r="AZ2069">
            <v>0.25</v>
          </cell>
          <cell r="BA2069">
            <v>0.25</v>
          </cell>
        </row>
        <row r="2070">
          <cell r="A2070" t="str">
            <v>RG INFISSI SRL</v>
          </cell>
          <cell r="D2070" t="str">
            <v>VIA DEGLI ABETI 23/1</v>
          </cell>
          <cell r="E2070" t="str">
            <v>61122</v>
          </cell>
          <cell r="F2070" t="str">
            <v>PESARO</v>
          </cell>
          <cell r="G2070" t="str">
            <v>PU</v>
          </cell>
          <cell r="H2070" t="str">
            <v>ITALIA</v>
          </cell>
          <cell r="J2070" t="str">
            <v>0252122041</v>
          </cell>
          <cell r="M2070" t="str">
            <v>UFFICIO ACQUISTI</v>
          </cell>
          <cell r="N2070" t="str">
            <v>0721 25157</v>
          </cell>
          <cell r="R2070" t="str">
            <v>BONIFICO BANCARIO, ALLA DATA DELLA NOSTRA CONFERMA D'ORDINE</v>
          </cell>
          <cell r="X2070">
            <v>0.25</v>
          </cell>
          <cell r="Y2070">
            <v>-0.04</v>
          </cell>
          <cell r="AB2070">
            <v>0.25</v>
          </cell>
          <cell r="AC2070">
            <v>0.25</v>
          </cell>
          <cell r="AD2070">
            <v>0.25</v>
          </cell>
          <cell r="AE2070">
            <v>0.25</v>
          </cell>
          <cell r="AF2070">
            <v>0.25</v>
          </cell>
          <cell r="AG2070">
            <v>0.25</v>
          </cell>
          <cell r="AH2070">
            <v>0.25</v>
          </cell>
          <cell r="AI2070">
            <v>0.25</v>
          </cell>
          <cell r="AJ2070">
            <v>0.25</v>
          </cell>
          <cell r="AK2070">
            <v>0.25</v>
          </cell>
          <cell r="AL2070">
            <v>0.25</v>
          </cell>
          <cell r="AM2070">
            <v>0.25</v>
          </cell>
          <cell r="AN2070">
            <v>0.25</v>
          </cell>
          <cell r="AO2070">
            <v>0.25</v>
          </cell>
          <cell r="AP2070">
            <v>0.25</v>
          </cell>
          <cell r="AQ2070">
            <v>0.25</v>
          </cell>
          <cell r="AR2070">
            <v>0.25</v>
          </cell>
          <cell r="AS2070">
            <v>0.25</v>
          </cell>
          <cell r="AT2070">
            <v>-0.04</v>
          </cell>
          <cell r="AU2070">
            <v>0.92</v>
          </cell>
          <cell r="AV2070">
            <v>20</v>
          </cell>
          <cell r="AY2070" t="str">
            <v/>
          </cell>
          <cell r="AZ2070">
            <v>0.25</v>
          </cell>
          <cell r="BA2070">
            <v>0.25</v>
          </cell>
        </row>
        <row r="2071">
          <cell r="A2071" t="str">
            <v>RI.MA.</v>
          </cell>
          <cell r="B2071" t="str">
            <v>FABRIZIO RICOTTA</v>
          </cell>
          <cell r="D2071" t="str">
            <v>VIA DELLA PACE, 195/B</v>
          </cell>
          <cell r="E2071" t="str">
            <v>62100</v>
          </cell>
          <cell r="F2071" t="str">
            <v>MACERATA</v>
          </cell>
          <cell r="G2071" t="str">
            <v>MC</v>
          </cell>
          <cell r="H2071" t="str">
            <v>ITALIA</v>
          </cell>
          <cell r="J2071" t="str">
            <v>01932260431</v>
          </cell>
          <cell r="M2071" t="str">
            <v>UFFICIO ACQUISTI</v>
          </cell>
          <cell r="N2071" t="str">
            <v>0733 236736</v>
          </cell>
          <cell r="O2071" t="str">
            <v>339 3431511</v>
          </cell>
          <cell r="P2071" t="str">
            <v>info@rimaporte.com</v>
          </cell>
          <cell r="R2071" t="str">
            <v>BONIFICO BANCARIO, ALLA DATA DELLA NOSTRA CONFERMA D'ORDINE</v>
          </cell>
          <cell r="X2071">
            <v>0.25</v>
          </cell>
          <cell r="Y2071">
            <v>-0.04</v>
          </cell>
          <cell r="AB2071">
            <v>0.25</v>
          </cell>
          <cell r="AC2071">
            <v>0.25</v>
          </cell>
          <cell r="AD2071">
            <v>0.25</v>
          </cell>
          <cell r="AE2071">
            <v>0.25</v>
          </cell>
          <cell r="AF2071">
            <v>0.25</v>
          </cell>
          <cell r="AG2071">
            <v>0.25</v>
          </cell>
          <cell r="AH2071">
            <v>0.25</v>
          </cell>
          <cell r="AI2071">
            <v>0.25</v>
          </cell>
          <cell r="AJ2071">
            <v>0.25</v>
          </cell>
          <cell r="AK2071">
            <v>0.25</v>
          </cell>
          <cell r="AL2071">
            <v>0.25</v>
          </cell>
          <cell r="AM2071">
            <v>0.25</v>
          </cell>
          <cell r="AN2071">
            <v>0.25</v>
          </cell>
          <cell r="AO2071">
            <v>0.25</v>
          </cell>
          <cell r="AP2071">
            <v>0.25</v>
          </cell>
          <cell r="AQ2071">
            <v>0.25</v>
          </cell>
          <cell r="AR2071">
            <v>0.25</v>
          </cell>
          <cell r="AS2071">
            <v>0.25</v>
          </cell>
          <cell r="AT2071">
            <v>-0.04</v>
          </cell>
          <cell r="AU2071">
            <v>0.92</v>
          </cell>
          <cell r="AV2071">
            <v>20</v>
          </cell>
          <cell r="AY2071" t="str">
            <v/>
          </cell>
          <cell r="AZ2071">
            <v>0.25</v>
          </cell>
          <cell r="BA2071">
            <v>0.25</v>
          </cell>
        </row>
        <row r="2072">
          <cell r="A2072" t="str">
            <v>RI.SER Di Leo Degola</v>
          </cell>
          <cell r="D2072" t="str">
            <v>VIA TRENTO 5R</v>
          </cell>
          <cell r="E2072">
            <v>16149</v>
          </cell>
          <cell r="F2072" t="str">
            <v>GENOVA</v>
          </cell>
          <cell r="G2072" t="str">
            <v>GE</v>
          </cell>
          <cell r="H2072" t="str">
            <v>ITALIA</v>
          </cell>
          <cell r="I2072" t="str">
            <v>DGLLRD66R28D969K</v>
          </cell>
          <cell r="J2072">
            <v>3639480106</v>
          </cell>
          <cell r="M2072" t="str">
            <v>UFFICIO ACQUISTI</v>
          </cell>
          <cell r="N2072" t="str">
            <v>010 8327018</v>
          </cell>
          <cell r="O2072" t="str">
            <v>347 6419380</v>
          </cell>
          <cell r="R2072" t="str">
            <v>BONIFICO BANCARIO, ALLA DATA DELLA NOSTRA CONFERMA D'ORDINE</v>
          </cell>
          <cell r="X2072">
            <v>0.25</v>
          </cell>
          <cell r="Y2072">
            <v>-0.04</v>
          </cell>
          <cell r="AB2072">
            <v>0.25</v>
          </cell>
          <cell r="AC2072">
            <v>0.25</v>
          </cell>
          <cell r="AD2072">
            <v>0.25</v>
          </cell>
          <cell r="AE2072">
            <v>0.25</v>
          </cell>
          <cell r="AF2072">
            <v>0.25</v>
          </cell>
          <cell r="AG2072">
            <v>0.25</v>
          </cell>
          <cell r="AH2072">
            <v>0.25</v>
          </cell>
          <cell r="AI2072">
            <v>0.25</v>
          </cell>
          <cell r="AJ2072">
            <v>0.25</v>
          </cell>
          <cell r="AK2072">
            <v>0.25</v>
          </cell>
          <cell r="AL2072">
            <v>0.25</v>
          </cell>
          <cell r="AM2072">
            <v>0.25</v>
          </cell>
          <cell r="AN2072">
            <v>0.25</v>
          </cell>
          <cell r="AO2072">
            <v>0.25</v>
          </cell>
          <cell r="AP2072">
            <v>0.25</v>
          </cell>
          <cell r="AQ2072">
            <v>0.25</v>
          </cell>
          <cell r="AR2072">
            <v>0.25</v>
          </cell>
          <cell r="AS2072">
            <v>0.25</v>
          </cell>
          <cell r="AT2072">
            <v>-0.04</v>
          </cell>
          <cell r="AU2072">
            <v>0.92</v>
          </cell>
          <cell r="AV2072">
            <v>20</v>
          </cell>
          <cell r="AY2072" t="str">
            <v/>
          </cell>
          <cell r="AZ2072">
            <v>0.25</v>
          </cell>
          <cell r="BA2072">
            <v>0.25</v>
          </cell>
        </row>
        <row r="2073">
          <cell r="A2073" t="str">
            <v>RICCARDO SCANO SRL</v>
          </cell>
          <cell r="B2073" t="str">
            <v>LASCIATO DEPLIANT MP IL 26/03/2021</v>
          </cell>
          <cell r="D2073" t="str">
            <v>VIA FRANCESCO CIUSA, 9</v>
          </cell>
          <cell r="E2073" t="str">
            <v>09131</v>
          </cell>
          <cell r="F2073" t="str">
            <v>CAGLIARI</v>
          </cell>
          <cell r="G2073" t="str">
            <v>CA</v>
          </cell>
          <cell r="H2073" t="str">
            <v>ITALIA</v>
          </cell>
          <cell r="M2073" t="str">
            <v>UFFICIO ACQUISTI</v>
          </cell>
          <cell r="N2073" t="str">
            <v>070 42989</v>
          </cell>
          <cell r="O2073" t="str">
            <v>347 1054349</v>
          </cell>
          <cell r="R2073" t="str">
            <v>BONIFICO BANCARIO, ALLA DATA DELLA NOSTRA CONFERMA D'ORDINE</v>
          </cell>
          <cell r="X2073">
            <v>0.2</v>
          </cell>
          <cell r="Y2073">
            <v>-0.04</v>
          </cell>
          <cell r="AB2073">
            <v>0.2</v>
          </cell>
          <cell r="AC2073">
            <v>0.2</v>
          </cell>
          <cell r="AD2073">
            <v>0.2</v>
          </cell>
          <cell r="AE2073">
            <v>0.2</v>
          </cell>
          <cell r="AF2073">
            <v>0.2</v>
          </cell>
          <cell r="AG2073">
            <v>0.2</v>
          </cell>
          <cell r="AH2073">
            <v>0.2</v>
          </cell>
          <cell r="AI2073">
            <v>0.2</v>
          </cell>
          <cell r="AJ2073">
            <v>0.2</v>
          </cell>
          <cell r="AK2073">
            <v>0.2</v>
          </cell>
          <cell r="AL2073">
            <v>0.2</v>
          </cell>
          <cell r="AM2073">
            <v>0.2</v>
          </cell>
          <cell r="AN2073">
            <v>0.2</v>
          </cell>
          <cell r="AO2073">
            <v>0.2</v>
          </cell>
          <cell r="AP2073">
            <v>0.2</v>
          </cell>
          <cell r="AQ2073">
            <v>0.2</v>
          </cell>
          <cell r="AR2073">
            <v>0.2</v>
          </cell>
          <cell r="AS2073">
            <v>0.2</v>
          </cell>
          <cell r="AT2073">
            <v>-0.04</v>
          </cell>
          <cell r="AU2073">
            <v>0.92</v>
          </cell>
          <cell r="AV2073">
            <v>20</v>
          </cell>
          <cell r="AZ2073">
            <v>0.2</v>
          </cell>
          <cell r="BA2073">
            <v>0.2</v>
          </cell>
        </row>
        <row r="2074">
          <cell r="A2074" t="str">
            <v>RICCARDO SCANO SRL</v>
          </cell>
          <cell r="B2074" t="str">
            <v>SOLO BIGLIETTO DA VISITA</v>
          </cell>
          <cell r="D2074" t="str">
            <v>VIALE CIUSA, 11</v>
          </cell>
          <cell r="E2074" t="str">
            <v>09126</v>
          </cell>
          <cell r="F2074" t="str">
            <v>CAGLIARI</v>
          </cell>
          <cell r="G2074" t="str">
            <v>CA</v>
          </cell>
          <cell r="H2074" t="str">
            <v>ITALIA</v>
          </cell>
          <cell r="J2074" t="str">
            <v>02503430924</v>
          </cell>
          <cell r="L2074" t="str">
            <v>LOC.BRONCU GIRAU Z.I.-SAMATZAI  070 910499</v>
          </cell>
          <cell r="M2074" t="str">
            <v>UFFICIO ACQUISTI</v>
          </cell>
          <cell r="N2074" t="str">
            <v>070 42989</v>
          </cell>
          <cell r="O2074" t="str">
            <v>347 0334878 RICCARDO SCANO</v>
          </cell>
          <cell r="R2074" t="str">
            <v>BONIFICO BANCARIO, ALLA DATA DELLA NOSTRA CONFERMA D'ORDINE</v>
          </cell>
          <cell r="X2074">
            <v>0.25</v>
          </cell>
          <cell r="Y2074">
            <v>-0.04</v>
          </cell>
          <cell r="AB2074">
            <v>0.25</v>
          </cell>
          <cell r="AC2074">
            <v>0.25</v>
          </cell>
          <cell r="AD2074">
            <v>0.25</v>
          </cell>
          <cell r="AE2074">
            <v>0.25</v>
          </cell>
          <cell r="AF2074">
            <v>0.25</v>
          </cell>
          <cell r="AG2074">
            <v>0.25</v>
          </cell>
          <cell r="AH2074">
            <v>0.25</v>
          </cell>
          <cell r="AI2074">
            <v>0.25</v>
          </cell>
          <cell r="AJ2074">
            <v>0.25</v>
          </cell>
          <cell r="AK2074">
            <v>0.25</v>
          </cell>
          <cell r="AL2074">
            <v>0.25</v>
          </cell>
          <cell r="AM2074">
            <v>0.25</v>
          </cell>
          <cell r="AN2074">
            <v>0.25</v>
          </cell>
          <cell r="AO2074">
            <v>0.25</v>
          </cell>
          <cell r="AP2074">
            <v>0.25</v>
          </cell>
          <cell r="AQ2074">
            <v>0.25</v>
          </cell>
          <cell r="AR2074">
            <v>0.25</v>
          </cell>
          <cell r="AS2074">
            <v>0.25</v>
          </cell>
          <cell r="AT2074">
            <v>-0.04</v>
          </cell>
          <cell r="AU2074">
            <v>0.92</v>
          </cell>
          <cell r="AV2074">
            <v>20</v>
          </cell>
          <cell r="AZ2074">
            <v>0.25</v>
          </cell>
          <cell r="BA2074">
            <v>0.25</v>
          </cell>
        </row>
        <row r="2075">
          <cell r="A2075" t="str">
            <v>RICCI INFISSI DI RICCI ALFREDO</v>
          </cell>
          <cell r="D2075" t="str">
            <v>VIA VAL GARDENA, 42/44</v>
          </cell>
          <cell r="E2075" t="str">
            <v>63074</v>
          </cell>
          <cell r="F2075" t="str">
            <v>SAN BENEDETTO DEL TRONTO</v>
          </cell>
          <cell r="G2075" t="str">
            <v>AP</v>
          </cell>
          <cell r="H2075" t="str">
            <v>ITALIA</v>
          </cell>
          <cell r="I2075" t="str">
            <v>RCCLRD80T02H769W</v>
          </cell>
          <cell r="J2075" t="str">
            <v>02171360445</v>
          </cell>
          <cell r="M2075" t="str">
            <v>UFFICIO ACQUISTI</v>
          </cell>
          <cell r="O2075" t="str">
            <v>333 1538333</v>
          </cell>
          <cell r="P2075" t="str">
            <v>info@ricciinfissi.it</v>
          </cell>
          <cell r="R2075" t="str">
            <v>BONIFICO BANCARIO, ALLA DATA DELLA NOSTRA CONFERMA D'ORDINE</v>
          </cell>
          <cell r="X2075">
            <v>0.2</v>
          </cell>
          <cell r="Y2075">
            <v>-0.04</v>
          </cell>
          <cell r="AB2075">
            <v>0.2</v>
          </cell>
          <cell r="AC2075">
            <v>0.2</v>
          </cell>
          <cell r="AD2075">
            <v>0.2</v>
          </cell>
          <cell r="AE2075">
            <v>0.2</v>
          </cell>
          <cell r="AF2075">
            <v>0.2</v>
          </cell>
          <cell r="AG2075">
            <v>0.2</v>
          </cell>
          <cell r="AH2075">
            <v>0.2</v>
          </cell>
          <cell r="AI2075">
            <v>0.2</v>
          </cell>
          <cell r="AJ2075">
            <v>0.2</v>
          </cell>
          <cell r="AK2075">
            <v>0.2</v>
          </cell>
          <cell r="AL2075">
            <v>0.2</v>
          </cell>
          <cell r="AM2075">
            <v>0.2</v>
          </cell>
          <cell r="AN2075">
            <v>0.2</v>
          </cell>
          <cell r="AO2075">
            <v>0.2</v>
          </cell>
          <cell r="AP2075">
            <v>0.2</v>
          </cell>
          <cell r="AQ2075">
            <v>0.2</v>
          </cell>
          <cell r="AR2075">
            <v>0.2</v>
          </cell>
          <cell r="AS2075">
            <v>0.2</v>
          </cell>
          <cell r="AT2075">
            <v>-0.04</v>
          </cell>
          <cell r="AU2075">
            <v>0.92</v>
          </cell>
          <cell r="AV2075">
            <v>20</v>
          </cell>
          <cell r="AZ2075">
            <v>0.2</v>
          </cell>
          <cell r="BA2075">
            <v>0.2</v>
          </cell>
        </row>
        <row r="2076">
          <cell r="A2076" t="str">
            <v>RICCI PASQUALE</v>
          </cell>
          <cell r="D2076" t="str">
            <v>VIA TOSCOROMAGNOLA,220 VIA N. CASAROSA, 1</v>
          </cell>
          <cell r="E2076">
            <v>56012</v>
          </cell>
          <cell r="F2076" t="str">
            <v>FORNACETTE</v>
          </cell>
          <cell r="G2076" t="str">
            <v>PI</v>
          </cell>
          <cell r="H2076" t="str">
            <v>ITALIA</v>
          </cell>
          <cell r="M2076" t="str">
            <v>UFFICIO ACQUISTI</v>
          </cell>
          <cell r="N2076" t="str">
            <v>0587 420727</v>
          </cell>
          <cell r="O2076" t="str">
            <v>Simone  392 5483698</v>
          </cell>
          <cell r="P2076" t="str">
            <v>riccipasquale.fabbro@gmail.com</v>
          </cell>
          <cell r="R2076" t="str">
            <v>BONIFICO BANCARIO, ALLA DATA DELLA NOSTRA CONFERMA D'ORDINE</v>
          </cell>
          <cell r="X2076">
            <v>0.25</v>
          </cell>
          <cell r="Y2076">
            <v>-0.04</v>
          </cell>
          <cell r="AB2076">
            <v>0.25</v>
          </cell>
          <cell r="AC2076">
            <v>0.25</v>
          </cell>
          <cell r="AD2076">
            <v>0.25</v>
          </cell>
          <cell r="AE2076">
            <v>0.25</v>
          </cell>
          <cell r="AF2076">
            <v>0.25</v>
          </cell>
          <cell r="AG2076">
            <v>0.25</v>
          </cell>
          <cell r="AH2076">
            <v>0.25</v>
          </cell>
          <cell r="AI2076">
            <v>0.25</v>
          </cell>
          <cell r="AJ2076">
            <v>0.25</v>
          </cell>
          <cell r="AK2076">
            <v>0.25</v>
          </cell>
          <cell r="AL2076">
            <v>0.25</v>
          </cell>
          <cell r="AM2076">
            <v>0.25</v>
          </cell>
          <cell r="AN2076">
            <v>0.25</v>
          </cell>
          <cell r="AO2076">
            <v>0.25</v>
          </cell>
          <cell r="AP2076">
            <v>0.25</v>
          </cell>
          <cell r="AQ2076">
            <v>0.25</v>
          </cell>
          <cell r="AR2076">
            <v>0.25</v>
          </cell>
          <cell r="AS2076">
            <v>0.25</v>
          </cell>
          <cell r="AT2076">
            <v>-0.04</v>
          </cell>
          <cell r="AU2076">
            <v>0.92</v>
          </cell>
          <cell r="AV2076">
            <v>20</v>
          </cell>
          <cell r="AY2076" t="str">
            <v/>
          </cell>
          <cell r="AZ2076">
            <v>0.25</v>
          </cell>
          <cell r="BA2076">
            <v>0.25</v>
          </cell>
        </row>
        <row r="2077">
          <cell r="A2077" t="str">
            <v>RICOLFI F.lli s.n.c.</v>
          </cell>
          <cell r="D2077" t="str">
            <v>VIA MONEA OlTREGESSO, 57</v>
          </cell>
          <cell r="E2077">
            <v>12100</v>
          </cell>
          <cell r="F2077" t="str">
            <v>ROATA CANALE CUNEO</v>
          </cell>
          <cell r="G2077" t="str">
            <v>CN</v>
          </cell>
          <cell r="H2077" t="str">
            <v>ITALIA</v>
          </cell>
          <cell r="J2077" t="str">
            <v>00505080044</v>
          </cell>
          <cell r="K2077" t="str">
            <v xml:space="preserve">W7YVJK </v>
          </cell>
          <cell r="M2077" t="str">
            <v>UFFICIO ACQUISTI</v>
          </cell>
          <cell r="N2077" t="str">
            <v>0171 402125</v>
          </cell>
          <cell r="O2077" t="str">
            <v xml:space="preserve"> G.Carlo335 5427870- Dario339 2946469</v>
          </cell>
          <cell r="P2077" t="str">
            <v>filliricolfi.snc@legalmail.it</v>
          </cell>
          <cell r="R2077" t="str">
            <v>BONIFICO BANCARIO, ALLA DATA DELLA NOSTRA CONFERMA D'ORDINE</v>
          </cell>
          <cell r="X2077">
            <v>0.25</v>
          </cell>
          <cell r="Y2077">
            <v>-0.04</v>
          </cell>
          <cell r="AB2077">
            <v>0.25</v>
          </cell>
          <cell r="AC2077">
            <v>0.25</v>
          </cell>
          <cell r="AD2077">
            <v>0.25</v>
          </cell>
          <cell r="AE2077">
            <v>0.25</v>
          </cell>
          <cell r="AF2077">
            <v>0.25</v>
          </cell>
          <cell r="AG2077">
            <v>0.25</v>
          </cell>
          <cell r="AH2077">
            <v>0.25</v>
          </cell>
          <cell r="AI2077">
            <v>0.25</v>
          </cell>
          <cell r="AJ2077">
            <v>0.25</v>
          </cell>
          <cell r="AK2077">
            <v>0.25</v>
          </cell>
          <cell r="AL2077">
            <v>0.25</v>
          </cell>
          <cell r="AM2077">
            <v>0.25</v>
          </cell>
          <cell r="AN2077">
            <v>0.25</v>
          </cell>
          <cell r="AO2077">
            <v>0.25</v>
          </cell>
          <cell r="AP2077">
            <v>0.25</v>
          </cell>
          <cell r="AQ2077">
            <v>0.25</v>
          </cell>
          <cell r="AR2077">
            <v>0.25</v>
          </cell>
          <cell r="AS2077">
            <v>0.25</v>
          </cell>
          <cell r="AT2077">
            <v>-0.04</v>
          </cell>
          <cell r="AU2077">
            <v>0.92</v>
          </cell>
          <cell r="AV2077">
            <v>20</v>
          </cell>
          <cell r="AY2077" t="str">
            <v/>
          </cell>
          <cell r="AZ2077">
            <v>0.25</v>
          </cell>
          <cell r="BA2077">
            <v>0.25</v>
          </cell>
        </row>
        <row r="2078">
          <cell r="A2078" t="str">
            <v>RIFUTEC GMBH</v>
          </cell>
          <cell r="B2078" t="str">
            <v>RIVENDITORE REITTAHLER - PER LE SPEDIZIONI CHIEDE DI ESSERE CHIAMATO 1 ORA PRIMA DELLA CONSEGNA</v>
          </cell>
          <cell r="D2078" t="str">
            <v>AM LINNEBORN 8</v>
          </cell>
          <cell r="E2078" t="str">
            <v>58636</v>
          </cell>
          <cell r="F2078" t="str">
            <v>ISERLOHN</v>
          </cell>
          <cell r="H2078" t="str">
            <v>GERMANIA</v>
          </cell>
          <cell r="J2078" t="str">
            <v>DE181871580</v>
          </cell>
          <cell r="K2078" t="str">
            <v>XXXXXXX</v>
          </cell>
          <cell r="M2078" t="str">
            <v>UFFICIO ACQUISTI</v>
          </cell>
          <cell r="N2078" t="str">
            <v>+49 2371 68230</v>
          </cell>
          <cell r="O2078" t="str">
            <v>+49 171 5496600</v>
          </cell>
          <cell r="P2078" t="str">
            <v>info@rifutec.de</v>
          </cell>
          <cell r="R2078" t="str">
            <v>BANKÜBERWEISUNG, AM DATUM UNSERER AUFTRAGSBESTÄTIGUNG</v>
          </cell>
          <cell r="X2078">
            <v>0</v>
          </cell>
          <cell r="AB2078">
            <v>0</v>
          </cell>
          <cell r="AC2078">
            <v>0</v>
          </cell>
          <cell r="AD2078">
            <v>0</v>
          </cell>
          <cell r="AE2078">
            <v>0</v>
          </cell>
          <cell r="AF2078">
            <v>0</v>
          </cell>
          <cell r="AG2078">
            <v>0</v>
          </cell>
          <cell r="AH2078">
            <v>0</v>
          </cell>
          <cell r="AI2078">
            <v>0</v>
          </cell>
          <cell r="AJ2078">
            <v>0</v>
          </cell>
          <cell r="AK2078">
            <v>0</v>
          </cell>
          <cell r="AL2078">
            <v>0</v>
          </cell>
          <cell r="AM2078">
            <v>0</v>
          </cell>
          <cell r="AN2078">
            <v>0</v>
          </cell>
          <cell r="AO2078">
            <v>0</v>
          </cell>
          <cell r="AP2078">
            <v>0</v>
          </cell>
          <cell r="AQ2078">
            <v>0</v>
          </cell>
          <cell r="AR2078">
            <v>0</v>
          </cell>
          <cell r="AS2078">
            <v>0</v>
          </cell>
          <cell r="AU2078">
            <v>0.84</v>
          </cell>
          <cell r="AV2078">
            <v>20</v>
          </cell>
          <cell r="AZ2078">
            <v>0</v>
          </cell>
          <cell r="BA2078">
            <v>0</v>
          </cell>
          <cell r="BF2078" t="str">
            <v>CLICK RAPID con espositore 27/09/2021 - FULL con espositore 27/09/2022 - MODERNA con espositore 27/09/2022 - MODI senza espositore 27/09/2022</v>
          </cell>
        </row>
        <row r="2079">
          <cell r="A2079" t="str">
            <v>RIGO GABRIELE SRL</v>
          </cell>
          <cell r="D2079" t="str">
            <v>VIA NAZARIO SAURO 9</v>
          </cell>
          <cell r="E2079" t="str">
            <v>30030</v>
          </cell>
          <cell r="F2079" t="str">
            <v>OLMO DI MARTELLAGO</v>
          </cell>
          <cell r="G2079" t="str">
            <v>VE</v>
          </cell>
          <cell r="H2079" t="str">
            <v>ITALIA</v>
          </cell>
          <cell r="J2079" t="str">
            <v>03103820274</v>
          </cell>
          <cell r="M2079" t="str">
            <v>UFFICIO ACQUISTI</v>
          </cell>
          <cell r="N2079" t="str">
            <v>041 5461794</v>
          </cell>
          <cell r="P2079" t="str">
            <v>rigog.serramenti@libero.it</v>
          </cell>
          <cell r="R2079" t="str">
            <v>BONIFICO BANCARIO, ALLA DATA DELLA NOSTRA CONFERMA D'ORDINE</v>
          </cell>
          <cell r="X2079">
            <v>0.25</v>
          </cell>
          <cell r="Y2079">
            <v>-0.04</v>
          </cell>
          <cell r="AB2079">
            <v>0.25</v>
          </cell>
          <cell r="AC2079">
            <v>0.25</v>
          </cell>
          <cell r="AD2079">
            <v>0.25</v>
          </cell>
          <cell r="AE2079">
            <v>0.25</v>
          </cell>
          <cell r="AF2079">
            <v>0.25</v>
          </cell>
          <cell r="AG2079">
            <v>0.25</v>
          </cell>
          <cell r="AH2079">
            <v>0.25</v>
          </cell>
          <cell r="AI2079">
            <v>0.25</v>
          </cell>
          <cell r="AJ2079">
            <v>0.25</v>
          </cell>
          <cell r="AK2079">
            <v>0.25</v>
          </cell>
          <cell r="AL2079">
            <v>0.25</v>
          </cell>
          <cell r="AM2079">
            <v>0.25</v>
          </cell>
          <cell r="AN2079">
            <v>0.25</v>
          </cell>
          <cell r="AO2079">
            <v>0.25</v>
          </cell>
          <cell r="AP2079">
            <v>0.25</v>
          </cell>
          <cell r="AQ2079">
            <v>0.25</v>
          </cell>
          <cell r="AR2079">
            <v>0.25</v>
          </cell>
          <cell r="AS2079">
            <v>0.25</v>
          </cell>
          <cell r="AT2079">
            <v>-0.04</v>
          </cell>
          <cell r="AU2079">
            <v>0.92</v>
          </cell>
          <cell r="AV2079">
            <v>20</v>
          </cell>
          <cell r="AY2079" t="str">
            <v/>
          </cell>
          <cell r="AZ2079">
            <v>0.25</v>
          </cell>
          <cell r="BA2079">
            <v>0.25</v>
          </cell>
        </row>
        <row r="2080">
          <cell r="A2080" t="str">
            <v>RIGO SERRAMENTI</v>
          </cell>
          <cell r="D2080" t="str">
            <v>VIA EINAUDI 74</v>
          </cell>
          <cell r="E2080" t="str">
            <v>30174</v>
          </cell>
          <cell r="F2080" t="str">
            <v>MESTRE</v>
          </cell>
          <cell r="G2080" t="str">
            <v>VE</v>
          </cell>
          <cell r="H2080" t="str">
            <v>ITALIA</v>
          </cell>
          <cell r="J2080" t="str">
            <v>04313610273</v>
          </cell>
          <cell r="M2080" t="str">
            <v>UFFICIO ACQUISTI</v>
          </cell>
          <cell r="N2080" t="str">
            <v>347 0348927</v>
          </cell>
          <cell r="P2080" t="str">
            <v>info@rigoserramenti.it</v>
          </cell>
          <cell r="R2080" t="str">
            <v>BONIFICO BANCARIO, ALLA DATA DELLA NOSTRA CONFERMA D'ORDINE</v>
          </cell>
          <cell r="X2080">
            <v>0.25</v>
          </cell>
          <cell r="Y2080">
            <v>-0.04</v>
          </cell>
          <cell r="AB2080">
            <v>0.25</v>
          </cell>
          <cell r="AC2080">
            <v>0.25</v>
          </cell>
          <cell r="AD2080">
            <v>0.25</v>
          </cell>
          <cell r="AE2080">
            <v>0.25</v>
          </cell>
          <cell r="AF2080">
            <v>0.25</v>
          </cell>
          <cell r="AG2080">
            <v>0.25</v>
          </cell>
          <cell r="AH2080">
            <v>0.25</v>
          </cell>
          <cell r="AI2080">
            <v>0.25</v>
          </cell>
          <cell r="AJ2080">
            <v>0.25</v>
          </cell>
          <cell r="AK2080">
            <v>0.25</v>
          </cell>
          <cell r="AL2080">
            <v>0.25</v>
          </cell>
          <cell r="AM2080">
            <v>0.25</v>
          </cell>
          <cell r="AN2080">
            <v>0.25</v>
          </cell>
          <cell r="AO2080">
            <v>0.25</v>
          </cell>
          <cell r="AP2080">
            <v>0.25</v>
          </cell>
          <cell r="AQ2080">
            <v>0.25</v>
          </cell>
          <cell r="AR2080">
            <v>0.25</v>
          </cell>
          <cell r="AS2080">
            <v>0.25</v>
          </cell>
          <cell r="AT2080">
            <v>-0.04</v>
          </cell>
          <cell r="AU2080">
            <v>0.92</v>
          </cell>
          <cell r="AV2080">
            <v>20</v>
          </cell>
          <cell r="AY2080" t="str">
            <v/>
          </cell>
          <cell r="AZ2080">
            <v>0.25</v>
          </cell>
          <cell r="BA2080">
            <v>0.25</v>
          </cell>
        </row>
        <row r="2081">
          <cell r="A2081" t="str">
            <v>RINALDI SERRAMENTI</v>
          </cell>
          <cell r="D2081" t="str">
            <v>VIA MURAZZE 38/H</v>
          </cell>
          <cell r="E2081" t="str">
            <v>45014</v>
          </cell>
          <cell r="F2081" t="str">
            <v>PORTO VIRO</v>
          </cell>
          <cell r="G2081" t="str">
            <v>RO</v>
          </cell>
          <cell r="H2081" t="str">
            <v>ITALIA</v>
          </cell>
          <cell r="J2081" t="str">
            <v>01376880298</v>
          </cell>
          <cell r="M2081" t="str">
            <v>UFFICIO ACQUISTI</v>
          </cell>
          <cell r="N2081" t="str">
            <v>0426 632782</v>
          </cell>
          <cell r="O2081" t="str">
            <v>348 4621376</v>
          </cell>
          <cell r="P2081" t="str">
            <v>rinaldi@rinaldiserramenti.com</v>
          </cell>
          <cell r="R2081" t="str">
            <v>BONIFICO BANCARIO, ALLA DATA DELLA NOSTRA CONFERMA D'ORDINE</v>
          </cell>
          <cell r="X2081">
            <v>0.25</v>
          </cell>
          <cell r="Y2081">
            <v>-0.04</v>
          </cell>
          <cell r="AB2081">
            <v>0.25</v>
          </cell>
          <cell r="AC2081">
            <v>0.25</v>
          </cell>
          <cell r="AD2081">
            <v>0.25</v>
          </cell>
          <cell r="AE2081">
            <v>0.25</v>
          </cell>
          <cell r="AF2081">
            <v>0.25</v>
          </cell>
          <cell r="AG2081">
            <v>0.25</v>
          </cell>
          <cell r="AH2081">
            <v>0.25</v>
          </cell>
          <cell r="AI2081">
            <v>0.25</v>
          </cell>
          <cell r="AJ2081">
            <v>0.25</v>
          </cell>
          <cell r="AK2081">
            <v>0.25</v>
          </cell>
          <cell r="AL2081">
            <v>0.25</v>
          </cell>
          <cell r="AM2081">
            <v>0.25</v>
          </cell>
          <cell r="AN2081">
            <v>0.25</v>
          </cell>
          <cell r="AO2081">
            <v>0.25</v>
          </cell>
          <cell r="AP2081">
            <v>0.25</v>
          </cell>
          <cell r="AQ2081">
            <v>0.25</v>
          </cell>
          <cell r="AR2081">
            <v>0.25</v>
          </cell>
          <cell r="AS2081">
            <v>0.25</v>
          </cell>
          <cell r="AT2081">
            <v>-0.04</v>
          </cell>
          <cell r="AU2081">
            <v>0.92</v>
          </cell>
          <cell r="AV2081">
            <v>20</v>
          </cell>
          <cell r="AY2081" t="str">
            <v/>
          </cell>
          <cell r="AZ2081">
            <v>0.25</v>
          </cell>
          <cell r="BA2081">
            <v>0.25</v>
          </cell>
        </row>
        <row r="2082">
          <cell r="A2082" t="str">
            <v>RINOVACASA SRL</v>
          </cell>
          <cell r="D2082" t="str">
            <v xml:space="preserve">VIA REGOLANOVA 125 </v>
          </cell>
          <cell r="E2082" t="str">
            <v>32037</v>
          </cell>
          <cell r="F2082" t="str">
            <v>MIS DI SOSPIROLO</v>
          </cell>
          <cell r="G2082" t="str">
            <v>BL</v>
          </cell>
          <cell r="H2082" t="str">
            <v>ITALIA</v>
          </cell>
          <cell r="J2082" t="str">
            <v>00667360259</v>
          </cell>
          <cell r="M2082" t="str">
            <v>UFFICIO ACQUISTI</v>
          </cell>
          <cell r="N2082" t="str">
            <v>0437 899010</v>
          </cell>
          <cell r="P2082" t="str">
            <v>info@rinovacasa.com</v>
          </cell>
          <cell r="R2082" t="str">
            <v>BONIFICO BANCARIO, ALLA DATA DELLA NOSTRA CONFERMA D'ORDINE</v>
          </cell>
          <cell r="X2082">
            <v>0.25</v>
          </cell>
          <cell r="Y2082">
            <v>-0.04</v>
          </cell>
          <cell r="AB2082">
            <v>0.25</v>
          </cell>
          <cell r="AC2082">
            <v>0.25</v>
          </cell>
          <cell r="AD2082">
            <v>0.25</v>
          </cell>
          <cell r="AE2082">
            <v>0.25</v>
          </cell>
          <cell r="AF2082">
            <v>0.25</v>
          </cell>
          <cell r="AG2082">
            <v>0.25</v>
          </cell>
          <cell r="AH2082">
            <v>0.25</v>
          </cell>
          <cell r="AI2082">
            <v>0.25</v>
          </cell>
          <cell r="AJ2082">
            <v>0.25</v>
          </cell>
          <cell r="AK2082">
            <v>0.25</v>
          </cell>
          <cell r="AL2082">
            <v>0.25</v>
          </cell>
          <cell r="AM2082">
            <v>0.25</v>
          </cell>
          <cell r="AN2082">
            <v>0.25</v>
          </cell>
          <cell r="AO2082">
            <v>0.25</v>
          </cell>
          <cell r="AP2082">
            <v>0.25</v>
          </cell>
          <cell r="AQ2082">
            <v>0.25</v>
          </cell>
          <cell r="AR2082">
            <v>0.25</v>
          </cell>
          <cell r="AS2082">
            <v>0.25</v>
          </cell>
          <cell r="AT2082">
            <v>-0.04</v>
          </cell>
          <cell r="AU2082">
            <v>0.92</v>
          </cell>
          <cell r="AV2082">
            <v>20</v>
          </cell>
          <cell r="AY2082" t="str">
            <v/>
          </cell>
          <cell r="AZ2082">
            <v>0.25</v>
          </cell>
          <cell r="BA2082">
            <v>0.25</v>
          </cell>
        </row>
        <row r="2083">
          <cell r="A2083" t="str">
            <v>RIPA MARCO</v>
          </cell>
          <cell r="B2083" t="str">
            <v xml:space="preserve">FABBRO </v>
          </cell>
          <cell r="D2083" t="str">
            <v>VIA GALILEO GALILEI 20</v>
          </cell>
          <cell r="E2083" t="str">
            <v>63822</v>
          </cell>
          <cell r="F2083" t="str">
            <v>PORTO SAN GIORGIO</v>
          </cell>
          <cell r="G2083" t="str">
            <v>FM</v>
          </cell>
          <cell r="H2083" t="str">
            <v>ITALIA</v>
          </cell>
          <cell r="J2083" t="str">
            <v>02085680441</v>
          </cell>
          <cell r="M2083" t="str">
            <v>UFFICIO ACQUISTI</v>
          </cell>
          <cell r="N2083" t="str">
            <v>0734 301859</v>
          </cell>
          <cell r="O2083" t="str">
            <v>328 3055485</v>
          </cell>
          <cell r="P2083" t="str">
            <v>info@marcoripa.it</v>
          </cell>
          <cell r="R2083" t="str">
            <v>BONIFICO BANCARIO, ALLA DATA DELLA NOSTRA CONFERMA D'ORDINE</v>
          </cell>
          <cell r="X2083">
            <v>0.25</v>
          </cell>
          <cell r="Y2083">
            <v>-0.04</v>
          </cell>
          <cell r="AB2083">
            <v>0.25</v>
          </cell>
          <cell r="AC2083">
            <v>0.25</v>
          </cell>
          <cell r="AD2083">
            <v>0.25</v>
          </cell>
          <cell r="AE2083">
            <v>0.25</v>
          </cell>
          <cell r="AF2083">
            <v>0.25</v>
          </cell>
          <cell r="AG2083">
            <v>0.25</v>
          </cell>
          <cell r="AH2083">
            <v>0.25</v>
          </cell>
          <cell r="AI2083">
            <v>0.25</v>
          </cell>
          <cell r="AJ2083">
            <v>0.25</v>
          </cell>
          <cell r="AK2083">
            <v>0.25</v>
          </cell>
          <cell r="AL2083">
            <v>0.25</v>
          </cell>
          <cell r="AM2083">
            <v>0.25</v>
          </cell>
          <cell r="AN2083">
            <v>0.25</v>
          </cell>
          <cell r="AO2083">
            <v>0.25</v>
          </cell>
          <cell r="AP2083">
            <v>0.25</v>
          </cell>
          <cell r="AQ2083">
            <v>0.25</v>
          </cell>
          <cell r="AR2083">
            <v>0.25</v>
          </cell>
          <cell r="AS2083">
            <v>0.25</v>
          </cell>
          <cell r="AT2083">
            <v>-0.04</v>
          </cell>
          <cell r="AU2083">
            <v>0.92</v>
          </cell>
          <cell r="AV2083">
            <v>20</v>
          </cell>
          <cell r="AY2083" t="str">
            <v/>
          </cell>
          <cell r="AZ2083">
            <v>0.25</v>
          </cell>
          <cell r="BA2083">
            <v>0.25</v>
          </cell>
        </row>
        <row r="2084">
          <cell r="A2084" t="str">
            <v>RISPESA</v>
          </cell>
          <cell r="D2084" t="str">
            <v>VIA PIERLUIGI NERVI</v>
          </cell>
          <cell r="E2084">
            <v>4100</v>
          </cell>
          <cell r="F2084" t="str">
            <v>LATINA</v>
          </cell>
          <cell r="G2084" t="str">
            <v>LT</v>
          </cell>
          <cell r="H2084" t="str">
            <v>ITALIA</v>
          </cell>
          <cell r="M2084" t="str">
            <v>UFFICIO ACQUISTI</v>
          </cell>
          <cell r="O2084" t="str">
            <v>3486439716</v>
          </cell>
          <cell r="P2084" t="str">
            <v>info@rispesa.com</v>
          </cell>
          <cell r="R2084" t="str">
            <v>BONIFICO BANCARIO, ALLA DATA DELLA NOSTRA CONFERMA D'ORDINE</v>
          </cell>
          <cell r="X2084">
            <v>0.25</v>
          </cell>
          <cell r="Y2084">
            <v>-0.04</v>
          </cell>
          <cell r="AB2084">
            <v>0.25</v>
          </cell>
          <cell r="AC2084">
            <v>0.25</v>
          </cell>
          <cell r="AD2084">
            <v>0.25</v>
          </cell>
          <cell r="AE2084">
            <v>0.25</v>
          </cell>
          <cell r="AF2084">
            <v>0.25</v>
          </cell>
          <cell r="AG2084">
            <v>0.25</v>
          </cell>
          <cell r="AH2084">
            <v>0.25</v>
          </cell>
          <cell r="AI2084">
            <v>0.25</v>
          </cell>
          <cell r="AJ2084">
            <v>0.25</v>
          </cell>
          <cell r="AK2084">
            <v>0.25</v>
          </cell>
          <cell r="AL2084">
            <v>0.25</v>
          </cell>
          <cell r="AM2084">
            <v>0.25</v>
          </cell>
          <cell r="AN2084">
            <v>0.25</v>
          </cell>
          <cell r="AO2084">
            <v>0.25</v>
          </cell>
          <cell r="AP2084">
            <v>0.25</v>
          </cell>
          <cell r="AQ2084">
            <v>0.25</v>
          </cell>
          <cell r="AR2084">
            <v>0.25</v>
          </cell>
          <cell r="AS2084">
            <v>0.25</v>
          </cell>
          <cell r="AT2084">
            <v>-0.04</v>
          </cell>
          <cell r="AU2084">
            <v>0.92</v>
          </cell>
          <cell r="AV2084">
            <v>20</v>
          </cell>
          <cell r="AY2084" t="str">
            <v/>
          </cell>
          <cell r="AZ2084">
            <v>0.25</v>
          </cell>
          <cell r="BA2084">
            <v>0.25</v>
          </cell>
        </row>
        <row r="2085">
          <cell r="A2085" t="str">
            <v>RIVA FALEGNAMERIA ARREDAMENTI DI RIVA FRANCO &amp; ROBERTO S.N.C.</v>
          </cell>
          <cell r="D2085" t="str">
            <v>VIA DELL'ARTIGIANATO, 29</v>
          </cell>
          <cell r="E2085">
            <v>20090</v>
          </cell>
          <cell r="F2085" t="str">
            <v>VIMODRONE</v>
          </cell>
          <cell r="G2085" t="str">
            <v>MI</v>
          </cell>
          <cell r="H2085" t="str">
            <v>ITALIA</v>
          </cell>
          <cell r="I2085" t="str">
            <v>09937790153</v>
          </cell>
          <cell r="J2085" t="str">
            <v>09937790153</v>
          </cell>
          <cell r="M2085" t="str">
            <v>UFFICIO ACQUISTI</v>
          </cell>
          <cell r="N2085" t="str">
            <v>02 27401199</v>
          </cell>
          <cell r="R2085" t="str">
            <v>BONIFICO BANCARIO, ALLA DATA DELLA NOSTRA CONFERMA D'ORDINE</v>
          </cell>
          <cell r="X2085">
            <v>0.25</v>
          </cell>
          <cell r="Y2085">
            <v>-0.04</v>
          </cell>
          <cell r="AB2085">
            <v>0.25</v>
          </cell>
          <cell r="AC2085">
            <v>0.25</v>
          </cell>
          <cell r="AD2085">
            <v>0.25</v>
          </cell>
          <cell r="AE2085">
            <v>0.25</v>
          </cell>
          <cell r="AF2085">
            <v>0.25</v>
          </cell>
          <cell r="AG2085">
            <v>0.25</v>
          </cell>
          <cell r="AH2085">
            <v>0.25</v>
          </cell>
          <cell r="AI2085">
            <v>0.25</v>
          </cell>
          <cell r="AJ2085">
            <v>0.25</v>
          </cell>
          <cell r="AK2085">
            <v>0.25</v>
          </cell>
          <cell r="AL2085">
            <v>0.25</v>
          </cell>
          <cell r="AM2085">
            <v>0.25</v>
          </cell>
          <cell r="AN2085">
            <v>0.25</v>
          </cell>
          <cell r="AO2085">
            <v>0.25</v>
          </cell>
          <cell r="AP2085">
            <v>0.25</v>
          </cell>
          <cell r="AQ2085">
            <v>0.25</v>
          </cell>
          <cell r="AR2085">
            <v>0.25</v>
          </cell>
          <cell r="AS2085">
            <v>0.25</v>
          </cell>
          <cell r="AT2085">
            <v>-0.04</v>
          </cell>
          <cell r="AU2085">
            <v>0.92</v>
          </cell>
          <cell r="AV2085">
            <v>20</v>
          </cell>
          <cell r="AY2085" t="str">
            <v/>
          </cell>
          <cell r="AZ2085">
            <v>0.25</v>
          </cell>
          <cell r="BA2085">
            <v>0.25</v>
          </cell>
        </row>
        <row r="2086">
          <cell r="A2086" t="str">
            <v>RIVA INNOCENTE SRL</v>
          </cell>
          <cell r="D2086" t="str">
            <v>VIA VECCHIA POSTALE, 37</v>
          </cell>
          <cell r="E2086" t="str">
            <v>240581</v>
          </cell>
          <cell r="F2086" t="str">
            <v>ANTEGNATE</v>
          </cell>
          <cell r="G2086" t="str">
            <v>BG</v>
          </cell>
          <cell r="H2086" t="str">
            <v>ITALIA</v>
          </cell>
          <cell r="M2086" t="str">
            <v>UFFICIO ACQUISTI</v>
          </cell>
          <cell r="N2086" t="str">
            <v>0363 914174</v>
          </cell>
          <cell r="P2086" t="str">
            <v>rivainnocentesrl@gmail.com</v>
          </cell>
          <cell r="R2086" t="str">
            <v>BONIFICO BANCARIO, ALLA DATA DELLA NOSTRA CONFERMA D'ORDINE</v>
          </cell>
          <cell r="X2086">
            <v>0.2</v>
          </cell>
          <cell r="Y2086">
            <v>-0.04</v>
          </cell>
          <cell r="AB2086">
            <v>0.2</v>
          </cell>
          <cell r="AC2086">
            <v>0.2</v>
          </cell>
          <cell r="AD2086">
            <v>0.2</v>
          </cell>
          <cell r="AE2086">
            <v>0.2</v>
          </cell>
          <cell r="AF2086">
            <v>0.2</v>
          </cell>
          <cell r="AG2086">
            <v>0.2</v>
          </cell>
          <cell r="AH2086">
            <v>0.2</v>
          </cell>
          <cell r="AI2086">
            <v>0.2</v>
          </cell>
          <cell r="AJ2086">
            <v>0.2</v>
          </cell>
          <cell r="AK2086">
            <v>0.2</v>
          </cell>
          <cell r="AL2086">
            <v>0.2</v>
          </cell>
          <cell r="AM2086">
            <v>0.2</v>
          </cell>
          <cell r="AN2086">
            <v>0.2</v>
          </cell>
          <cell r="AO2086">
            <v>0.2</v>
          </cell>
          <cell r="AP2086">
            <v>0.2</v>
          </cell>
          <cell r="AQ2086">
            <v>0.2</v>
          </cell>
          <cell r="AR2086">
            <v>0.2</v>
          </cell>
          <cell r="AS2086">
            <v>0.2</v>
          </cell>
          <cell r="AT2086">
            <v>-0.04</v>
          </cell>
          <cell r="AU2086">
            <v>0.92</v>
          </cell>
          <cell r="AV2086">
            <v>20</v>
          </cell>
          <cell r="AZ2086">
            <v>0.2</v>
          </cell>
          <cell r="BA2086">
            <v>0.2</v>
          </cell>
        </row>
        <row r="2087">
          <cell r="A2087" t="str">
            <v xml:space="preserve">RIVA OFFICINE SRL </v>
          </cell>
          <cell r="D2087" t="str">
            <v>VIA PONTETARO 48</v>
          </cell>
          <cell r="E2087" t="str">
            <v>43015</v>
          </cell>
          <cell r="F2087" t="str">
            <v>NOCETO</v>
          </cell>
          <cell r="G2087" t="str">
            <v>PR</v>
          </cell>
          <cell r="H2087" t="str">
            <v>ITALIA</v>
          </cell>
          <cell r="J2087" t="str">
            <v>02876170347</v>
          </cell>
          <cell r="M2087" t="str">
            <v>UFFICIO ACQUISTI</v>
          </cell>
          <cell r="N2087" t="str">
            <v>0521 619168</v>
          </cell>
          <cell r="R2087" t="str">
            <v>BONIFICO BANCARIO, ALLA DATA DELLA NOSTRA CONFERMA D'ORDINE</v>
          </cell>
          <cell r="X2087">
            <v>0.25</v>
          </cell>
          <cell r="Y2087">
            <v>-0.04</v>
          </cell>
          <cell r="AB2087">
            <v>0.25</v>
          </cell>
          <cell r="AC2087">
            <v>0.25</v>
          </cell>
          <cell r="AD2087">
            <v>0.25</v>
          </cell>
          <cell r="AE2087">
            <v>0.25</v>
          </cell>
          <cell r="AF2087">
            <v>0.25</v>
          </cell>
          <cell r="AG2087">
            <v>0.25</v>
          </cell>
          <cell r="AH2087">
            <v>0.25</v>
          </cell>
          <cell r="AI2087">
            <v>0.25</v>
          </cell>
          <cell r="AJ2087">
            <v>0.25</v>
          </cell>
          <cell r="AK2087">
            <v>0.25</v>
          </cell>
          <cell r="AL2087">
            <v>0.25</v>
          </cell>
          <cell r="AM2087">
            <v>0.25</v>
          </cell>
          <cell r="AN2087">
            <v>0.25</v>
          </cell>
          <cell r="AO2087">
            <v>0.25</v>
          </cell>
          <cell r="AP2087">
            <v>0.25</v>
          </cell>
          <cell r="AQ2087">
            <v>0.25</v>
          </cell>
          <cell r="AR2087">
            <v>0.25</v>
          </cell>
          <cell r="AS2087">
            <v>0.25</v>
          </cell>
          <cell r="AT2087">
            <v>-0.04</v>
          </cell>
          <cell r="AU2087">
            <v>0.92</v>
          </cell>
          <cell r="AV2087">
            <v>20</v>
          </cell>
          <cell r="AY2087" t="str">
            <v/>
          </cell>
          <cell r="AZ2087">
            <v>0.25</v>
          </cell>
          <cell r="BA2087">
            <v>0.25</v>
          </cell>
        </row>
        <row r="2088">
          <cell r="A2088" t="str">
            <v>RIVALUXE</v>
          </cell>
          <cell r="B2088" t="str">
            <v>LA SOCIETA' E' AMBIGUA</v>
          </cell>
          <cell r="D2088" t="str">
            <v>VIA SANDRO PERTINI, 2 4 6</v>
          </cell>
          <cell r="E2088">
            <v>20065</v>
          </cell>
          <cell r="F2088" t="str">
            <v>INZAGO</v>
          </cell>
          <cell r="G2088" t="str">
            <v>MI</v>
          </cell>
          <cell r="H2088" t="str">
            <v>ITALIA</v>
          </cell>
          <cell r="M2088" t="str">
            <v>UFFICIO ACQUISTI</v>
          </cell>
          <cell r="N2088" t="str">
            <v>02 95479250</v>
          </cell>
          <cell r="R2088" t="str">
            <v>BONIFICO BANCARIO, ALLA DATA DELLA NOSTRA CONFERMA D'ORDINE</v>
          </cell>
          <cell r="X2088">
            <v>0.25</v>
          </cell>
          <cell r="Y2088">
            <v>-0.04</v>
          </cell>
          <cell r="AB2088">
            <v>0.25</v>
          </cell>
          <cell r="AC2088">
            <v>0.25</v>
          </cell>
          <cell r="AD2088">
            <v>0.25</v>
          </cell>
          <cell r="AE2088">
            <v>0.25</v>
          </cell>
          <cell r="AF2088">
            <v>0.25</v>
          </cell>
          <cell r="AG2088">
            <v>0.25</v>
          </cell>
          <cell r="AH2088">
            <v>0.25</v>
          </cell>
          <cell r="AI2088">
            <v>0.25</v>
          </cell>
          <cell r="AJ2088">
            <v>0.25</v>
          </cell>
          <cell r="AK2088">
            <v>0.25</v>
          </cell>
          <cell r="AL2088">
            <v>0.25</v>
          </cell>
          <cell r="AM2088">
            <v>0.25</v>
          </cell>
          <cell r="AN2088">
            <v>0.25</v>
          </cell>
          <cell r="AO2088">
            <v>0.25</v>
          </cell>
          <cell r="AP2088">
            <v>0.25</v>
          </cell>
          <cell r="AQ2088">
            <v>0.25</v>
          </cell>
          <cell r="AR2088">
            <v>0.25</v>
          </cell>
          <cell r="AS2088">
            <v>0.25</v>
          </cell>
          <cell r="AT2088">
            <v>-0.04</v>
          </cell>
          <cell r="AU2088">
            <v>0.92</v>
          </cell>
          <cell r="AV2088">
            <v>20</v>
          </cell>
          <cell r="AZ2088">
            <v>0.25</v>
          </cell>
          <cell r="BA2088">
            <v>0.25</v>
          </cell>
        </row>
        <row r="2089">
          <cell r="A2089" t="str">
            <v>RIVAS SNC</v>
          </cell>
          <cell r="D2089" t="str">
            <v>VIA DONATORI DI SANGUE, 2 D</v>
          </cell>
          <cell r="E2089" t="str">
            <v>46043</v>
          </cell>
          <cell r="F2089" t="str">
            <v>CASTIGLIONE DELLE STIVIERE</v>
          </cell>
          <cell r="G2089" t="str">
            <v>MN</v>
          </cell>
          <cell r="H2089" t="str">
            <v>ITALIA</v>
          </cell>
          <cell r="M2089" t="str">
            <v>UFFICIO ACQUISTI</v>
          </cell>
          <cell r="N2089" t="str">
            <v>0376 1410173</v>
          </cell>
          <cell r="P2089" t="str">
            <v>riccardo@rivas.it</v>
          </cell>
          <cell r="R2089" t="str">
            <v>BONIFICO BANCARIO, ALLA DATA DELLA NOSTRA CONFERMA D'ORDINE</v>
          </cell>
          <cell r="Y2089">
            <v>-0.04</v>
          </cell>
          <cell r="AT2089">
            <v>-0.04</v>
          </cell>
          <cell r="AV2089">
            <v>20</v>
          </cell>
          <cell r="AZ2089">
            <v>0</v>
          </cell>
          <cell r="BA2089">
            <v>0</v>
          </cell>
        </row>
        <row r="2090">
          <cell r="A2090" t="str">
            <v>RIVIERA PORTE E FINESTRE</v>
          </cell>
          <cell r="D2090" t="str">
            <v>CORSO DE STEFANIS, 94 R</v>
          </cell>
          <cell r="E2090">
            <v>16139</v>
          </cell>
          <cell r="F2090" t="str">
            <v>GENOVA</v>
          </cell>
          <cell r="G2090" t="str">
            <v>GE</v>
          </cell>
          <cell r="H2090" t="str">
            <v>ITALIA</v>
          </cell>
          <cell r="M2090" t="str">
            <v>UFFICIO ACQUISTI</v>
          </cell>
          <cell r="N2090" t="str">
            <v>010 811832</v>
          </cell>
          <cell r="P2090" t="str">
            <v>info@rivieraporte.it</v>
          </cell>
          <cell r="R2090" t="str">
            <v>BONIFICO BANCARIO, ALLA DATA DELLA NOSTRA CONFERMA D'ORDINE</v>
          </cell>
          <cell r="X2090">
            <v>0.25</v>
          </cell>
          <cell r="Y2090">
            <v>-0.04</v>
          </cell>
          <cell r="AB2090">
            <v>0.25</v>
          </cell>
          <cell r="AC2090">
            <v>0.25</v>
          </cell>
          <cell r="AD2090">
            <v>0.25</v>
          </cell>
          <cell r="AE2090">
            <v>0.25</v>
          </cell>
          <cell r="AF2090">
            <v>0.25</v>
          </cell>
          <cell r="AG2090">
            <v>0.25</v>
          </cell>
          <cell r="AH2090">
            <v>0.25</v>
          </cell>
          <cell r="AI2090">
            <v>0.25</v>
          </cell>
          <cell r="AJ2090">
            <v>0.25</v>
          </cell>
          <cell r="AK2090">
            <v>0.25</v>
          </cell>
          <cell r="AL2090">
            <v>0.25</v>
          </cell>
          <cell r="AM2090">
            <v>0.25</v>
          </cell>
          <cell r="AN2090">
            <v>0.25</v>
          </cell>
          <cell r="AO2090">
            <v>0.25</v>
          </cell>
          <cell r="AP2090">
            <v>0.25</v>
          </cell>
          <cell r="AQ2090">
            <v>0.25</v>
          </cell>
          <cell r="AR2090">
            <v>0.25</v>
          </cell>
          <cell r="AS2090">
            <v>0.25</v>
          </cell>
          <cell r="AT2090">
            <v>-0.04</v>
          </cell>
          <cell r="AU2090">
            <v>0.92</v>
          </cell>
          <cell r="AV2090">
            <v>20</v>
          </cell>
          <cell r="AY2090" t="str">
            <v/>
          </cell>
          <cell r="AZ2090">
            <v>0.25</v>
          </cell>
          <cell r="BA2090">
            <v>0.25</v>
          </cell>
        </row>
        <row r="2091">
          <cell r="A2091" t="str">
            <v>RIVIERA SERRAMENTI SNC</v>
          </cell>
          <cell r="B2091" t="str">
            <v>RIZZI ENZO, CESCHIA RENATO</v>
          </cell>
          <cell r="D2091" t="str">
            <v>VIA DELL'UNIONE EUROPEA, 15</v>
          </cell>
          <cell r="E2091" t="str">
            <v>33017</v>
          </cell>
          <cell r="F2091" t="str">
            <v>TARCENTO</v>
          </cell>
          <cell r="G2091" t="str">
            <v>UD</v>
          </cell>
          <cell r="H2091" t="str">
            <v>ITALIA</v>
          </cell>
          <cell r="M2091" t="str">
            <v>UFFICIO ACQUISTI</v>
          </cell>
          <cell r="N2091" t="str">
            <v>0432 784501</v>
          </cell>
          <cell r="P2091" t="str">
            <v>riviera_serramenti@alice.it</v>
          </cell>
          <cell r="R2091" t="str">
            <v>BONIFICO BANCARIO, ALLA DATA DELLA NOSTRA CONFERMA D'ORDINE</v>
          </cell>
          <cell r="X2091">
            <v>0.25</v>
          </cell>
          <cell r="Y2091">
            <v>-0.04</v>
          </cell>
          <cell r="AB2091">
            <v>0.25</v>
          </cell>
          <cell r="AC2091">
            <v>0.25</v>
          </cell>
          <cell r="AD2091">
            <v>0.25</v>
          </cell>
          <cell r="AE2091">
            <v>0.25</v>
          </cell>
          <cell r="AF2091">
            <v>0.25</v>
          </cell>
          <cell r="AG2091">
            <v>0.25</v>
          </cell>
          <cell r="AH2091">
            <v>0.25</v>
          </cell>
          <cell r="AI2091">
            <v>0.25</v>
          </cell>
          <cell r="AJ2091">
            <v>0.25</v>
          </cell>
          <cell r="AK2091">
            <v>0.25</v>
          </cell>
          <cell r="AL2091">
            <v>0.25</v>
          </cell>
          <cell r="AM2091">
            <v>0.25</v>
          </cell>
          <cell r="AN2091">
            <v>0.25</v>
          </cell>
          <cell r="AO2091">
            <v>0.25</v>
          </cell>
          <cell r="AP2091">
            <v>0.25</v>
          </cell>
          <cell r="AQ2091">
            <v>0.25</v>
          </cell>
          <cell r="AR2091">
            <v>0.25</v>
          </cell>
          <cell r="AS2091">
            <v>0.25</v>
          </cell>
          <cell r="AT2091">
            <v>-0.04</v>
          </cell>
          <cell r="AU2091">
            <v>0.92</v>
          </cell>
          <cell r="AV2091">
            <v>20</v>
          </cell>
          <cell r="AY2091" t="str">
            <v/>
          </cell>
          <cell r="AZ2091">
            <v>0.25</v>
          </cell>
          <cell r="BA2091">
            <v>0.25</v>
          </cell>
        </row>
        <row r="2092">
          <cell r="A2092" t="str">
            <v>RL ROBERTO LOI</v>
          </cell>
          <cell r="B2092" t="str">
            <v>SOLO BIGLIETTO DA VISITA</v>
          </cell>
          <cell r="D2092" t="str">
            <v>VIA B.FRANKLIN, 4 ZONA IND.LE</v>
          </cell>
          <cell r="E2092" t="str">
            <v>09047</v>
          </cell>
          <cell r="F2092" t="str">
            <v>SELARGIUS</v>
          </cell>
          <cell r="G2092" t="str">
            <v>CA</v>
          </cell>
          <cell r="H2092" t="str">
            <v>ITALIA</v>
          </cell>
          <cell r="I2092" t="str">
            <v>LOIRRT63S26I580C</v>
          </cell>
          <cell r="J2092" t="str">
            <v>01578180927</v>
          </cell>
          <cell r="K2092" t="str">
            <v>W7YVJK9</v>
          </cell>
          <cell r="M2092" t="str">
            <v>UFFICIO ACQUISTI</v>
          </cell>
          <cell r="N2092" t="str">
            <v>070 841919</v>
          </cell>
          <cell r="O2092" t="str">
            <v>328 6921508</v>
          </cell>
          <cell r="P2092" t="str">
            <v>robertoloiinfissi@gmail.com</v>
          </cell>
          <cell r="R2092" t="str">
            <v>BONIFICO BANCARIO, ALLA DATA DELLA NOSTRA CONFERMA D'ORDINE</v>
          </cell>
          <cell r="X2092">
            <v>0.25</v>
          </cell>
          <cell r="Y2092">
            <v>-0.04</v>
          </cell>
          <cell r="AB2092">
            <v>0.25</v>
          </cell>
          <cell r="AC2092">
            <v>0.25</v>
          </cell>
          <cell r="AD2092">
            <v>0.25</v>
          </cell>
          <cell r="AE2092">
            <v>0.25</v>
          </cell>
          <cell r="AF2092">
            <v>0.25</v>
          </cell>
          <cell r="AG2092">
            <v>0.25</v>
          </cell>
          <cell r="AH2092">
            <v>0.25</v>
          </cell>
          <cell r="AI2092">
            <v>0.25</v>
          </cell>
          <cell r="AJ2092">
            <v>0.25</v>
          </cell>
          <cell r="AK2092">
            <v>0.25</v>
          </cell>
          <cell r="AL2092">
            <v>0.25</v>
          </cell>
          <cell r="AM2092">
            <v>0.25</v>
          </cell>
          <cell r="AN2092">
            <v>0.25</v>
          </cell>
          <cell r="AO2092">
            <v>0.25</v>
          </cell>
          <cell r="AP2092">
            <v>0.25</v>
          </cell>
          <cell r="AQ2092">
            <v>0.25</v>
          </cell>
          <cell r="AR2092">
            <v>0.25</v>
          </cell>
          <cell r="AS2092">
            <v>0.25</v>
          </cell>
          <cell r="AT2092">
            <v>-0.04</v>
          </cell>
          <cell r="AU2092">
            <v>0.92</v>
          </cell>
          <cell r="AV2092">
            <v>20</v>
          </cell>
          <cell r="AZ2092">
            <v>0.25</v>
          </cell>
          <cell r="BA2092">
            <v>0.25</v>
          </cell>
        </row>
        <row r="2093">
          <cell r="A2093" t="str">
            <v>RMC DI SIMEONI PACIFICO E C.</v>
          </cell>
          <cell r="D2093" t="str">
            <v>VIA DELL'UNIONE EUROPEA, 11 1</v>
          </cell>
          <cell r="E2093" t="str">
            <v>33017</v>
          </cell>
          <cell r="F2093" t="str">
            <v>TARCENTO</v>
          </cell>
          <cell r="G2093" t="str">
            <v>UD</v>
          </cell>
          <cell r="H2093" t="str">
            <v>ITALIA</v>
          </cell>
          <cell r="J2093" t="str">
            <v>02549010300</v>
          </cell>
          <cell r="M2093" t="str">
            <v>UFFICIO ACQUISTI</v>
          </cell>
          <cell r="N2093" t="str">
            <v>0432 792842</v>
          </cell>
          <cell r="O2093" t="str">
            <v>377 4473119</v>
          </cell>
          <cell r="P2093" t="str">
            <v>rmc.snc@gmail.com</v>
          </cell>
          <cell r="R2093" t="str">
            <v>BONIFICO BANCARIO, ALLA DATA DELLA NOSTRA CONFERMA D'ORDINE</v>
          </cell>
          <cell r="X2093">
            <v>0.25</v>
          </cell>
          <cell r="Y2093">
            <v>-0.04</v>
          </cell>
          <cell r="AB2093">
            <v>0.25</v>
          </cell>
          <cell r="AC2093">
            <v>0.25</v>
          </cell>
          <cell r="AD2093">
            <v>0.25</v>
          </cell>
          <cell r="AE2093">
            <v>0.25</v>
          </cell>
          <cell r="AF2093">
            <v>0.25</v>
          </cell>
          <cell r="AG2093">
            <v>0.25</v>
          </cell>
          <cell r="AH2093">
            <v>0.25</v>
          </cell>
          <cell r="AI2093">
            <v>0.25</v>
          </cell>
          <cell r="AJ2093">
            <v>0.25</v>
          </cell>
          <cell r="AK2093">
            <v>0.25</v>
          </cell>
          <cell r="AL2093">
            <v>0.25</v>
          </cell>
          <cell r="AM2093">
            <v>0.25</v>
          </cell>
          <cell r="AN2093">
            <v>0.25</v>
          </cell>
          <cell r="AO2093">
            <v>0.25</v>
          </cell>
          <cell r="AP2093">
            <v>0.25</v>
          </cell>
          <cell r="AQ2093">
            <v>0.25</v>
          </cell>
          <cell r="AR2093">
            <v>0.25</v>
          </cell>
          <cell r="AS2093">
            <v>0.25</v>
          </cell>
          <cell r="AT2093">
            <v>-0.04</v>
          </cell>
          <cell r="AU2093">
            <v>0.92</v>
          </cell>
          <cell r="AV2093">
            <v>20</v>
          </cell>
          <cell r="AY2093" t="str">
            <v/>
          </cell>
          <cell r="AZ2093">
            <v>0.25</v>
          </cell>
          <cell r="BA2093">
            <v>0.25</v>
          </cell>
        </row>
        <row r="2094">
          <cell r="A2094" t="str">
            <v>RO.MA. SERRAMENTI SNC DI MARINI ROBERTO E C.</v>
          </cell>
          <cell r="D2094" t="str">
            <v>VIA G. GIOLITTI, 20</v>
          </cell>
          <cell r="E2094" t="str">
            <v>00012</v>
          </cell>
          <cell r="F2094" t="str">
            <v>GUIDONIA MONTECELIO</v>
          </cell>
          <cell r="G2094" t="str">
            <v>RM</v>
          </cell>
          <cell r="H2094" t="str">
            <v>ITALIA</v>
          </cell>
          <cell r="J2094" t="str">
            <v>06325621002</v>
          </cell>
          <cell r="K2094" t="str">
            <v>5RUO82D</v>
          </cell>
          <cell r="M2094" t="str">
            <v>UFFICIO ACQUISTI</v>
          </cell>
          <cell r="N2094" t="str">
            <v>0774 326601</v>
          </cell>
          <cell r="O2094" t="str">
            <v>339 1179501 ROBERTO</v>
          </cell>
          <cell r="P2094" t="str">
            <v>mv.pro@libero.it</v>
          </cell>
          <cell r="R2094" t="str">
            <v>BONIFICO BANCARIO, ALLA DATA DELLA NOSTRA CONFERMA D'ORDINE</v>
          </cell>
          <cell r="X2094">
            <v>0.25</v>
          </cell>
          <cell r="Y2094">
            <v>-0.04</v>
          </cell>
          <cell r="AB2094">
            <v>0.25</v>
          </cell>
          <cell r="AC2094">
            <v>0.25</v>
          </cell>
          <cell r="AD2094">
            <v>0.25</v>
          </cell>
          <cell r="AE2094">
            <v>0.25</v>
          </cell>
          <cell r="AF2094">
            <v>0.25</v>
          </cell>
          <cell r="AG2094">
            <v>0.25</v>
          </cell>
          <cell r="AH2094">
            <v>0.25</v>
          </cell>
          <cell r="AI2094">
            <v>0.25</v>
          </cell>
          <cell r="AJ2094">
            <v>0.25</v>
          </cell>
          <cell r="AK2094">
            <v>0.25</v>
          </cell>
          <cell r="AL2094">
            <v>0.25</v>
          </cell>
          <cell r="AM2094">
            <v>0.25</v>
          </cell>
          <cell r="AN2094">
            <v>0.25</v>
          </cell>
          <cell r="AO2094">
            <v>0.25</v>
          </cell>
          <cell r="AP2094">
            <v>0.25</v>
          </cell>
          <cell r="AQ2094">
            <v>0.25</v>
          </cell>
          <cell r="AR2094">
            <v>0.25</v>
          </cell>
          <cell r="AS2094">
            <v>0.25</v>
          </cell>
          <cell r="AT2094">
            <v>-0.04</v>
          </cell>
          <cell r="AU2094">
            <v>0.92</v>
          </cell>
          <cell r="AV2094">
            <v>20</v>
          </cell>
          <cell r="AY2094" t="str">
            <v/>
          </cell>
          <cell r="AZ2094">
            <v>0.25</v>
          </cell>
          <cell r="BA2094">
            <v>0.25</v>
          </cell>
        </row>
        <row r="2095">
          <cell r="A2095" t="str">
            <v>RO.SA. SNC DI SANI GIOVANNI E  C.</v>
          </cell>
          <cell r="D2095" t="str">
            <v>VIA DELLE PALME, 37 LIDO DI CAMAIORE</v>
          </cell>
          <cell r="E2095">
            <v>55041</v>
          </cell>
          <cell r="F2095" t="str">
            <v>LUCCA</v>
          </cell>
          <cell r="G2095" t="str">
            <v>LU</v>
          </cell>
          <cell r="H2095" t="str">
            <v>ITALIA</v>
          </cell>
          <cell r="J2095" t="str">
            <v>02429600469</v>
          </cell>
          <cell r="M2095" t="str">
            <v>UFFICIO ACQUISTI</v>
          </cell>
          <cell r="O2095" t="str">
            <v>327 3817790</v>
          </cell>
          <cell r="P2095" t="str">
            <v>ro.sa.snc2016@gmail.com</v>
          </cell>
          <cell r="R2095" t="str">
            <v>BONIFICO BANCARIO, ALLA DATA DELLA NOSTRA CONFERMA D'ORDINE</v>
          </cell>
          <cell r="X2095">
            <v>0.25</v>
          </cell>
          <cell r="Y2095">
            <v>-0.04</v>
          </cell>
          <cell r="AB2095">
            <v>0.25</v>
          </cell>
          <cell r="AC2095">
            <v>0.25</v>
          </cell>
          <cell r="AD2095">
            <v>0.25</v>
          </cell>
          <cell r="AE2095">
            <v>0.25</v>
          </cell>
          <cell r="AF2095">
            <v>0.25</v>
          </cell>
          <cell r="AG2095">
            <v>0.25</v>
          </cell>
          <cell r="AH2095">
            <v>0.25</v>
          </cell>
          <cell r="AI2095">
            <v>0.25</v>
          </cell>
          <cell r="AJ2095">
            <v>0.25</v>
          </cell>
          <cell r="AK2095">
            <v>0.25</v>
          </cell>
          <cell r="AL2095">
            <v>0.25</v>
          </cell>
          <cell r="AM2095">
            <v>0.25</v>
          </cell>
          <cell r="AN2095">
            <v>0.25</v>
          </cell>
          <cell r="AO2095">
            <v>0.25</v>
          </cell>
          <cell r="AP2095">
            <v>0.25</v>
          </cell>
          <cell r="AQ2095">
            <v>0.25</v>
          </cell>
          <cell r="AR2095">
            <v>0.25</v>
          </cell>
          <cell r="AS2095">
            <v>0.25</v>
          </cell>
          <cell r="AT2095">
            <v>-0.04</v>
          </cell>
          <cell r="AU2095">
            <v>0.92</v>
          </cell>
          <cell r="AV2095">
            <v>20</v>
          </cell>
          <cell r="AY2095" t="str">
            <v/>
          </cell>
          <cell r="AZ2095">
            <v>0.25</v>
          </cell>
          <cell r="BA2095">
            <v>0.25</v>
          </cell>
        </row>
        <row r="2096">
          <cell r="A2096" t="str">
            <v>ROBERTO MARONGIU</v>
          </cell>
          <cell r="D2096" t="str">
            <v>ZONA ARTIGIANALE MONTE ATTU (LOTTO 6)</v>
          </cell>
          <cell r="E2096" t="str">
            <v>08048</v>
          </cell>
          <cell r="F2096" t="str">
            <v>TORTOLI'</v>
          </cell>
          <cell r="G2096" t="str">
            <v>NU</v>
          </cell>
          <cell r="H2096" t="str">
            <v>ITALIA</v>
          </cell>
          <cell r="I2096" t="str">
            <v>MRNRRT61B15A355Y</v>
          </cell>
          <cell r="J2096" t="str">
            <v>00209450915</v>
          </cell>
          <cell r="M2096" t="str">
            <v>UFFICIO ACQUISTI</v>
          </cell>
          <cell r="N2096" t="str">
            <v>0782 623884</v>
          </cell>
          <cell r="O2096" t="str">
            <v>393 9901416</v>
          </cell>
          <cell r="P2096" t="str">
            <v>marongiu.infissi@libero.it</v>
          </cell>
          <cell r="R2096" t="str">
            <v>BONIFICO BANCARIO, ALLA DATA DELLA NOSTRA CONFERMA D'ORDINE</v>
          </cell>
          <cell r="X2096">
            <v>0.2</v>
          </cell>
          <cell r="Y2096">
            <v>-0.04</v>
          </cell>
          <cell r="AB2096">
            <v>0.2</v>
          </cell>
          <cell r="AC2096">
            <v>0.2</v>
          </cell>
          <cell r="AD2096">
            <v>0.2</v>
          </cell>
          <cell r="AE2096">
            <v>0.2</v>
          </cell>
          <cell r="AF2096">
            <v>0.2</v>
          </cell>
          <cell r="AG2096">
            <v>0.2</v>
          </cell>
          <cell r="AH2096">
            <v>0.2</v>
          </cell>
          <cell r="AI2096">
            <v>0.2</v>
          </cell>
          <cell r="AJ2096">
            <v>0.2</v>
          </cell>
          <cell r="AK2096">
            <v>0.2</v>
          </cell>
          <cell r="AL2096">
            <v>0.2</v>
          </cell>
          <cell r="AM2096">
            <v>0.2</v>
          </cell>
          <cell r="AN2096">
            <v>0.2</v>
          </cell>
          <cell r="AO2096">
            <v>0.2</v>
          </cell>
          <cell r="AP2096">
            <v>0.2</v>
          </cell>
          <cell r="AQ2096">
            <v>0.2</v>
          </cell>
          <cell r="AR2096">
            <v>0.2</v>
          </cell>
          <cell r="AS2096">
            <v>0.2</v>
          </cell>
          <cell r="AT2096">
            <v>-0.04</v>
          </cell>
          <cell r="AU2096">
            <v>0.92</v>
          </cell>
          <cell r="AV2096">
            <v>20</v>
          </cell>
          <cell r="AZ2096">
            <v>0.2</v>
          </cell>
          <cell r="BA2096">
            <v>0.2</v>
          </cell>
        </row>
        <row r="2097">
          <cell r="A2097" t="str">
            <v>ROCCO NARDI</v>
          </cell>
          <cell r="D2097" t="str">
            <v>VIA II TRAVERSA IANNIZZI</v>
          </cell>
          <cell r="F2097" t="str">
            <v>LAUREANA DI BORRELLO</v>
          </cell>
          <cell r="G2097" t="str">
            <v>RC</v>
          </cell>
          <cell r="H2097" t="str">
            <v>ITALIA</v>
          </cell>
          <cell r="M2097" t="str">
            <v>UFFICIO ACQUISTI</v>
          </cell>
          <cell r="N2097" t="str">
            <v>0966 991672</v>
          </cell>
          <cell r="O2097" t="str">
            <v>339 5318022</v>
          </cell>
          <cell r="P2097" t="str">
            <v>rocconardi@libero.it</v>
          </cell>
          <cell r="R2097" t="str">
            <v>BONIFICO BANCARIO, ALLA DATA DELLA NOSTRA CONFERMA D'ORDINE</v>
          </cell>
          <cell r="X2097">
            <v>0.25</v>
          </cell>
          <cell r="Y2097">
            <v>-0.04</v>
          </cell>
          <cell r="AB2097">
            <v>0.25</v>
          </cell>
          <cell r="AC2097">
            <v>0.25</v>
          </cell>
          <cell r="AD2097">
            <v>0.25</v>
          </cell>
          <cell r="AE2097">
            <v>0.25</v>
          </cell>
          <cell r="AF2097">
            <v>0.25</v>
          </cell>
          <cell r="AG2097">
            <v>0.25</v>
          </cell>
          <cell r="AH2097">
            <v>0.25</v>
          </cell>
          <cell r="AI2097">
            <v>0.25</v>
          </cell>
          <cell r="AJ2097">
            <v>0.25</v>
          </cell>
          <cell r="AK2097">
            <v>0.25</v>
          </cell>
          <cell r="AL2097">
            <v>0.25</v>
          </cell>
          <cell r="AM2097">
            <v>0.25</v>
          </cell>
          <cell r="AN2097">
            <v>0.25</v>
          </cell>
          <cell r="AO2097">
            <v>0.25</v>
          </cell>
          <cell r="AP2097">
            <v>0.25</v>
          </cell>
          <cell r="AQ2097">
            <v>0.25</v>
          </cell>
          <cell r="AR2097">
            <v>0.25</v>
          </cell>
          <cell r="AS2097">
            <v>0.25</v>
          </cell>
          <cell r="AT2097">
            <v>-0.04</v>
          </cell>
          <cell r="AU2097">
            <v>0.92</v>
          </cell>
          <cell r="AV2097">
            <v>20</v>
          </cell>
          <cell r="AW2097" t="str">
            <v>PIETRO OLIVADOTI</v>
          </cell>
          <cell r="AX2097">
            <v>0.95</v>
          </cell>
          <cell r="AY2097" t="str">
            <v/>
          </cell>
          <cell r="AZ2097">
            <v>0.25</v>
          </cell>
          <cell r="BA2097">
            <v>0.25</v>
          </cell>
        </row>
        <row r="2098">
          <cell r="A2098" t="str">
            <v>ROCCO SERRAMENTI SRL SOCIETA' UNIPERSONALE</v>
          </cell>
          <cell r="B2098" t="str">
            <v>ROCCO MAURO RESP.TECN.GLIELE HANNO CHIESTE MA HA LASCIATO PERDERE</v>
          </cell>
          <cell r="D2098" t="str">
            <v>VIA GALILEO GALILEI, 42</v>
          </cell>
          <cell r="E2098" t="str">
            <v>25046</v>
          </cell>
          <cell r="F2098" t="str">
            <v>CAZZAGO S.M.</v>
          </cell>
          <cell r="G2098" t="str">
            <v>BS</v>
          </cell>
          <cell r="H2098" t="str">
            <v>ITALIA</v>
          </cell>
          <cell r="J2098" t="str">
            <v>03370760989</v>
          </cell>
          <cell r="M2098" t="str">
            <v>UFFICIO ACQUISTI</v>
          </cell>
          <cell r="N2098" t="str">
            <v>030 7751292</v>
          </cell>
          <cell r="P2098" t="str">
            <v>tecnico@roccoserramenti.com</v>
          </cell>
          <cell r="R2098" t="str">
            <v>BONIFICO BANCARIO, ALLA DATA DELLA NOSTRA CONFERMA D'ORDINE</v>
          </cell>
          <cell r="X2098">
            <v>0.2</v>
          </cell>
          <cell r="Y2098">
            <v>-0.04</v>
          </cell>
          <cell r="AB2098">
            <v>0.2</v>
          </cell>
          <cell r="AC2098">
            <v>0.2</v>
          </cell>
          <cell r="AD2098">
            <v>0.2</v>
          </cell>
          <cell r="AE2098">
            <v>0.2</v>
          </cell>
          <cell r="AF2098">
            <v>0.2</v>
          </cell>
          <cell r="AG2098">
            <v>0.2</v>
          </cell>
          <cell r="AH2098">
            <v>0.2</v>
          </cell>
          <cell r="AI2098">
            <v>0.2</v>
          </cell>
          <cell r="AJ2098">
            <v>0.2</v>
          </cell>
          <cell r="AK2098">
            <v>0.2</v>
          </cell>
          <cell r="AL2098">
            <v>0.2</v>
          </cell>
          <cell r="AM2098">
            <v>0.2</v>
          </cell>
          <cell r="AN2098">
            <v>0.2</v>
          </cell>
          <cell r="AO2098">
            <v>0.2</v>
          </cell>
          <cell r="AP2098">
            <v>0.2</v>
          </cell>
          <cell r="AQ2098">
            <v>0.2</v>
          </cell>
          <cell r="AR2098">
            <v>0.2</v>
          </cell>
          <cell r="AS2098">
            <v>0.2</v>
          </cell>
          <cell r="AT2098">
            <v>-0.04</v>
          </cell>
          <cell r="AU2098">
            <v>0.92</v>
          </cell>
          <cell r="AV2098">
            <v>20</v>
          </cell>
          <cell r="AZ2098">
            <v>0.2</v>
          </cell>
          <cell r="BA2098">
            <v>0.2</v>
          </cell>
        </row>
        <row r="2099">
          <cell r="A2099" t="str">
            <v>ROCITEC ENGINEERING SRL</v>
          </cell>
          <cell r="B2099" t="str">
            <v>14/02/23 NO INTERESSE</v>
          </cell>
          <cell r="D2099" t="str">
            <v>PIAZZA EROI D'UNGHERIA, 7</v>
          </cell>
          <cell r="E2099" t="str">
            <v>95123</v>
          </cell>
          <cell r="F2099" t="str">
            <v>CATANIA</v>
          </cell>
          <cell r="G2099" t="str">
            <v>CT</v>
          </cell>
          <cell r="H2099" t="str">
            <v>ITALIA</v>
          </cell>
          <cell r="J2099" t="str">
            <v>04785560873</v>
          </cell>
          <cell r="M2099" t="str">
            <v>UFFICIO ACQUISTI</v>
          </cell>
          <cell r="N2099" t="str">
            <v>0952 270206</v>
          </cell>
          <cell r="P2099" t="str">
            <v>rocitec@live.it</v>
          </cell>
          <cell r="R2099" t="str">
            <v>BONIFICO BANCARIO, ALLA DATA DELLA NOSTRA CONFERMA D'ORDINE</v>
          </cell>
          <cell r="X2099">
            <v>0.1</v>
          </cell>
          <cell r="Y2099">
            <v>-0.04</v>
          </cell>
          <cell r="AB2099">
            <v>0.1</v>
          </cell>
          <cell r="AC2099">
            <v>0.1</v>
          </cell>
          <cell r="AD2099">
            <v>0.1</v>
          </cell>
          <cell r="AE2099">
            <v>0.1</v>
          </cell>
          <cell r="AF2099">
            <v>0.1</v>
          </cell>
          <cell r="AG2099">
            <v>0.1</v>
          </cell>
          <cell r="AH2099">
            <v>0.1</v>
          </cell>
          <cell r="AI2099">
            <v>0.1</v>
          </cell>
          <cell r="AJ2099">
            <v>0.1</v>
          </cell>
          <cell r="AK2099">
            <v>0.1</v>
          </cell>
          <cell r="AL2099">
            <v>0.1</v>
          </cell>
          <cell r="AM2099">
            <v>0.1</v>
          </cell>
          <cell r="AN2099">
            <v>0.1</v>
          </cell>
          <cell r="AO2099">
            <v>0.1</v>
          </cell>
          <cell r="AP2099">
            <v>0.1</v>
          </cell>
          <cell r="AQ2099">
            <v>0.1</v>
          </cell>
          <cell r="AR2099">
            <v>0.1</v>
          </cell>
          <cell r="AS2099">
            <v>0.1</v>
          </cell>
          <cell r="AT2099">
            <v>-0.04</v>
          </cell>
          <cell r="AU2099">
            <v>0.92</v>
          </cell>
          <cell r="AV2099">
            <v>20</v>
          </cell>
          <cell r="AZ2099">
            <v>0.1</v>
          </cell>
          <cell r="BA2099">
            <v>0.1</v>
          </cell>
        </row>
        <row r="2100">
          <cell r="A2100" t="str">
            <v>RODAR E PARTNERS</v>
          </cell>
          <cell r="B2100" t="str">
            <v>ENZO RODAR</v>
          </cell>
          <cell r="D2100" t="str">
            <v>VIA CORTONA, 4</v>
          </cell>
          <cell r="F2100" t="str">
            <v>FIUMICELLO</v>
          </cell>
          <cell r="G2100" t="str">
            <v>UD</v>
          </cell>
          <cell r="H2100" t="str">
            <v>ITALIA</v>
          </cell>
          <cell r="M2100" t="str">
            <v>UFFICIO ACQUISTI</v>
          </cell>
          <cell r="N2100" t="str">
            <v>0431 96225</v>
          </cell>
          <cell r="R2100" t="str">
            <v>BONIFICO BANCARIO, ALLA DATA DELLA NOSTRA CONFERMA D'ORDINE</v>
          </cell>
          <cell r="X2100">
            <v>0.25</v>
          </cell>
          <cell r="Y2100">
            <v>-0.04</v>
          </cell>
          <cell r="AB2100">
            <v>0.25</v>
          </cell>
          <cell r="AC2100">
            <v>0.25</v>
          </cell>
          <cell r="AD2100">
            <v>0.25</v>
          </cell>
          <cell r="AE2100">
            <v>0.25</v>
          </cell>
          <cell r="AF2100">
            <v>0.25</v>
          </cell>
          <cell r="AG2100">
            <v>0.25</v>
          </cell>
          <cell r="AH2100">
            <v>0.25</v>
          </cell>
          <cell r="AI2100">
            <v>0.25</v>
          </cell>
          <cell r="AJ2100">
            <v>0.25</v>
          </cell>
          <cell r="AK2100">
            <v>0.25</v>
          </cell>
          <cell r="AL2100">
            <v>0.25</v>
          </cell>
          <cell r="AM2100">
            <v>0.25</v>
          </cell>
          <cell r="AN2100">
            <v>0.25</v>
          </cell>
          <cell r="AO2100">
            <v>0.25</v>
          </cell>
          <cell r="AP2100">
            <v>0.25</v>
          </cell>
          <cell r="AQ2100">
            <v>0.25</v>
          </cell>
          <cell r="AR2100">
            <v>0.25</v>
          </cell>
          <cell r="AS2100">
            <v>0.25</v>
          </cell>
          <cell r="AT2100">
            <v>-0.04</v>
          </cell>
          <cell r="AU2100">
            <v>0.92</v>
          </cell>
          <cell r="AV2100">
            <v>20</v>
          </cell>
          <cell r="AY2100" t="str">
            <v/>
          </cell>
          <cell r="AZ2100">
            <v>0.25</v>
          </cell>
          <cell r="BA2100">
            <v>0.25</v>
          </cell>
        </row>
        <row r="2101">
          <cell r="A2101" t="str">
            <v>RODELLA TENDE</v>
          </cell>
          <cell r="D2101" t="str">
            <v>VIA MEZZOCOLLE, 50 52</v>
          </cell>
          <cell r="E2101">
            <v>25010</v>
          </cell>
          <cell r="F2101" t="str">
            <v>DESENZANO D.G.</v>
          </cell>
          <cell r="G2101" t="str">
            <v>BS</v>
          </cell>
          <cell r="H2101" t="str">
            <v>ITALIA</v>
          </cell>
          <cell r="M2101" t="str">
            <v>UFFICIO ACQUISTI</v>
          </cell>
          <cell r="N2101" t="str">
            <v>030 9120064</v>
          </cell>
          <cell r="P2101" t="str">
            <v>info@rodellatende.it</v>
          </cell>
          <cell r="R2101" t="str">
            <v>BONIFICO BANCARIO, ALLA DATA DELLA NOSTRA CONFERMA D'ORDINE</v>
          </cell>
          <cell r="X2101">
            <v>0.25</v>
          </cell>
          <cell r="Y2101">
            <v>-0.04</v>
          </cell>
          <cell r="AB2101">
            <v>0.25</v>
          </cell>
          <cell r="AC2101">
            <v>0.25</v>
          </cell>
          <cell r="AD2101">
            <v>0.25</v>
          </cell>
          <cell r="AE2101">
            <v>0.25</v>
          </cell>
          <cell r="AF2101">
            <v>0.25</v>
          </cell>
          <cell r="AG2101">
            <v>0.25</v>
          </cell>
          <cell r="AH2101">
            <v>0.25</v>
          </cell>
          <cell r="AI2101">
            <v>0.25</v>
          </cell>
          <cell r="AJ2101">
            <v>0.25</v>
          </cell>
          <cell r="AK2101">
            <v>0.25</v>
          </cell>
          <cell r="AL2101">
            <v>0.25</v>
          </cell>
          <cell r="AM2101">
            <v>0.25</v>
          </cell>
          <cell r="AN2101">
            <v>0.25</v>
          </cell>
          <cell r="AO2101">
            <v>0.25</v>
          </cell>
          <cell r="AP2101">
            <v>0.25</v>
          </cell>
          <cell r="AQ2101">
            <v>0.25</v>
          </cell>
          <cell r="AR2101">
            <v>0.25</v>
          </cell>
          <cell r="AS2101">
            <v>0.25</v>
          </cell>
          <cell r="AT2101">
            <v>-0.04</v>
          </cell>
          <cell r="AU2101">
            <v>0.92</v>
          </cell>
          <cell r="AV2101">
            <v>20</v>
          </cell>
          <cell r="AY2101" t="str">
            <v/>
          </cell>
          <cell r="AZ2101">
            <v>0.25</v>
          </cell>
          <cell r="BA2101">
            <v>0.25</v>
          </cell>
        </row>
        <row r="2102">
          <cell r="A2102" t="str">
            <v>RODOFILI PORTE E FINESTRE DI DARIO RODOFILI</v>
          </cell>
          <cell r="B2102" t="str">
            <v>BUONO</v>
          </cell>
          <cell r="D2102" t="str">
            <v>VIA DELLA MECCANICA, 1  H</v>
          </cell>
          <cell r="E2102">
            <v>36100</v>
          </cell>
          <cell r="F2102" t="str">
            <v>VICENZA</v>
          </cell>
          <cell r="G2102" t="str">
            <v>VI</v>
          </cell>
          <cell r="H2102" t="str">
            <v>ITALIA</v>
          </cell>
          <cell r="M2102" t="str">
            <v>UFFICIO ACQUISTI</v>
          </cell>
          <cell r="N2102" t="str">
            <v>0444 1456980</v>
          </cell>
          <cell r="O2102" t="str">
            <v>392 1133092</v>
          </cell>
          <cell r="P2102" t="str">
            <v>dario@rodofilisas.it</v>
          </cell>
          <cell r="R2102" t="str">
            <v>BONIFICO BANCARIO, ALLA DATA DELLA NOSTRA CONFERMA D'ORDINE</v>
          </cell>
          <cell r="X2102">
            <v>0.25</v>
          </cell>
          <cell r="Y2102">
            <v>-0.04</v>
          </cell>
          <cell r="AB2102">
            <v>0.25</v>
          </cell>
          <cell r="AC2102">
            <v>0.25</v>
          </cell>
          <cell r="AD2102">
            <v>0.25</v>
          </cell>
          <cell r="AE2102">
            <v>0.25</v>
          </cell>
          <cell r="AF2102">
            <v>0.25</v>
          </cell>
          <cell r="AG2102">
            <v>0.25</v>
          </cell>
          <cell r="AH2102">
            <v>0.25</v>
          </cell>
          <cell r="AI2102">
            <v>0.25</v>
          </cell>
          <cell r="AJ2102">
            <v>0.25</v>
          </cell>
          <cell r="AK2102">
            <v>0.25</v>
          </cell>
          <cell r="AL2102">
            <v>0.25</v>
          </cell>
          <cell r="AM2102">
            <v>0.25</v>
          </cell>
          <cell r="AN2102">
            <v>0.25</v>
          </cell>
          <cell r="AO2102">
            <v>0.25</v>
          </cell>
          <cell r="AP2102">
            <v>0.25</v>
          </cell>
          <cell r="AQ2102">
            <v>0.25</v>
          </cell>
          <cell r="AR2102">
            <v>0.25</v>
          </cell>
          <cell r="AS2102">
            <v>0.25</v>
          </cell>
          <cell r="AT2102">
            <v>-0.04</v>
          </cell>
          <cell r="AU2102">
            <v>0.92</v>
          </cell>
          <cell r="AV2102">
            <v>20</v>
          </cell>
          <cell r="AY2102" t="str">
            <v/>
          </cell>
          <cell r="AZ2102">
            <v>0.25</v>
          </cell>
          <cell r="BA2102">
            <v>0.25</v>
          </cell>
        </row>
        <row r="2103">
          <cell r="A2103" t="str">
            <v>ROLANDO MARCO</v>
          </cell>
          <cell r="D2103" t="str">
            <v>VIA ARGINE DESTRO, 395</v>
          </cell>
          <cell r="E2103" t="str">
            <v>18100</v>
          </cell>
          <cell r="F2103" t="str">
            <v>IMPERIA</v>
          </cell>
          <cell r="G2103" t="str">
            <v>IM</v>
          </cell>
          <cell r="H2103" t="str">
            <v>ITALIA</v>
          </cell>
          <cell r="I2103" t="str">
            <v>RLNMRC71S09E290B</v>
          </cell>
          <cell r="J2103" t="str">
            <v>01051090080</v>
          </cell>
          <cell r="K2103" t="str">
            <v>W7YVJK9</v>
          </cell>
          <cell r="M2103" t="str">
            <v>UFFICIO ACQUISTI</v>
          </cell>
          <cell r="N2103" t="str">
            <v>0183 710251</v>
          </cell>
          <cell r="P2103" t="str">
            <v>info@officinarolando.com</v>
          </cell>
          <cell r="R2103" t="str">
            <v>BONIFICO BANCARIO, ALLA DATA DELLA NOSTRA CONFERMA D'ORDINE</v>
          </cell>
          <cell r="X2103">
            <v>0.25</v>
          </cell>
          <cell r="Y2103">
            <v>-0.04</v>
          </cell>
          <cell r="AB2103">
            <v>0.25</v>
          </cell>
          <cell r="AC2103">
            <v>0.25</v>
          </cell>
          <cell r="AD2103">
            <v>0.25</v>
          </cell>
          <cell r="AE2103">
            <v>0.25</v>
          </cell>
          <cell r="AF2103">
            <v>0.25</v>
          </cell>
          <cell r="AG2103">
            <v>0.25</v>
          </cell>
          <cell r="AH2103">
            <v>0.25</v>
          </cell>
          <cell r="AI2103">
            <v>0.25</v>
          </cell>
          <cell r="AJ2103">
            <v>0.25</v>
          </cell>
          <cell r="AK2103">
            <v>0.25</v>
          </cell>
          <cell r="AL2103">
            <v>0.25</v>
          </cell>
          <cell r="AM2103">
            <v>0.25</v>
          </cell>
          <cell r="AN2103">
            <v>0.25</v>
          </cell>
          <cell r="AO2103">
            <v>0.25</v>
          </cell>
          <cell r="AP2103">
            <v>0.25</v>
          </cell>
          <cell r="AQ2103">
            <v>0.25</v>
          </cell>
          <cell r="AR2103">
            <v>0.25</v>
          </cell>
          <cell r="AS2103">
            <v>0.25</v>
          </cell>
          <cell r="AT2103">
            <v>-0.04</v>
          </cell>
          <cell r="AU2103">
            <v>0.92</v>
          </cell>
          <cell r="AV2103">
            <v>20</v>
          </cell>
          <cell r="AZ2103">
            <v>0.25</v>
          </cell>
          <cell r="BA2103">
            <v>0.25</v>
          </cell>
          <cell r="BF2103" t="str">
            <v>CLICK RAPID con carpenteria 07/01/2021</v>
          </cell>
        </row>
        <row r="2104">
          <cell r="A2104" t="str">
            <v>ROMAGNA INFISSI S.R.L.</v>
          </cell>
          <cell r="D2104" t="str">
            <v>VIA MAESTRI DEL LAVORO D'ITALIA, 21</v>
          </cell>
          <cell r="E2104" t="str">
            <v>47034</v>
          </cell>
          <cell r="F2104" t="str">
            <v>FORLIMPOPOLI</v>
          </cell>
          <cell r="G2104" t="str">
            <v>FC</v>
          </cell>
          <cell r="H2104" t="str">
            <v>ITALIA</v>
          </cell>
          <cell r="M2104" t="str">
            <v>UFFICIO ACQUISTI</v>
          </cell>
          <cell r="N2104" t="str">
            <v>0543 747006</v>
          </cell>
          <cell r="P2104" t="str">
            <v>info@romagnainfissi.com</v>
          </cell>
          <cell r="R2104" t="str">
            <v>BONIFICO BANCARIO, ALLA DATA DELLA NOSTRA CONFERMA D'ORDINE</v>
          </cell>
          <cell r="X2104">
            <v>0.2</v>
          </cell>
          <cell r="Y2104">
            <v>-0.04</v>
          </cell>
          <cell r="AB2104">
            <v>0.25</v>
          </cell>
          <cell r="AC2104">
            <v>0.25</v>
          </cell>
          <cell r="AD2104">
            <v>0.25</v>
          </cell>
          <cell r="AE2104">
            <v>0.25</v>
          </cell>
          <cell r="AF2104">
            <v>0.25</v>
          </cell>
          <cell r="AG2104">
            <v>0.25</v>
          </cell>
          <cell r="AH2104">
            <v>0.25</v>
          </cell>
          <cell r="AI2104">
            <v>0.25</v>
          </cell>
          <cell r="AJ2104">
            <v>0.25</v>
          </cell>
          <cell r="AK2104">
            <v>0.25</v>
          </cell>
          <cell r="AL2104">
            <v>0.25</v>
          </cell>
          <cell r="AM2104">
            <v>0.25</v>
          </cell>
          <cell r="AN2104">
            <v>0.25</v>
          </cell>
          <cell r="AO2104">
            <v>0.25</v>
          </cell>
          <cell r="AP2104">
            <v>0.25</v>
          </cell>
          <cell r="AQ2104">
            <v>0.25</v>
          </cell>
          <cell r="AR2104">
            <v>0.25</v>
          </cell>
          <cell r="AS2104">
            <v>0.25</v>
          </cell>
          <cell r="AT2104">
            <v>-0.04</v>
          </cell>
          <cell r="AU2104">
            <v>0.92</v>
          </cell>
          <cell r="AV2104">
            <v>20</v>
          </cell>
          <cell r="AZ2104">
            <v>0.25</v>
          </cell>
          <cell r="BA2104">
            <v>0.25</v>
          </cell>
        </row>
        <row r="2105">
          <cell r="A2105" t="str">
            <v>ROMANA EDIL. TEC.</v>
          </cell>
          <cell r="D2105" t="str">
            <v>VIA ANTONIO BALDISSERA 81 G H</v>
          </cell>
          <cell r="E2105" t="str">
            <v>00159</v>
          </cell>
          <cell r="F2105" t="str">
            <v>ROMA</v>
          </cell>
          <cell r="G2105" t="str">
            <v>RM</v>
          </cell>
          <cell r="H2105" t="str">
            <v>ITALIA</v>
          </cell>
          <cell r="M2105" t="str">
            <v>UFFICIO ACQUISTI</v>
          </cell>
          <cell r="N2105" t="str">
            <v>06 4393064</v>
          </cell>
          <cell r="O2105" t="str">
            <v>339 1568722-3</v>
          </cell>
          <cell r="P2105" t="str">
            <v>romanaediltec@libero.it</v>
          </cell>
          <cell r="R2105" t="str">
            <v>BONIFICO BANCARIO, ALLA DATA DELLA NOSTRA CONFERMA D'ORDINE</v>
          </cell>
          <cell r="X2105">
            <v>0.25</v>
          </cell>
          <cell r="Y2105">
            <v>-0.04</v>
          </cell>
          <cell r="AB2105">
            <v>0.25</v>
          </cell>
          <cell r="AC2105">
            <v>0.25</v>
          </cell>
          <cell r="AD2105">
            <v>0.25</v>
          </cell>
          <cell r="AE2105">
            <v>0.25</v>
          </cell>
          <cell r="AF2105">
            <v>0.25</v>
          </cell>
          <cell r="AG2105">
            <v>0.25</v>
          </cell>
          <cell r="AH2105">
            <v>0.25</v>
          </cell>
          <cell r="AI2105">
            <v>0.25</v>
          </cell>
          <cell r="AJ2105">
            <v>0.25</v>
          </cell>
          <cell r="AK2105">
            <v>0.25</v>
          </cell>
          <cell r="AL2105">
            <v>0.25</v>
          </cell>
          <cell r="AM2105">
            <v>0.25</v>
          </cell>
          <cell r="AN2105">
            <v>0.25</v>
          </cell>
          <cell r="AO2105">
            <v>0.25</v>
          </cell>
          <cell r="AP2105">
            <v>0.25</v>
          </cell>
          <cell r="AQ2105">
            <v>0.25</v>
          </cell>
          <cell r="AR2105">
            <v>0.25</v>
          </cell>
          <cell r="AS2105">
            <v>0.25</v>
          </cell>
          <cell r="AT2105">
            <v>-0.04</v>
          </cell>
          <cell r="AU2105">
            <v>0.92</v>
          </cell>
          <cell r="AV2105">
            <v>20</v>
          </cell>
          <cell r="AY2105" t="str">
            <v/>
          </cell>
          <cell r="AZ2105">
            <v>0.25</v>
          </cell>
          <cell r="BA2105">
            <v>0.25</v>
          </cell>
        </row>
        <row r="2106">
          <cell r="A2106" t="str">
            <v>ROMANA SERRANDE SRL</v>
          </cell>
          <cell r="D2106" t="str">
            <v>VIA PRENESTINA 1140</v>
          </cell>
          <cell r="E2106" t="str">
            <v>00132</v>
          </cell>
          <cell r="F2106" t="str">
            <v>ROMA</v>
          </cell>
          <cell r="G2106" t="str">
            <v>RM</v>
          </cell>
          <cell r="H2106" t="str">
            <v>ITALIA</v>
          </cell>
          <cell r="M2106" t="str">
            <v>UFFICIO ACQUISTI</v>
          </cell>
          <cell r="N2106" t="str">
            <v>06 22428750</v>
          </cell>
          <cell r="P2106" t="str">
            <v>info@romanaserrande.it</v>
          </cell>
          <cell r="R2106" t="str">
            <v>BONIFICO BANCARIO, ALLA DATA DELLA NOSTRA CONFERMA D'ORDINE</v>
          </cell>
          <cell r="X2106">
            <v>0.25</v>
          </cell>
          <cell r="Y2106">
            <v>-0.04</v>
          </cell>
          <cell r="AB2106">
            <v>0.25</v>
          </cell>
          <cell r="AC2106">
            <v>0.25</v>
          </cell>
          <cell r="AD2106">
            <v>0.25</v>
          </cell>
          <cell r="AE2106">
            <v>0.25</v>
          </cell>
          <cell r="AF2106">
            <v>0.25</v>
          </cell>
          <cell r="AG2106">
            <v>0.25</v>
          </cell>
          <cell r="AH2106">
            <v>0.25</v>
          </cell>
          <cell r="AI2106">
            <v>0.25</v>
          </cell>
          <cell r="AJ2106">
            <v>0.25</v>
          </cell>
          <cell r="AK2106">
            <v>0.25</v>
          </cell>
          <cell r="AL2106">
            <v>0.25</v>
          </cell>
          <cell r="AM2106">
            <v>0.25</v>
          </cell>
          <cell r="AN2106">
            <v>0.25</v>
          </cell>
          <cell r="AO2106">
            <v>0.25</v>
          </cell>
          <cell r="AP2106">
            <v>0.25</v>
          </cell>
          <cell r="AQ2106">
            <v>0.25</v>
          </cell>
          <cell r="AR2106">
            <v>0.25</v>
          </cell>
          <cell r="AS2106">
            <v>0.25</v>
          </cell>
          <cell r="AT2106">
            <v>-0.04</v>
          </cell>
          <cell r="AU2106">
            <v>0.92</v>
          </cell>
          <cell r="AV2106">
            <v>20</v>
          </cell>
          <cell r="AY2106" t="str">
            <v/>
          </cell>
          <cell r="AZ2106">
            <v>0.25</v>
          </cell>
          <cell r="BA2106">
            <v>0.25</v>
          </cell>
        </row>
        <row r="2107">
          <cell r="A2107" t="str">
            <v>ROMANINI SERRAMENTI</v>
          </cell>
          <cell r="D2107" t="str">
            <v>VIA SAJORE, 35 - BIRBESI</v>
          </cell>
          <cell r="E2107" t="str">
            <v>46040</v>
          </cell>
          <cell r="F2107" t="str">
            <v>GUIDIZZOLO</v>
          </cell>
          <cell r="G2107" t="str">
            <v>MN</v>
          </cell>
          <cell r="H2107" t="str">
            <v>ITALIA</v>
          </cell>
          <cell r="I2107" t="str">
            <v>RMNRDU72D19C312R</v>
          </cell>
          <cell r="J2107" t="str">
            <v>02211120205</v>
          </cell>
          <cell r="M2107" t="str">
            <v>UFFICIO ACQUISTI</v>
          </cell>
          <cell r="N2107" t="str">
            <v>0376849537</v>
          </cell>
          <cell r="P2107" t="str">
            <v>info@romaniniserramenti.com</v>
          </cell>
          <cell r="R2107" t="str">
            <v>BONIFICO BANCARIO, ALLA DATA DELLA NOSTRA CONFERMA D'ORDINE</v>
          </cell>
          <cell r="X2107">
            <v>0.25</v>
          </cell>
          <cell r="Y2107">
            <v>-0.04</v>
          </cell>
          <cell r="AB2107">
            <v>0.25</v>
          </cell>
          <cell r="AC2107">
            <v>0.25</v>
          </cell>
          <cell r="AD2107">
            <v>0.25</v>
          </cell>
          <cell r="AE2107">
            <v>0.25</v>
          </cell>
          <cell r="AF2107">
            <v>0.25</v>
          </cell>
          <cell r="AG2107">
            <v>0.25</v>
          </cell>
          <cell r="AH2107">
            <v>0.25</v>
          </cell>
          <cell r="AI2107">
            <v>0.25</v>
          </cell>
          <cell r="AJ2107">
            <v>0.25</v>
          </cell>
          <cell r="AK2107">
            <v>0.25</v>
          </cell>
          <cell r="AL2107">
            <v>0.25</v>
          </cell>
          <cell r="AM2107">
            <v>0.25</v>
          </cell>
          <cell r="AN2107">
            <v>0.25</v>
          </cell>
          <cell r="AO2107">
            <v>0.25</v>
          </cell>
          <cell r="AP2107">
            <v>0.25</v>
          </cell>
          <cell r="AQ2107">
            <v>0.25</v>
          </cell>
          <cell r="AR2107">
            <v>0.25</v>
          </cell>
          <cell r="AS2107">
            <v>0.25</v>
          </cell>
          <cell r="AT2107">
            <v>-0.04</v>
          </cell>
          <cell r="AU2107">
            <v>0.92</v>
          </cell>
          <cell r="AV2107">
            <v>20</v>
          </cell>
          <cell r="AY2107" t="str">
            <v/>
          </cell>
          <cell r="AZ2107">
            <v>0.25</v>
          </cell>
          <cell r="BA2107">
            <v>0.25</v>
          </cell>
        </row>
        <row r="2108">
          <cell r="A2108" t="str">
            <v>ROMANO SALVATORE</v>
          </cell>
          <cell r="D2108" t="str">
            <v>VIA MARCHE, 3</v>
          </cell>
          <cell r="E2108" t="str">
            <v>92022</v>
          </cell>
          <cell r="F2108" t="str">
            <v>CAMMARATA</v>
          </cell>
          <cell r="G2108" t="str">
            <v>AG</v>
          </cell>
          <cell r="H2108" t="str">
            <v>ITALIA</v>
          </cell>
          <cell r="J2108" t="str">
            <v>02249450848</v>
          </cell>
          <cell r="M2108" t="str">
            <v>UFFICIO ACQUISTI</v>
          </cell>
          <cell r="N2108" t="str">
            <v>0922 909637</v>
          </cell>
          <cell r="O2108" t="str">
            <v>338 4847652</v>
          </cell>
          <cell r="P2108" t="str">
            <v>info@infissiromano.it</v>
          </cell>
          <cell r="R2108" t="str">
            <v>BONIFICO BANCARIO, ALLA DATA DELLA NOSTRA CONFERMA D'ORDINE</v>
          </cell>
          <cell r="X2108">
            <v>0.25</v>
          </cell>
          <cell r="Y2108">
            <v>-0.04</v>
          </cell>
          <cell r="AB2108">
            <v>0.25</v>
          </cell>
          <cell r="AC2108">
            <v>0.25</v>
          </cell>
          <cell r="AD2108">
            <v>0.25</v>
          </cell>
          <cell r="AE2108">
            <v>0.25</v>
          </cell>
          <cell r="AF2108">
            <v>0.25</v>
          </cell>
          <cell r="AG2108">
            <v>0.25</v>
          </cell>
          <cell r="AH2108">
            <v>0.25</v>
          </cell>
          <cell r="AI2108">
            <v>0.25</v>
          </cell>
          <cell r="AJ2108">
            <v>0.25</v>
          </cell>
          <cell r="AK2108">
            <v>0.25</v>
          </cell>
          <cell r="AL2108">
            <v>0.25</v>
          </cell>
          <cell r="AM2108">
            <v>0.25</v>
          </cell>
          <cell r="AN2108">
            <v>0.25</v>
          </cell>
          <cell r="AO2108">
            <v>0.25</v>
          </cell>
          <cell r="AP2108">
            <v>0.25</v>
          </cell>
          <cell r="AQ2108">
            <v>0.25</v>
          </cell>
          <cell r="AR2108">
            <v>0.25</v>
          </cell>
          <cell r="AS2108">
            <v>0.25</v>
          </cell>
          <cell r="AT2108">
            <v>-0.04</v>
          </cell>
          <cell r="AU2108">
            <v>0.92</v>
          </cell>
          <cell r="AV2108">
            <v>20</v>
          </cell>
          <cell r="AY2108" t="str">
            <v/>
          </cell>
          <cell r="AZ2108">
            <v>0.25</v>
          </cell>
          <cell r="BA2108">
            <v>0.25</v>
          </cell>
        </row>
        <row r="2109">
          <cell r="A2109" t="str">
            <v>ROMEO SARRANTONIO</v>
          </cell>
          <cell r="B2109" t="str">
            <v>ROBERTO 02/03/23 NON HANNO MAI AVUTO RICHIESTE MA CI TENGONO SEMPRE PRESENTI</v>
          </cell>
          <cell r="D2109" t="str">
            <v>VIA RAIALE, 325</v>
          </cell>
          <cell r="E2109" t="str">
            <v>65128</v>
          </cell>
          <cell r="F2109" t="str">
            <v>PESCARA</v>
          </cell>
          <cell r="G2109" t="str">
            <v>PE</v>
          </cell>
          <cell r="H2109" t="str">
            <v>ITALIA</v>
          </cell>
          <cell r="J2109" t="str">
            <v>00045520681</v>
          </cell>
          <cell r="M2109" t="str">
            <v>UFFICIO ACQUISTI</v>
          </cell>
          <cell r="N2109" t="str">
            <v>085 53910</v>
          </cell>
          <cell r="O2109" t="str">
            <v>389 1796534</v>
          </cell>
          <cell r="P2109" t="str">
            <v>romeosarrantonio@gmail.com</v>
          </cell>
          <cell r="R2109" t="str">
            <v>BONIFICO BANCARIO, ALLA DATA DELLA NOSTRA CONFERMA D'ORDINE</v>
          </cell>
          <cell r="X2109">
            <v>0.25</v>
          </cell>
          <cell r="Y2109">
            <v>-0.04</v>
          </cell>
          <cell r="AB2109">
            <v>0.25</v>
          </cell>
          <cell r="AC2109">
            <v>0.25</v>
          </cell>
          <cell r="AD2109">
            <v>0.25</v>
          </cell>
          <cell r="AE2109">
            <v>0.25</v>
          </cell>
          <cell r="AF2109">
            <v>0.25</v>
          </cell>
          <cell r="AG2109">
            <v>0.25</v>
          </cell>
          <cell r="AH2109">
            <v>0.25</v>
          </cell>
          <cell r="AI2109">
            <v>0.25</v>
          </cell>
          <cell r="AJ2109">
            <v>0.25</v>
          </cell>
          <cell r="AK2109">
            <v>0.25</v>
          </cell>
          <cell r="AL2109">
            <v>0.25</v>
          </cell>
          <cell r="AM2109">
            <v>0.25</v>
          </cell>
          <cell r="AN2109">
            <v>0.25</v>
          </cell>
          <cell r="AO2109">
            <v>0.25</v>
          </cell>
          <cell r="AP2109">
            <v>0.25</v>
          </cell>
          <cell r="AQ2109">
            <v>0.25</v>
          </cell>
          <cell r="AR2109">
            <v>0.25</v>
          </cell>
          <cell r="AS2109">
            <v>0.25</v>
          </cell>
          <cell r="AT2109">
            <v>-0.04</v>
          </cell>
          <cell r="AU2109">
            <v>0.92</v>
          </cell>
          <cell r="AV2109">
            <v>20</v>
          </cell>
          <cell r="AY2109" t="str">
            <v/>
          </cell>
          <cell r="AZ2109">
            <v>0.25</v>
          </cell>
          <cell r="BA2109">
            <v>0.25</v>
          </cell>
        </row>
        <row r="2110">
          <cell r="A2110" t="str">
            <v xml:space="preserve">RONCARI COSTRUZIONI IN FERRO </v>
          </cell>
          <cell r="B2110" t="str">
            <v xml:space="preserve">NON HA MAI USATO PARATIE MA , SI E' MOSTRATO INTERESSATO  </v>
          </cell>
          <cell r="D2110" t="str">
            <v>VIA PRATI COMUNI 14</v>
          </cell>
          <cell r="E2110" t="str">
            <v>21030</v>
          </cell>
          <cell r="F2110" t="str">
            <v xml:space="preserve">CUVEGLIO </v>
          </cell>
          <cell r="G2110" t="str">
            <v>VA</v>
          </cell>
          <cell r="H2110" t="str">
            <v>ITALIA</v>
          </cell>
          <cell r="M2110" t="str">
            <v>UFFICIO ACQUISTI</v>
          </cell>
          <cell r="N2110" t="str">
            <v>0332 651708</v>
          </cell>
          <cell r="O2110" t="str">
            <v>338 3599829</v>
          </cell>
          <cell r="R2110" t="str">
            <v>BONIFICO BANCARIO, ALLA DATA DELLA NOSTRA CONFERMA D'ORDINE</v>
          </cell>
          <cell r="X2110">
            <v>0.25</v>
          </cell>
          <cell r="Y2110">
            <v>-0.04</v>
          </cell>
          <cell r="AB2110">
            <v>0.25</v>
          </cell>
          <cell r="AC2110">
            <v>0.25</v>
          </cell>
          <cell r="AD2110">
            <v>0.25</v>
          </cell>
          <cell r="AE2110">
            <v>0.25</v>
          </cell>
          <cell r="AF2110">
            <v>0.25</v>
          </cell>
          <cell r="AG2110">
            <v>0.25</v>
          </cell>
          <cell r="AH2110">
            <v>0.25</v>
          </cell>
          <cell r="AI2110">
            <v>0.25</v>
          </cell>
          <cell r="AJ2110">
            <v>0.25</v>
          </cell>
          <cell r="AK2110">
            <v>0.25</v>
          </cell>
          <cell r="AL2110">
            <v>0.25</v>
          </cell>
          <cell r="AM2110">
            <v>0.25</v>
          </cell>
          <cell r="AN2110">
            <v>0.25</v>
          </cell>
          <cell r="AO2110">
            <v>0.25</v>
          </cell>
          <cell r="AP2110">
            <v>0.25</v>
          </cell>
          <cell r="AQ2110">
            <v>0.25</v>
          </cell>
          <cell r="AR2110">
            <v>0.25</v>
          </cell>
          <cell r="AS2110">
            <v>0.25</v>
          </cell>
          <cell r="AT2110">
            <v>-0.04</v>
          </cell>
          <cell r="AU2110">
            <v>0.92</v>
          </cell>
          <cell r="AV2110">
            <v>20</v>
          </cell>
          <cell r="AY2110" t="str">
            <v/>
          </cell>
          <cell r="AZ2110">
            <v>0.25</v>
          </cell>
          <cell r="BA2110">
            <v>0.25</v>
          </cell>
        </row>
        <row r="2111">
          <cell r="A2111" t="str">
            <v>ROSA INFISSI</v>
          </cell>
          <cell r="B2111" t="str">
            <v>INVIARE FOTO</v>
          </cell>
          <cell r="D2111" t="str">
            <v>C DA TAGLIATI SN</v>
          </cell>
          <cell r="E2111">
            <v>96019</v>
          </cell>
          <cell r="F2111" t="str">
            <v>ROSOLINI</v>
          </cell>
          <cell r="G2111" t="str">
            <v>SR</v>
          </cell>
          <cell r="H2111" t="str">
            <v>ITALIA</v>
          </cell>
          <cell r="M2111" t="str">
            <v>UFFICIO ACQUISTI</v>
          </cell>
          <cell r="N2111" t="str">
            <v>0931 1661823</v>
          </cell>
          <cell r="O2111" t="str">
            <v>338 2648415- 335 6264490- 3463741408</v>
          </cell>
          <cell r="P2111" t="str">
            <v>rosainfissi@gmail.com</v>
          </cell>
          <cell r="R2111" t="str">
            <v>BONIFICO BANCARIO, ALLA DATA DELLA NOSTRA CONFERMA D'ORDINE</v>
          </cell>
          <cell r="X2111">
            <v>0.25</v>
          </cell>
          <cell r="Y2111">
            <v>-0.04</v>
          </cell>
          <cell r="AB2111">
            <v>0.25</v>
          </cell>
          <cell r="AC2111">
            <v>0.25</v>
          </cell>
          <cell r="AD2111">
            <v>0.25</v>
          </cell>
          <cell r="AE2111">
            <v>0.25</v>
          </cell>
          <cell r="AF2111">
            <v>0.25</v>
          </cell>
          <cell r="AG2111">
            <v>0.25</v>
          </cell>
          <cell r="AH2111">
            <v>0.25</v>
          </cell>
          <cell r="AI2111">
            <v>0.25</v>
          </cell>
          <cell r="AJ2111">
            <v>0.25</v>
          </cell>
          <cell r="AK2111">
            <v>0.25</v>
          </cell>
          <cell r="AL2111">
            <v>0.25</v>
          </cell>
          <cell r="AM2111">
            <v>0.25</v>
          </cell>
          <cell r="AN2111">
            <v>0.25</v>
          </cell>
          <cell r="AO2111">
            <v>0.25</v>
          </cell>
          <cell r="AP2111">
            <v>0.25</v>
          </cell>
          <cell r="AQ2111">
            <v>0.25</v>
          </cell>
          <cell r="AR2111">
            <v>0.25</v>
          </cell>
          <cell r="AS2111">
            <v>0.25</v>
          </cell>
          <cell r="AT2111">
            <v>-0.04</v>
          </cell>
          <cell r="AU2111">
            <v>0.92</v>
          </cell>
          <cell r="AV2111">
            <v>20</v>
          </cell>
          <cell r="AY2111" t="str">
            <v/>
          </cell>
          <cell r="AZ2111">
            <v>0.25</v>
          </cell>
          <cell r="BA2111">
            <v>0.25</v>
          </cell>
        </row>
        <row r="2112">
          <cell r="A2112" t="str">
            <v>ROSALIA LOFFREDO</v>
          </cell>
          <cell r="D2112" t="str">
            <v xml:space="preserve">VIA ANGELO SECCHI, 10 F </v>
          </cell>
          <cell r="E2112" t="str">
            <v>42021</v>
          </cell>
          <cell r="F2112" t="str">
            <v>BIBBIANO</v>
          </cell>
          <cell r="G2112" t="str">
            <v>RE</v>
          </cell>
          <cell r="H2112" t="str">
            <v>ITALIA</v>
          </cell>
          <cell r="J2112" t="str">
            <v>02176310353</v>
          </cell>
          <cell r="K2112" t="str">
            <v>YRXHCLN</v>
          </cell>
          <cell r="M2112" t="str">
            <v>UFFICIO ACQUISTI</v>
          </cell>
          <cell r="N2112" t="str">
            <v>0522 882856</v>
          </cell>
          <cell r="O2112" t="str">
            <v>320 8299853</v>
          </cell>
          <cell r="P2112" t="str">
            <v>loffredopf@gmail.com</v>
          </cell>
          <cell r="R2112" t="str">
            <v>BONIFICO BANCARIO, ALLA DATA DELLA NOSTRA CONFERMA D'ORDINE</v>
          </cell>
          <cell r="X2112">
            <v>0.25</v>
          </cell>
          <cell r="Y2112">
            <v>-0.04</v>
          </cell>
          <cell r="AB2112">
            <v>0.25</v>
          </cell>
          <cell r="AC2112">
            <v>0.25</v>
          </cell>
          <cell r="AD2112">
            <v>0.25</v>
          </cell>
          <cell r="AE2112">
            <v>0.25</v>
          </cell>
          <cell r="AF2112">
            <v>0.25</v>
          </cell>
          <cell r="AG2112">
            <v>0.25</v>
          </cell>
          <cell r="AH2112">
            <v>0.25</v>
          </cell>
          <cell r="AI2112">
            <v>0.25</v>
          </cell>
          <cell r="AJ2112">
            <v>0.25</v>
          </cell>
          <cell r="AK2112">
            <v>0.25</v>
          </cell>
          <cell r="AL2112">
            <v>0.25</v>
          </cell>
          <cell r="AM2112">
            <v>0.25</v>
          </cell>
          <cell r="AN2112">
            <v>0.25</v>
          </cell>
          <cell r="AO2112">
            <v>0.25</v>
          </cell>
          <cell r="AP2112">
            <v>0.25</v>
          </cell>
          <cell r="AQ2112">
            <v>0.25</v>
          </cell>
          <cell r="AR2112">
            <v>0.25</v>
          </cell>
          <cell r="AS2112">
            <v>0.25</v>
          </cell>
          <cell r="AT2112">
            <v>-0.04</v>
          </cell>
          <cell r="AU2112">
            <v>0.92</v>
          </cell>
          <cell r="AV2112">
            <v>20</v>
          </cell>
          <cell r="AY2112" t="str">
            <v/>
          </cell>
          <cell r="AZ2112">
            <v>0.25</v>
          </cell>
          <cell r="BA2112">
            <v>0.25</v>
          </cell>
        </row>
        <row r="2113">
          <cell r="A2113" t="str">
            <v>ROSATI PARQUET</v>
          </cell>
          <cell r="D2113" t="str">
            <v>VIA DELLE VALLI, 5</v>
          </cell>
          <cell r="E2113" t="str">
            <v>00199</v>
          </cell>
          <cell r="F2113" t="str">
            <v>ROMA</v>
          </cell>
          <cell r="G2113" t="str">
            <v>RM</v>
          </cell>
          <cell r="H2113" t="str">
            <v>ITALIA</v>
          </cell>
          <cell r="M2113" t="str">
            <v>UFFICIO ACQUISTI</v>
          </cell>
          <cell r="O2113" t="str">
            <v>393 9302995</v>
          </cell>
          <cell r="P2113" t="str">
            <v>info@rosatiparquet.com</v>
          </cell>
          <cell r="R2113" t="str">
            <v>BONIFICO BANCARIO, ALLA DATA DELLA NOSTRA CONFERMA D'ORDINE</v>
          </cell>
          <cell r="X2113">
            <v>0.25</v>
          </cell>
          <cell r="Y2113">
            <v>-0.04</v>
          </cell>
          <cell r="AB2113">
            <v>0.25</v>
          </cell>
          <cell r="AC2113">
            <v>0.25</v>
          </cell>
          <cell r="AD2113">
            <v>0.25</v>
          </cell>
          <cell r="AE2113">
            <v>0.25</v>
          </cell>
          <cell r="AF2113">
            <v>0.25</v>
          </cell>
          <cell r="AG2113">
            <v>0.25</v>
          </cell>
          <cell r="AH2113">
            <v>0.25</v>
          </cell>
          <cell r="AI2113">
            <v>0.25</v>
          </cell>
          <cell r="AJ2113">
            <v>0.25</v>
          </cell>
          <cell r="AK2113">
            <v>0.25</v>
          </cell>
          <cell r="AL2113">
            <v>0.25</v>
          </cell>
          <cell r="AM2113">
            <v>0.25</v>
          </cell>
          <cell r="AN2113">
            <v>0.25</v>
          </cell>
          <cell r="AO2113">
            <v>0.25</v>
          </cell>
          <cell r="AP2113">
            <v>0.25</v>
          </cell>
          <cell r="AQ2113">
            <v>0.25</v>
          </cell>
          <cell r="AR2113">
            <v>0.25</v>
          </cell>
          <cell r="AS2113">
            <v>0.25</v>
          </cell>
          <cell r="AT2113">
            <v>-0.04</v>
          </cell>
          <cell r="AU2113">
            <v>0.92</v>
          </cell>
          <cell r="AV2113">
            <v>20</v>
          </cell>
          <cell r="AZ2113">
            <v>0.25</v>
          </cell>
          <cell r="BA2113">
            <v>0.25</v>
          </cell>
        </row>
        <row r="2114">
          <cell r="A2114" t="str">
            <v>ROSSATO REMIGIO</v>
          </cell>
          <cell r="D2114" t="str">
            <v>VIA FERRO 28</v>
          </cell>
          <cell r="E2114" t="str">
            <v>30174</v>
          </cell>
          <cell r="F2114" t="str">
            <v>MESTRE</v>
          </cell>
          <cell r="G2114" t="str">
            <v>VE</v>
          </cell>
          <cell r="H2114" t="str">
            <v>ITALIA</v>
          </cell>
          <cell r="J2114" t="str">
            <v>01846490272</v>
          </cell>
          <cell r="M2114" t="str">
            <v>UFFICIO ACQUISTI</v>
          </cell>
          <cell r="N2114" t="str">
            <v>041 988719</v>
          </cell>
          <cell r="O2114" t="str">
            <v>338 6807130</v>
          </cell>
          <cell r="P2114" t="str">
            <v>rossatoremigio@yahoo.it</v>
          </cell>
          <cell r="R2114" t="str">
            <v>BONIFICO BANCARIO, ALLA DATA DELLA NOSTRA CONFERMA D'ORDINE</v>
          </cell>
          <cell r="X2114">
            <v>0.25</v>
          </cell>
          <cell r="Y2114">
            <v>-0.04</v>
          </cell>
          <cell r="AB2114">
            <v>0.25</v>
          </cell>
          <cell r="AC2114">
            <v>0.25</v>
          </cell>
          <cell r="AD2114">
            <v>0.25</v>
          </cell>
          <cell r="AE2114">
            <v>0.25</v>
          </cell>
          <cell r="AF2114">
            <v>0.25</v>
          </cell>
          <cell r="AG2114">
            <v>0.25</v>
          </cell>
          <cell r="AH2114">
            <v>0.25</v>
          </cell>
          <cell r="AI2114">
            <v>0.25</v>
          </cell>
          <cell r="AJ2114">
            <v>0.25</v>
          </cell>
          <cell r="AK2114">
            <v>0.25</v>
          </cell>
          <cell r="AL2114">
            <v>0.25</v>
          </cell>
          <cell r="AM2114">
            <v>0.25</v>
          </cell>
          <cell r="AN2114">
            <v>0.25</v>
          </cell>
          <cell r="AO2114">
            <v>0.25</v>
          </cell>
          <cell r="AP2114">
            <v>0.25</v>
          </cell>
          <cell r="AQ2114">
            <v>0.25</v>
          </cell>
          <cell r="AR2114">
            <v>0.25</v>
          </cell>
          <cell r="AS2114">
            <v>0.25</v>
          </cell>
          <cell r="AT2114">
            <v>-0.04</v>
          </cell>
          <cell r="AU2114">
            <v>0.92</v>
          </cell>
          <cell r="AV2114">
            <v>20</v>
          </cell>
          <cell r="AY2114" t="str">
            <v/>
          </cell>
          <cell r="AZ2114">
            <v>0.25</v>
          </cell>
          <cell r="BA2114">
            <v>0.25</v>
          </cell>
        </row>
        <row r="2115">
          <cell r="A2115" t="str">
            <v>ROSSI CASA SRL</v>
          </cell>
          <cell r="D2115" t="str">
            <v>CORSO COBIANCHI, 9</v>
          </cell>
          <cell r="E2115">
            <v>28921</v>
          </cell>
          <cell r="F2115" t="str">
            <v>VERBANIA INTRA</v>
          </cell>
          <cell r="G2115" t="str">
            <v>VB</v>
          </cell>
          <cell r="H2115" t="str">
            <v>ITALIA</v>
          </cell>
          <cell r="I2115" t="str">
            <v>00195990031</v>
          </cell>
          <cell r="J2115" t="str">
            <v>00195990031</v>
          </cell>
          <cell r="M2115" t="str">
            <v>UFFICIO ACQUISTI</v>
          </cell>
          <cell r="N2115" t="str">
            <v>0323 497315</v>
          </cell>
          <cell r="P2115" t="str">
            <v>rossicasa.verbania@rossicasa.eu</v>
          </cell>
          <cell r="R2115" t="str">
            <v>BONIFICO BANCARIO, ALLA DATA DELLA NOSTRA CONFERMA D'ORDINE</v>
          </cell>
          <cell r="X2115">
            <v>0.25</v>
          </cell>
          <cell r="Y2115">
            <v>-0.04</v>
          </cell>
          <cell r="AB2115">
            <v>0.25</v>
          </cell>
          <cell r="AC2115">
            <v>0.25</v>
          </cell>
          <cell r="AD2115">
            <v>0.25</v>
          </cell>
          <cell r="AE2115">
            <v>0.25</v>
          </cell>
          <cell r="AF2115">
            <v>0.25</v>
          </cell>
          <cell r="AG2115">
            <v>0.25</v>
          </cell>
          <cell r="AH2115">
            <v>0.25</v>
          </cell>
          <cell r="AI2115">
            <v>0.25</v>
          </cell>
          <cell r="AJ2115">
            <v>0.25</v>
          </cell>
          <cell r="AK2115">
            <v>0.25</v>
          </cell>
          <cell r="AL2115">
            <v>0.25</v>
          </cell>
          <cell r="AM2115">
            <v>0.25</v>
          </cell>
          <cell r="AN2115">
            <v>0.25</v>
          </cell>
          <cell r="AO2115">
            <v>0.25</v>
          </cell>
          <cell r="AP2115">
            <v>0.25</v>
          </cell>
          <cell r="AQ2115">
            <v>0.25</v>
          </cell>
          <cell r="AR2115">
            <v>0.25</v>
          </cell>
          <cell r="AS2115">
            <v>0.25</v>
          </cell>
          <cell r="AT2115">
            <v>-0.04</v>
          </cell>
          <cell r="AU2115">
            <v>0.92</v>
          </cell>
          <cell r="AV2115">
            <v>20</v>
          </cell>
          <cell r="AZ2115">
            <v>0.25</v>
          </cell>
          <cell r="BA2115">
            <v>0.25</v>
          </cell>
        </row>
        <row r="2116">
          <cell r="A2116" t="str">
            <v>ROSSI RICCARDO</v>
          </cell>
          <cell r="D2116" t="str">
            <v>VIA EMILIA ROMAGNA, 32 Z.I. GELLO</v>
          </cell>
          <cell r="E2116" t="str">
            <v>56025</v>
          </cell>
          <cell r="F2116" t="str">
            <v>PONTEDERA</v>
          </cell>
          <cell r="G2116" t="str">
            <v>PI</v>
          </cell>
          <cell r="H2116" t="str">
            <v>ITALIA</v>
          </cell>
          <cell r="J2116" t="str">
            <v>01586730507</v>
          </cell>
          <cell r="M2116" t="str">
            <v>UFFICIO ACQUISTI</v>
          </cell>
          <cell r="N2116" t="str">
            <v>0587 291026</v>
          </cell>
          <cell r="O2116" t="str">
            <v>335 5484263</v>
          </cell>
          <cell r="R2116" t="str">
            <v>BONIFICO BANCARIO, ALLA DATA DELLA NOSTRA CONFERMA D'ORDINE</v>
          </cell>
          <cell r="X2116">
            <v>0.2</v>
          </cell>
          <cell r="Y2116">
            <v>-0.04</v>
          </cell>
          <cell r="AB2116">
            <v>0.2</v>
          </cell>
          <cell r="AC2116">
            <v>0.2</v>
          </cell>
          <cell r="AD2116">
            <v>0.2</v>
          </cell>
          <cell r="AE2116">
            <v>0.2</v>
          </cell>
          <cell r="AF2116">
            <v>0.2</v>
          </cell>
          <cell r="AG2116">
            <v>0.2</v>
          </cell>
          <cell r="AH2116">
            <v>0.2</v>
          </cell>
          <cell r="AI2116">
            <v>0.2</v>
          </cell>
          <cell r="AJ2116">
            <v>0.2</v>
          </cell>
          <cell r="AK2116">
            <v>0.2</v>
          </cell>
          <cell r="AL2116">
            <v>0.2</v>
          </cell>
          <cell r="AM2116">
            <v>0.2</v>
          </cell>
          <cell r="AN2116">
            <v>0.2</v>
          </cell>
          <cell r="AO2116">
            <v>0.2</v>
          </cell>
          <cell r="AP2116">
            <v>0.2</v>
          </cell>
          <cell r="AQ2116">
            <v>0.2</v>
          </cell>
          <cell r="AR2116">
            <v>0.2</v>
          </cell>
          <cell r="AS2116">
            <v>0.2</v>
          </cell>
          <cell r="AT2116">
            <v>-0.04</v>
          </cell>
          <cell r="AU2116">
            <v>0.92</v>
          </cell>
          <cell r="AV2116">
            <v>20</v>
          </cell>
          <cell r="AY2116" t="str">
            <v/>
          </cell>
          <cell r="AZ2116">
            <v>0.2</v>
          </cell>
          <cell r="BA2116">
            <v>0.2</v>
          </cell>
        </row>
        <row r="2117">
          <cell r="A2117" t="str">
            <v>ROSSI TECH</v>
          </cell>
          <cell r="D2117" t="str">
            <v>VIA DISMANO, 393</v>
          </cell>
          <cell r="E2117" t="str">
            <v>47522</v>
          </cell>
          <cell r="F2117" t="str">
            <v>CESENA</v>
          </cell>
          <cell r="G2117" t="str">
            <v>FC</v>
          </cell>
          <cell r="H2117" t="str">
            <v>ITALIA</v>
          </cell>
          <cell r="I2117" t="str">
            <v>RSSFRZ66B10C573Y</v>
          </cell>
          <cell r="J2117" t="str">
            <v>01970030407</v>
          </cell>
          <cell r="K2117" t="str">
            <v>TULURSB</v>
          </cell>
          <cell r="M2117" t="str">
            <v>UFFICIO ACQUISTI</v>
          </cell>
          <cell r="N2117" t="str">
            <v>0547 335065</v>
          </cell>
          <cell r="O2117" t="str">
            <v>335 7111081 ROSSI FABRIZIO</v>
          </cell>
          <cell r="P2117" t="str">
            <v>commerciale@rossi-tech.it</v>
          </cell>
          <cell r="R2117" t="str">
            <v>BONIFICO BANCARIO, ALLA DATA DELLA NOSTRA CONFERMA D'ORDINE</v>
          </cell>
          <cell r="X2117">
            <v>0.25</v>
          </cell>
          <cell r="Y2117">
            <v>-0.04</v>
          </cell>
          <cell r="AB2117">
            <v>0.25</v>
          </cell>
          <cell r="AC2117">
            <v>0.25</v>
          </cell>
          <cell r="AD2117">
            <v>0.25</v>
          </cell>
          <cell r="AE2117">
            <v>0.25</v>
          </cell>
          <cell r="AF2117">
            <v>0.25</v>
          </cell>
          <cell r="AG2117">
            <v>0.25</v>
          </cell>
          <cell r="AH2117">
            <v>0.25</v>
          </cell>
          <cell r="AI2117">
            <v>0.25</v>
          </cell>
          <cell r="AJ2117">
            <v>0.25</v>
          </cell>
          <cell r="AK2117">
            <v>0.25</v>
          </cell>
          <cell r="AL2117">
            <v>0.25</v>
          </cell>
          <cell r="AM2117">
            <v>0.25</v>
          </cell>
          <cell r="AN2117">
            <v>0.25</v>
          </cell>
          <cell r="AO2117">
            <v>0.25</v>
          </cell>
          <cell r="AP2117">
            <v>0.25</v>
          </cell>
          <cell r="AQ2117">
            <v>0.25</v>
          </cell>
          <cell r="AR2117">
            <v>0.25</v>
          </cell>
          <cell r="AS2117">
            <v>0.25</v>
          </cell>
          <cell r="AT2117">
            <v>-0.04</v>
          </cell>
          <cell r="AU2117">
            <v>0.92</v>
          </cell>
          <cell r="AV2117">
            <v>20</v>
          </cell>
          <cell r="AZ2117">
            <v>0.25</v>
          </cell>
          <cell r="BA2117">
            <v>0.25</v>
          </cell>
        </row>
        <row r="2118">
          <cell r="A2118" t="str">
            <v>ROSSIDUE NORD</v>
          </cell>
          <cell r="D2118" t="str">
            <v>CORSO DELLA CERAMICA, 56 C</v>
          </cell>
          <cell r="E2118">
            <v>36063</v>
          </cell>
          <cell r="F2118" t="str">
            <v>MAROSTICA</v>
          </cell>
          <cell r="G2118" t="str">
            <v>VI</v>
          </cell>
          <cell r="H2118" t="str">
            <v>ITALIA</v>
          </cell>
          <cell r="J2118" t="str">
            <v>00439860248</v>
          </cell>
          <cell r="M2118" t="str">
            <v>UFFICIO ACQUISTI</v>
          </cell>
          <cell r="N2118" t="str">
            <v>0424 470563</v>
          </cell>
          <cell r="P2118" t="str">
            <v>info@rossiduenord.it</v>
          </cell>
          <cell r="R2118" t="str">
            <v>BONIFICO BANCARIO, ALLA DATA DELLA NOSTRA CONFERMA D'ORDINE</v>
          </cell>
          <cell r="X2118">
            <v>0.25</v>
          </cell>
          <cell r="Y2118">
            <v>-0.04</v>
          </cell>
          <cell r="AB2118">
            <v>0.25</v>
          </cell>
          <cell r="AC2118">
            <v>0.25</v>
          </cell>
          <cell r="AD2118">
            <v>0.25</v>
          </cell>
          <cell r="AE2118">
            <v>0.25</v>
          </cell>
          <cell r="AF2118">
            <v>0.25</v>
          </cell>
          <cell r="AG2118">
            <v>0.25</v>
          </cell>
          <cell r="AH2118">
            <v>0.25</v>
          </cell>
          <cell r="AI2118">
            <v>0.25</v>
          </cell>
          <cell r="AJ2118">
            <v>0.25</v>
          </cell>
          <cell r="AK2118">
            <v>0.25</v>
          </cell>
          <cell r="AL2118">
            <v>0.25</v>
          </cell>
          <cell r="AM2118">
            <v>0.25</v>
          </cell>
          <cell r="AN2118">
            <v>0.25</v>
          </cell>
          <cell r="AO2118">
            <v>0.25</v>
          </cell>
          <cell r="AP2118">
            <v>0.25</v>
          </cell>
          <cell r="AQ2118">
            <v>0.25</v>
          </cell>
          <cell r="AR2118">
            <v>0.25</v>
          </cell>
          <cell r="AS2118">
            <v>0.25</v>
          </cell>
          <cell r="AT2118">
            <v>-0.04</v>
          </cell>
          <cell r="AU2118">
            <v>0.92</v>
          </cell>
          <cell r="AV2118">
            <v>20</v>
          </cell>
          <cell r="AY2118" t="str">
            <v/>
          </cell>
          <cell r="AZ2118">
            <v>0.25</v>
          </cell>
          <cell r="BA2118">
            <v>0.25</v>
          </cell>
        </row>
        <row r="2119">
          <cell r="A2119" t="str">
            <v>RR DI ROVERSI LUCA ARTURO E C SNC</v>
          </cell>
          <cell r="D2119" t="str">
            <v>V.LE DELLE INDUSTRIE 12</v>
          </cell>
          <cell r="E2119" t="str">
            <v>45100</v>
          </cell>
          <cell r="F2119" t="str">
            <v>ROVIGO</v>
          </cell>
          <cell r="G2119" t="str">
            <v>RO</v>
          </cell>
          <cell r="H2119" t="str">
            <v>ITALIA</v>
          </cell>
          <cell r="J2119" t="str">
            <v>00890800265</v>
          </cell>
          <cell r="K2119" t="str">
            <v>M5UXCR1</v>
          </cell>
          <cell r="M2119" t="str">
            <v>UFFICIO ACQUISTI</v>
          </cell>
          <cell r="N2119" t="str">
            <v>0425 474979</v>
          </cell>
          <cell r="O2119" t="str">
            <v>335 0409853</v>
          </cell>
          <cell r="P2119" t="str">
            <v>info@rrserramenti.it</v>
          </cell>
          <cell r="R2119" t="str">
            <v>BONIFICO BANCARIO, ALLA DATA DELLA NOSTRA CONFERMA D'ORDINE</v>
          </cell>
          <cell r="X2119">
            <v>0.25</v>
          </cell>
          <cell r="Y2119">
            <v>-0.04</v>
          </cell>
          <cell r="AB2119">
            <v>0.25</v>
          </cell>
          <cell r="AC2119">
            <v>0.25</v>
          </cell>
          <cell r="AD2119">
            <v>0.25</v>
          </cell>
          <cell r="AE2119">
            <v>0.25</v>
          </cell>
          <cell r="AF2119">
            <v>0.25</v>
          </cell>
          <cell r="AG2119">
            <v>0.25</v>
          </cell>
          <cell r="AH2119">
            <v>0.25</v>
          </cell>
          <cell r="AI2119">
            <v>0.25</v>
          </cell>
          <cell r="AJ2119">
            <v>0.25</v>
          </cell>
          <cell r="AK2119">
            <v>0.25</v>
          </cell>
          <cell r="AL2119">
            <v>0.25</v>
          </cell>
          <cell r="AM2119">
            <v>0.25</v>
          </cell>
          <cell r="AN2119">
            <v>0.25</v>
          </cell>
          <cell r="AO2119">
            <v>0.25</v>
          </cell>
          <cell r="AP2119">
            <v>0.25</v>
          </cell>
          <cell r="AQ2119">
            <v>0.25</v>
          </cell>
          <cell r="AR2119">
            <v>0.25</v>
          </cell>
          <cell r="AS2119">
            <v>0.25</v>
          </cell>
          <cell r="AT2119">
            <v>-0.04</v>
          </cell>
          <cell r="AU2119">
            <v>0.87</v>
          </cell>
          <cell r="AV2119">
            <v>20</v>
          </cell>
          <cell r="AY2119" t="str">
            <v/>
          </cell>
          <cell r="AZ2119">
            <v>0.25</v>
          </cell>
          <cell r="BA2119">
            <v>0.25</v>
          </cell>
        </row>
        <row r="2120">
          <cell r="A2120" t="str">
            <v>RR RIZZO &amp; RIZZO</v>
          </cell>
          <cell r="D2120" t="str">
            <v xml:space="preserve">VIA UNGARETTI, 12 A </v>
          </cell>
          <cell r="E2120" t="str">
            <v>73048</v>
          </cell>
          <cell r="F2120" t="str">
            <v>NARDO'</v>
          </cell>
          <cell r="G2120" t="str">
            <v>LE</v>
          </cell>
          <cell r="H2120" t="str">
            <v>ITALIA</v>
          </cell>
          <cell r="J2120" t="str">
            <v>04811340753</v>
          </cell>
          <cell r="M2120" t="str">
            <v>UFFICIO ACQUISTI</v>
          </cell>
          <cell r="N2120" t="str">
            <v>0833 578546</v>
          </cell>
          <cell r="O2120" t="str">
            <v>320 0780049</v>
          </cell>
          <cell r="P2120" t="str">
            <v>rizzoerizzosrls@pec.it</v>
          </cell>
          <cell r="R2120" t="str">
            <v>BONIFICO BANCARIO, ALLA DATA DELLA NOSTRA CONFERMA D'ORDINE</v>
          </cell>
          <cell r="X2120">
            <v>0.25</v>
          </cell>
          <cell r="Y2120">
            <v>-0.04</v>
          </cell>
          <cell r="AB2120">
            <v>0.25</v>
          </cell>
          <cell r="AC2120">
            <v>0.25</v>
          </cell>
          <cell r="AD2120">
            <v>0.25</v>
          </cell>
          <cell r="AE2120">
            <v>0.25</v>
          </cell>
          <cell r="AF2120">
            <v>0.25</v>
          </cell>
          <cell r="AG2120">
            <v>0.25</v>
          </cell>
          <cell r="AH2120">
            <v>0.25</v>
          </cell>
          <cell r="AI2120">
            <v>0.25</v>
          </cell>
          <cell r="AJ2120">
            <v>0.25</v>
          </cell>
          <cell r="AK2120">
            <v>0.25</v>
          </cell>
          <cell r="AL2120">
            <v>0.25</v>
          </cell>
          <cell r="AM2120">
            <v>0.25</v>
          </cell>
          <cell r="AN2120">
            <v>0.25</v>
          </cell>
          <cell r="AO2120">
            <v>0.25</v>
          </cell>
          <cell r="AP2120">
            <v>0.25</v>
          </cell>
          <cell r="AQ2120">
            <v>0.25</v>
          </cell>
          <cell r="AR2120">
            <v>0.25</v>
          </cell>
          <cell r="AS2120">
            <v>0.25</v>
          </cell>
          <cell r="AT2120">
            <v>-0.04</v>
          </cell>
          <cell r="AU2120">
            <v>0.92</v>
          </cell>
          <cell r="AV2120">
            <v>20</v>
          </cell>
          <cell r="AZ2120">
            <v>0.25</v>
          </cell>
          <cell r="BA2120">
            <v>0.25</v>
          </cell>
        </row>
        <row r="2121">
          <cell r="A2121" t="str">
            <v>RS DI RICCOBONO ROSARIO</v>
          </cell>
          <cell r="D2121" t="str">
            <v>VIA EUROPA, 52 BIS/INT.5</v>
          </cell>
          <cell r="E2121" t="str">
            <v>25038</v>
          </cell>
          <cell r="F2121" t="str">
            <v>ROVATO</v>
          </cell>
          <cell r="G2121" t="str">
            <v>BS</v>
          </cell>
          <cell r="H2121" t="str">
            <v>ITALIA</v>
          </cell>
          <cell r="I2121" t="str">
            <v>RCCRSR90B23D423I</v>
          </cell>
          <cell r="J2121" t="str">
            <v>03129830984</v>
          </cell>
          <cell r="M2121" t="str">
            <v>UFFICIO ACQUISTI</v>
          </cell>
          <cell r="N2121" t="str">
            <v>030 7241602</v>
          </cell>
          <cell r="P2121" t="str">
            <v>info@rs-serramentigroup.com</v>
          </cell>
          <cell r="R2121" t="str">
            <v>BONIFICO BANCARIO, ALLA DATA DELLA NOSTRA CONFERMA D'ORDINE</v>
          </cell>
          <cell r="X2121">
            <v>0.2</v>
          </cell>
          <cell r="Y2121">
            <v>-0.04</v>
          </cell>
          <cell r="AB2121">
            <v>0.2</v>
          </cell>
          <cell r="AC2121">
            <v>0.2</v>
          </cell>
          <cell r="AD2121">
            <v>0.2</v>
          </cell>
          <cell r="AE2121">
            <v>0.2</v>
          </cell>
          <cell r="AF2121">
            <v>0.2</v>
          </cell>
          <cell r="AG2121">
            <v>0.2</v>
          </cell>
          <cell r="AH2121">
            <v>0.2</v>
          </cell>
          <cell r="AI2121">
            <v>0.2</v>
          </cell>
          <cell r="AJ2121">
            <v>0.2</v>
          </cell>
          <cell r="AK2121">
            <v>0.2</v>
          </cell>
          <cell r="AL2121">
            <v>0.2</v>
          </cell>
          <cell r="AM2121">
            <v>0.2</v>
          </cell>
          <cell r="AN2121">
            <v>0.2</v>
          </cell>
          <cell r="AO2121">
            <v>0.2</v>
          </cell>
          <cell r="AP2121">
            <v>0.2</v>
          </cell>
          <cell r="AQ2121">
            <v>0.2</v>
          </cell>
          <cell r="AR2121">
            <v>0.2</v>
          </cell>
          <cell r="AS2121">
            <v>0.2</v>
          </cell>
          <cell r="AT2121">
            <v>-0.04</v>
          </cell>
          <cell r="AU2121">
            <v>0.92</v>
          </cell>
          <cell r="AV2121">
            <v>20</v>
          </cell>
          <cell r="AZ2121">
            <v>0.2</v>
          </cell>
          <cell r="BA2121">
            <v>0.2</v>
          </cell>
        </row>
        <row r="2122">
          <cell r="A2122" t="str">
            <v>RST SNC</v>
          </cell>
          <cell r="D2122" t="str">
            <v>PIAZZALE LIBERTA' 7</v>
          </cell>
          <cell r="F2122" t="str">
            <v>PIACENZA</v>
          </cell>
          <cell r="G2122" t="str">
            <v>PC</v>
          </cell>
          <cell r="H2122" t="str">
            <v>ITALIA</v>
          </cell>
          <cell r="J2122" t="str">
            <v>00351330337</v>
          </cell>
          <cell r="M2122" t="str">
            <v>UFFICIO ACQUISTI</v>
          </cell>
          <cell r="N2122" t="str">
            <v>0523 615835</v>
          </cell>
          <cell r="O2122" t="str">
            <v>335 357867</v>
          </cell>
          <cell r="R2122" t="str">
            <v>BONIFICO BANCARIO, ALLA DATA DELLA NOSTRA CONFERMA D'ORDINE</v>
          </cell>
          <cell r="X2122">
            <v>0.25</v>
          </cell>
          <cell r="Y2122">
            <v>-0.04</v>
          </cell>
          <cell r="AB2122">
            <v>0.25</v>
          </cell>
          <cell r="AC2122">
            <v>0.25</v>
          </cell>
          <cell r="AD2122">
            <v>0.25</v>
          </cell>
          <cell r="AE2122">
            <v>0.25</v>
          </cell>
          <cell r="AF2122">
            <v>0.25</v>
          </cell>
          <cell r="AG2122">
            <v>0.25</v>
          </cell>
          <cell r="AH2122">
            <v>0.25</v>
          </cell>
          <cell r="AI2122">
            <v>0.25</v>
          </cell>
          <cell r="AJ2122">
            <v>0.25</v>
          </cell>
          <cell r="AK2122">
            <v>0.25</v>
          </cell>
          <cell r="AL2122">
            <v>0.25</v>
          </cell>
          <cell r="AM2122">
            <v>0.25</v>
          </cell>
          <cell r="AN2122">
            <v>0.25</v>
          </cell>
          <cell r="AO2122">
            <v>0.25</v>
          </cell>
          <cell r="AP2122">
            <v>0.25</v>
          </cell>
          <cell r="AQ2122">
            <v>0.25</v>
          </cell>
          <cell r="AR2122">
            <v>0.25</v>
          </cell>
          <cell r="AS2122">
            <v>0.25</v>
          </cell>
          <cell r="AT2122">
            <v>-0.04</v>
          </cell>
          <cell r="AU2122">
            <v>0.92</v>
          </cell>
          <cell r="AV2122">
            <v>20</v>
          </cell>
          <cell r="AY2122" t="str">
            <v/>
          </cell>
          <cell r="AZ2122">
            <v>0.25</v>
          </cell>
          <cell r="BA2122">
            <v>0.25</v>
          </cell>
        </row>
        <row r="2123">
          <cell r="A2123" t="str">
            <v>RT FERRAMENTA SRLS</v>
          </cell>
          <cell r="D2123" t="str">
            <v>VIALE G ALBERTI 127</v>
          </cell>
          <cell r="E2123" t="str">
            <v>85055</v>
          </cell>
          <cell r="F2123" t="str">
            <v>PICERNO</v>
          </cell>
          <cell r="G2123" t="str">
            <v>PZ</v>
          </cell>
          <cell r="H2123" t="str">
            <v>ITALIA</v>
          </cell>
          <cell r="J2123" t="str">
            <v>02017590767</v>
          </cell>
          <cell r="M2123" t="str">
            <v>UFFICIO ACQUISTI</v>
          </cell>
          <cell r="N2123" t="str">
            <v>347 9896886</v>
          </cell>
          <cell r="P2123" t="str">
            <v>rtferramenta@libero.it</v>
          </cell>
          <cell r="R2123" t="str">
            <v>BONIFICO BANCARIO, ALLA DATA DELLA NOSTRA CONFERMA D'ORDINE</v>
          </cell>
          <cell r="X2123">
            <v>0.25</v>
          </cell>
          <cell r="Y2123">
            <v>-0.04</v>
          </cell>
          <cell r="AB2123">
            <v>0.25</v>
          </cell>
          <cell r="AC2123">
            <v>0.25</v>
          </cell>
          <cell r="AD2123">
            <v>0.25</v>
          </cell>
          <cell r="AE2123">
            <v>0.25</v>
          </cell>
          <cell r="AF2123">
            <v>0.25</v>
          </cell>
          <cell r="AG2123">
            <v>0.25</v>
          </cell>
          <cell r="AH2123">
            <v>0.25</v>
          </cell>
          <cell r="AI2123">
            <v>0.25</v>
          </cell>
          <cell r="AJ2123">
            <v>0.25</v>
          </cell>
          <cell r="AK2123">
            <v>0.25</v>
          </cell>
          <cell r="AL2123">
            <v>0.25</v>
          </cell>
          <cell r="AM2123">
            <v>0.25</v>
          </cell>
          <cell r="AN2123">
            <v>0.25</v>
          </cell>
          <cell r="AO2123">
            <v>0.25</v>
          </cell>
          <cell r="AP2123">
            <v>0.25</v>
          </cell>
          <cell r="AQ2123">
            <v>0.25</v>
          </cell>
          <cell r="AR2123">
            <v>0.25</v>
          </cell>
          <cell r="AS2123">
            <v>0.25</v>
          </cell>
          <cell r="AT2123">
            <v>-0.04</v>
          </cell>
          <cell r="AU2123">
            <v>0.92</v>
          </cell>
          <cell r="AV2123">
            <v>20</v>
          </cell>
          <cell r="AY2123" t="str">
            <v/>
          </cell>
          <cell r="AZ2123">
            <v>0.25</v>
          </cell>
          <cell r="BA2123">
            <v>0.25</v>
          </cell>
        </row>
        <row r="2124">
          <cell r="A2124" t="str">
            <v>RUARO SERRAMENTI  S.A.S.  DI RUARO DARIO &amp; C.</v>
          </cell>
          <cell r="D2124" t="str">
            <v>VIA LAGO DI VICO, 4</v>
          </cell>
          <cell r="E2124">
            <v>36015</v>
          </cell>
          <cell r="F2124" t="str">
            <v>SCHIO</v>
          </cell>
          <cell r="G2124" t="str">
            <v>VI</v>
          </cell>
          <cell r="H2124" t="str">
            <v>ITALIA</v>
          </cell>
          <cell r="J2124" t="str">
            <v>01292730247</v>
          </cell>
          <cell r="M2124" t="str">
            <v>UFFICIO ACQUISTI</v>
          </cell>
          <cell r="N2124" t="str">
            <v>0445 575004</v>
          </cell>
          <cell r="P2124" t="str">
            <v>info@ruaro.it</v>
          </cell>
          <cell r="R2124" t="str">
            <v>BONIFICO BANCARIO, ALLA DATA DELLA NOSTRA CONFERMA D'ORDINE</v>
          </cell>
          <cell r="X2124">
            <v>0.25</v>
          </cell>
          <cell r="Y2124">
            <v>-0.04</v>
          </cell>
          <cell r="AB2124">
            <v>0.25</v>
          </cell>
          <cell r="AC2124">
            <v>0.25</v>
          </cell>
          <cell r="AD2124">
            <v>0.25</v>
          </cell>
          <cell r="AE2124">
            <v>0.25</v>
          </cell>
          <cell r="AF2124">
            <v>0.25</v>
          </cell>
          <cell r="AG2124">
            <v>0.25</v>
          </cell>
          <cell r="AH2124">
            <v>0.25</v>
          </cell>
          <cell r="AI2124">
            <v>0.25</v>
          </cell>
          <cell r="AJ2124">
            <v>0.25</v>
          </cell>
          <cell r="AK2124">
            <v>0.25</v>
          </cell>
          <cell r="AL2124">
            <v>0.25</v>
          </cell>
          <cell r="AM2124">
            <v>0.25</v>
          </cell>
          <cell r="AN2124">
            <v>0.25</v>
          </cell>
          <cell r="AO2124">
            <v>0.25</v>
          </cell>
          <cell r="AP2124">
            <v>0.25</v>
          </cell>
          <cell r="AQ2124">
            <v>0.25</v>
          </cell>
          <cell r="AR2124">
            <v>0.25</v>
          </cell>
          <cell r="AS2124">
            <v>0.25</v>
          </cell>
          <cell r="AT2124">
            <v>-0.04</v>
          </cell>
          <cell r="AU2124">
            <v>0.92</v>
          </cell>
          <cell r="AV2124">
            <v>20</v>
          </cell>
          <cell r="AY2124" t="str">
            <v/>
          </cell>
          <cell r="AZ2124">
            <v>0.25</v>
          </cell>
          <cell r="BA2124">
            <v>0.25</v>
          </cell>
        </row>
        <row r="2125">
          <cell r="A2125" t="str">
            <v>RUBICONDO PORTE E FINESTRE DAL 1945</v>
          </cell>
          <cell r="D2125" t="str">
            <v>ZONA INDUSTRIALE PIANODARDINE</v>
          </cell>
          <cell r="E2125" t="str">
            <v>83100</v>
          </cell>
          <cell r="F2125" t="str">
            <v>AVELLINO</v>
          </cell>
          <cell r="G2125" t="str">
            <v>AV</v>
          </cell>
          <cell r="H2125" t="str">
            <v>ITALIA</v>
          </cell>
          <cell r="M2125" t="str">
            <v>UFFICIO ACQUISTI</v>
          </cell>
          <cell r="N2125" t="str">
            <v>0825 626138</v>
          </cell>
          <cell r="P2125" t="str">
            <v>info@rubicondo.it</v>
          </cell>
          <cell r="R2125" t="str">
            <v>BONIFICO BANCARIO, ALLA DATA DELLA NOSTRA CONFERMA D'ORDINE</v>
          </cell>
          <cell r="X2125">
            <v>0.25</v>
          </cell>
          <cell r="Y2125">
            <v>-0.04</v>
          </cell>
          <cell r="AB2125">
            <v>0.25</v>
          </cell>
          <cell r="AC2125">
            <v>0.25</v>
          </cell>
          <cell r="AD2125">
            <v>0.25</v>
          </cell>
          <cell r="AE2125">
            <v>0.25</v>
          </cell>
          <cell r="AF2125">
            <v>0.25</v>
          </cell>
          <cell r="AG2125">
            <v>0.25</v>
          </cell>
          <cell r="AH2125">
            <v>0.25</v>
          </cell>
          <cell r="AI2125">
            <v>0.25</v>
          </cell>
          <cell r="AJ2125">
            <v>0.25</v>
          </cell>
          <cell r="AK2125">
            <v>0.25</v>
          </cell>
          <cell r="AL2125">
            <v>0.25</v>
          </cell>
          <cell r="AM2125">
            <v>0.25</v>
          </cell>
          <cell r="AN2125">
            <v>0.25</v>
          </cell>
          <cell r="AO2125">
            <v>0.25</v>
          </cell>
          <cell r="AP2125">
            <v>0.25</v>
          </cell>
          <cell r="AQ2125">
            <v>0.25</v>
          </cell>
          <cell r="AR2125">
            <v>0.25</v>
          </cell>
          <cell r="AS2125">
            <v>0.25</v>
          </cell>
          <cell r="AT2125">
            <v>-0.04</v>
          </cell>
          <cell r="AU2125">
            <v>0.92</v>
          </cell>
          <cell r="AV2125">
            <v>20</v>
          </cell>
          <cell r="AY2125" t="str">
            <v/>
          </cell>
          <cell r="AZ2125">
            <v>0.25</v>
          </cell>
          <cell r="BA2125">
            <v>0.25</v>
          </cell>
        </row>
        <row r="2126">
          <cell r="A2126" t="str">
            <v>RUBIERA SERRAMENTI</v>
          </cell>
          <cell r="D2126" t="str">
            <v>VIA LA MALFAUGO, 9</v>
          </cell>
          <cell r="E2126" t="str">
            <v>42048</v>
          </cell>
          <cell r="F2126" t="str">
            <v>RUBIERA</v>
          </cell>
          <cell r="G2126" t="str">
            <v>RE</v>
          </cell>
          <cell r="H2126" t="str">
            <v>ITALIA</v>
          </cell>
          <cell r="J2126" t="str">
            <v>02593810357</v>
          </cell>
          <cell r="M2126" t="str">
            <v>UFFICIO ACQUISTI</v>
          </cell>
          <cell r="O2126" t="str">
            <v>338 7281652</v>
          </cell>
          <cell r="P2126" t="str">
            <v>rubiera.serramenti@gmail.com</v>
          </cell>
          <cell r="R2126" t="str">
            <v>BONIFICO BANCARIO, ALLA DATA DELLA NOSTRA CONFERMA D'ORDINE</v>
          </cell>
          <cell r="X2126">
            <v>0.2</v>
          </cell>
          <cell r="Y2126">
            <v>-0.04</v>
          </cell>
          <cell r="AB2126">
            <v>0.2</v>
          </cell>
          <cell r="AC2126">
            <v>0.2</v>
          </cell>
          <cell r="AD2126">
            <v>0.2</v>
          </cell>
          <cell r="AE2126">
            <v>0.2</v>
          </cell>
          <cell r="AF2126">
            <v>0.2</v>
          </cell>
          <cell r="AG2126">
            <v>0.2</v>
          </cell>
          <cell r="AH2126">
            <v>0.2</v>
          </cell>
          <cell r="AI2126">
            <v>0.2</v>
          </cell>
          <cell r="AJ2126">
            <v>0.2</v>
          </cell>
          <cell r="AK2126">
            <v>0.2</v>
          </cell>
          <cell r="AL2126">
            <v>0.2</v>
          </cell>
          <cell r="AM2126">
            <v>0.2</v>
          </cell>
          <cell r="AN2126">
            <v>0.2</v>
          </cell>
          <cell r="AO2126">
            <v>0.2</v>
          </cell>
          <cell r="AP2126">
            <v>0.2</v>
          </cell>
          <cell r="AQ2126">
            <v>0.2</v>
          </cell>
          <cell r="AR2126">
            <v>0.2</v>
          </cell>
          <cell r="AS2126">
            <v>0.2</v>
          </cell>
          <cell r="AT2126">
            <v>-0.04</v>
          </cell>
          <cell r="AU2126">
            <v>0.92</v>
          </cell>
          <cell r="AV2126">
            <v>20</v>
          </cell>
          <cell r="AZ2126">
            <v>0.2</v>
          </cell>
          <cell r="BA2126">
            <v>0.2</v>
          </cell>
        </row>
        <row r="2127">
          <cell r="A2127" t="str">
            <v>RUDI MUSETTI INFISSI</v>
          </cell>
          <cell r="D2127" t="str">
            <v>VIA MUCCINI 153</v>
          </cell>
          <cell r="E2127" t="str">
            <v>19038</v>
          </cell>
          <cell r="F2127" t="str">
            <v>SARZANA</v>
          </cell>
          <cell r="G2127" t="str">
            <v>SP</v>
          </cell>
          <cell r="H2127" t="str">
            <v>ITALIA</v>
          </cell>
          <cell r="J2127" t="str">
            <v>01437980111</v>
          </cell>
          <cell r="K2127" t="str">
            <v>C3UCNRB</v>
          </cell>
          <cell r="M2127" t="str">
            <v>SIG. MUSETTI</v>
          </cell>
          <cell r="N2127" t="str">
            <v>0187 620800</v>
          </cell>
          <cell r="P2127" t="str">
            <v>musetti.rudi@libero.it</v>
          </cell>
          <cell r="R2127" t="str">
            <v>BONIFICO BANCARIO, ALLA DATA DELLA NOSTRA CONFERMA D'ORDINE</v>
          </cell>
          <cell r="X2127">
            <v>0.25</v>
          </cell>
          <cell r="Y2127">
            <v>-0.04</v>
          </cell>
          <cell r="AB2127">
            <v>0.25</v>
          </cell>
          <cell r="AC2127">
            <v>0.25</v>
          </cell>
          <cell r="AD2127">
            <v>0.25</v>
          </cell>
          <cell r="AE2127">
            <v>0.25</v>
          </cell>
          <cell r="AF2127">
            <v>0.25</v>
          </cell>
          <cell r="AG2127">
            <v>0.25</v>
          </cell>
          <cell r="AH2127">
            <v>0.25</v>
          </cell>
          <cell r="AI2127">
            <v>0.25</v>
          </cell>
          <cell r="AJ2127">
            <v>0.25</v>
          </cell>
          <cell r="AK2127">
            <v>0.25</v>
          </cell>
          <cell r="AL2127">
            <v>0.25</v>
          </cell>
          <cell r="AM2127">
            <v>0.25</v>
          </cell>
          <cell r="AN2127">
            <v>0.25</v>
          </cell>
          <cell r="AO2127">
            <v>0.25</v>
          </cell>
          <cell r="AP2127">
            <v>0.25</v>
          </cell>
          <cell r="AQ2127">
            <v>0.25</v>
          </cell>
          <cell r="AR2127">
            <v>0.25</v>
          </cell>
          <cell r="AS2127">
            <v>0.25</v>
          </cell>
          <cell r="AT2127">
            <v>-0.04</v>
          </cell>
          <cell r="AU2127">
            <v>0.92</v>
          </cell>
          <cell r="AV2127">
            <v>20</v>
          </cell>
          <cell r="AY2127" t="str">
            <v/>
          </cell>
          <cell r="AZ2127">
            <v>0.25</v>
          </cell>
          <cell r="BA2127">
            <v>0.25</v>
          </cell>
        </row>
        <row r="2128">
          <cell r="A2128" t="str">
            <v>RUDY MARIA MURGIA</v>
          </cell>
          <cell r="B2128" t="str">
            <v>MARCO UCCHEDDU</v>
          </cell>
          <cell r="D2128" t="str">
            <v>S.S.EX 131-KM 12</v>
          </cell>
          <cell r="E2128" t="str">
            <v>09028</v>
          </cell>
          <cell r="F2128" t="str">
            <v>SESTU</v>
          </cell>
          <cell r="G2128" t="str">
            <v>CA</v>
          </cell>
          <cell r="H2128" t="str">
            <v>ITALIA</v>
          </cell>
          <cell r="J2128" t="str">
            <v>01660830926</v>
          </cell>
          <cell r="M2128" t="str">
            <v>UFFICIO ACQUISTI</v>
          </cell>
          <cell r="N2128" t="str">
            <v>070 22088</v>
          </cell>
          <cell r="P2128" t="str">
            <v>marco@rudymariamurgia.com</v>
          </cell>
          <cell r="R2128" t="str">
            <v>BONIFICO BANCARIO, ALLA DATA DELLA NOSTRA CONFERMA D'ORDINE</v>
          </cell>
          <cell r="X2128">
            <v>0.15</v>
          </cell>
          <cell r="Y2128">
            <v>-0.04</v>
          </cell>
          <cell r="AB2128">
            <v>0.15</v>
          </cell>
          <cell r="AC2128">
            <v>0.15</v>
          </cell>
          <cell r="AD2128">
            <v>0.15</v>
          </cell>
          <cell r="AE2128">
            <v>0.15</v>
          </cell>
          <cell r="AF2128">
            <v>0.15</v>
          </cell>
          <cell r="AG2128">
            <v>0.15</v>
          </cell>
          <cell r="AH2128">
            <v>0.15</v>
          </cell>
          <cell r="AI2128">
            <v>0.15</v>
          </cell>
          <cell r="AJ2128">
            <v>0.15</v>
          </cell>
          <cell r="AK2128">
            <v>0.15</v>
          </cell>
          <cell r="AL2128">
            <v>0.15</v>
          </cell>
          <cell r="AM2128">
            <v>0.15</v>
          </cell>
          <cell r="AN2128">
            <v>0.15</v>
          </cell>
          <cell r="AO2128">
            <v>0.15</v>
          </cell>
          <cell r="AP2128">
            <v>0.15</v>
          </cell>
          <cell r="AQ2128">
            <v>0.15</v>
          </cell>
          <cell r="AR2128">
            <v>0.15</v>
          </cell>
          <cell r="AS2128">
            <v>0.15</v>
          </cell>
          <cell r="AT2128">
            <v>-0.04</v>
          </cell>
          <cell r="AU2128">
            <v>0.92</v>
          </cell>
          <cell r="AV2128">
            <v>20</v>
          </cell>
          <cell r="AZ2128">
            <v>0.15</v>
          </cell>
          <cell r="BA2128">
            <v>0.15</v>
          </cell>
        </row>
        <row r="2129">
          <cell r="A2129" t="str">
            <v>RUECKSTAUPROFI GMBH E CO.KG</v>
          </cell>
          <cell r="D2129" t="str">
            <v>WESTFALENRING 26</v>
          </cell>
          <cell r="E2129" t="str">
            <v>45739</v>
          </cell>
          <cell r="F2129" t="str">
            <v>OER-ERKENSCHWICK</v>
          </cell>
          <cell r="H2129" t="str">
            <v>GERMANIA</v>
          </cell>
          <cell r="J2129" t="str">
            <v>DE256041011</v>
          </cell>
          <cell r="K2129" t="str">
            <v>XXXXXXX</v>
          </cell>
          <cell r="M2129" t="str">
            <v>UFFICIO ACQUISTI</v>
          </cell>
          <cell r="N2129" t="str">
            <v>+49 236869970</v>
          </cell>
          <cell r="P2129" t="str">
            <v>k.wiethmann@rueckstau.profi.de</v>
          </cell>
          <cell r="R2129" t="str">
            <v>BANKÜBERWEISUNG, AM DATUM UNSERER AUFTRAGSBESTÄTIGUNG</v>
          </cell>
          <cell r="X2129">
            <v>0</v>
          </cell>
          <cell r="AB2129">
            <v>0</v>
          </cell>
          <cell r="AC2129">
            <v>0</v>
          </cell>
          <cell r="AD2129">
            <v>0</v>
          </cell>
          <cell r="AE2129">
            <v>0</v>
          </cell>
          <cell r="AF2129">
            <v>0</v>
          </cell>
          <cell r="AG2129">
            <v>0</v>
          </cell>
          <cell r="AH2129">
            <v>0</v>
          </cell>
          <cell r="AI2129">
            <v>0</v>
          </cell>
          <cell r="AJ2129">
            <v>0</v>
          </cell>
          <cell r="AK2129">
            <v>0</v>
          </cell>
          <cell r="AL2129">
            <v>0</v>
          </cell>
          <cell r="AM2129">
            <v>0</v>
          </cell>
          <cell r="AN2129">
            <v>0</v>
          </cell>
          <cell r="AO2129">
            <v>0</v>
          </cell>
          <cell r="AP2129">
            <v>0</v>
          </cell>
          <cell r="AQ2129">
            <v>0</v>
          </cell>
          <cell r="AR2129">
            <v>0</v>
          </cell>
          <cell r="AS2129">
            <v>0</v>
          </cell>
          <cell r="AU2129">
            <v>0.84</v>
          </cell>
          <cell r="AV2129">
            <v>20</v>
          </cell>
          <cell r="AZ2129">
            <v>0</v>
          </cell>
          <cell r="BA2129">
            <v>0</v>
          </cell>
          <cell r="BF2129" t="str">
            <v>CLICK RAPID con espositore 21/07/2022 - MODERNA con espositore 21/07/2022</v>
          </cell>
        </row>
        <row r="2130">
          <cell r="A2130" t="str">
            <v xml:space="preserve">RUFFINO GROUP </v>
          </cell>
          <cell r="D2130" t="str">
            <v>VIA FRANCESCO CRISPI,  135</v>
          </cell>
          <cell r="E2130">
            <v>19124</v>
          </cell>
          <cell r="F2130" t="str">
            <v>LA SPEZIA</v>
          </cell>
          <cell r="G2130" t="str">
            <v>SP</v>
          </cell>
          <cell r="H2130" t="str">
            <v>ITALIA</v>
          </cell>
          <cell r="J2130" t="str">
            <v>01500270119 </v>
          </cell>
          <cell r="M2130" t="str">
            <v>UFFICIO ACQUISTI</v>
          </cell>
          <cell r="O2130" t="str">
            <v>366 7250681</v>
          </cell>
          <cell r="P2130" t="str">
            <v>f.ruffino@ruffinogroup.it</v>
          </cell>
          <cell r="R2130" t="str">
            <v>BONIFICO BANCARIO, ALLA DATA DELLA NOSTRA CONFERMA D'ORDINE</v>
          </cell>
          <cell r="X2130">
            <v>0.25</v>
          </cell>
          <cell r="Y2130">
            <v>-0.04</v>
          </cell>
          <cell r="AB2130">
            <v>0.25</v>
          </cell>
          <cell r="AC2130">
            <v>0.25</v>
          </cell>
          <cell r="AD2130">
            <v>0.25</v>
          </cell>
          <cell r="AE2130">
            <v>0.25</v>
          </cell>
          <cell r="AF2130">
            <v>0.25</v>
          </cell>
          <cell r="AG2130">
            <v>0.25</v>
          </cell>
          <cell r="AH2130">
            <v>0.25</v>
          </cell>
          <cell r="AI2130">
            <v>0.25</v>
          </cell>
          <cell r="AJ2130">
            <v>0.25</v>
          </cell>
          <cell r="AK2130">
            <v>0.25</v>
          </cell>
          <cell r="AL2130">
            <v>0.25</v>
          </cell>
          <cell r="AM2130">
            <v>0.25</v>
          </cell>
          <cell r="AN2130">
            <v>0.25</v>
          </cell>
          <cell r="AO2130">
            <v>0.25</v>
          </cell>
          <cell r="AP2130">
            <v>0.25</v>
          </cell>
          <cell r="AQ2130">
            <v>0.25</v>
          </cell>
          <cell r="AR2130">
            <v>0.25</v>
          </cell>
          <cell r="AS2130">
            <v>0.25</v>
          </cell>
          <cell r="AT2130">
            <v>-0.04</v>
          </cell>
          <cell r="AU2130">
            <v>0.92</v>
          </cell>
          <cell r="AV2130">
            <v>20</v>
          </cell>
          <cell r="AY2130" t="str">
            <v/>
          </cell>
          <cell r="AZ2130">
            <v>0.25</v>
          </cell>
          <cell r="BA2130">
            <v>0.25</v>
          </cell>
        </row>
        <row r="2131">
          <cell r="A2131" t="str">
            <v>RUGGIERO FALEGNAMERIA</v>
          </cell>
          <cell r="D2131" t="str">
            <v>STRADA DEL PASCOLO 41</v>
          </cell>
          <cell r="E2131" t="str">
            <v>12030</v>
          </cell>
          <cell r="F2131" t="str">
            <v>CARAMAGNA PIEMONTE</v>
          </cell>
          <cell r="G2131" t="str">
            <v>CN</v>
          </cell>
          <cell r="H2131" t="str">
            <v>ITALIA</v>
          </cell>
          <cell r="M2131" t="str">
            <v>UFFICIO ACQUISTI</v>
          </cell>
          <cell r="N2131" t="str">
            <v>0172 89064</v>
          </cell>
          <cell r="O2131" t="str">
            <v>338 3088276</v>
          </cell>
          <cell r="R2131" t="str">
            <v>BONIFICO BANCARIO, ALLA DATA DELLA NOSTRA CONFERMA D'ORDINE</v>
          </cell>
          <cell r="X2131">
            <v>0.25</v>
          </cell>
          <cell r="Y2131">
            <v>-0.04</v>
          </cell>
          <cell r="AB2131">
            <v>0.25</v>
          </cell>
          <cell r="AC2131">
            <v>0.25</v>
          </cell>
          <cell r="AD2131">
            <v>0.25</v>
          </cell>
          <cell r="AE2131">
            <v>0.25</v>
          </cell>
          <cell r="AF2131">
            <v>0.25</v>
          </cell>
          <cell r="AG2131">
            <v>0.25</v>
          </cell>
          <cell r="AH2131">
            <v>0.25</v>
          </cell>
          <cell r="AI2131">
            <v>0.25</v>
          </cell>
          <cell r="AJ2131">
            <v>0.25</v>
          </cell>
          <cell r="AK2131">
            <v>0.25</v>
          </cell>
          <cell r="AL2131">
            <v>0.25</v>
          </cell>
          <cell r="AM2131">
            <v>0.25</v>
          </cell>
          <cell r="AN2131">
            <v>0.25</v>
          </cell>
          <cell r="AO2131">
            <v>0.25</v>
          </cell>
          <cell r="AP2131">
            <v>0.25</v>
          </cell>
          <cell r="AQ2131">
            <v>0.25</v>
          </cell>
          <cell r="AR2131">
            <v>0.25</v>
          </cell>
          <cell r="AS2131">
            <v>0.25</v>
          </cell>
          <cell r="AT2131">
            <v>-0.04</v>
          </cell>
          <cell r="AU2131">
            <v>0.92</v>
          </cell>
          <cell r="AV2131">
            <v>20</v>
          </cell>
          <cell r="AY2131" t="str">
            <v/>
          </cell>
          <cell r="AZ2131">
            <v>0.25</v>
          </cell>
          <cell r="BA2131">
            <v>0.25</v>
          </cell>
        </row>
        <row r="2132">
          <cell r="A2132" t="str">
            <v>S&amp;W SRL</v>
          </cell>
          <cell r="D2132" t="str">
            <v>VIA DANTE ALIGHIERI, 40/a</v>
          </cell>
          <cell r="E2132" t="str">
            <v>24044</v>
          </cell>
          <cell r="F2132" t="str">
            <v>DALMINE</v>
          </cell>
          <cell r="G2132" t="str">
            <v>BG</v>
          </cell>
          <cell r="H2132" t="str">
            <v>ITALIA</v>
          </cell>
          <cell r="M2132" t="str">
            <v>UFFICIO ACQUISTI</v>
          </cell>
          <cell r="N2132" t="str">
            <v>035 19904695</v>
          </cell>
          <cell r="P2132" t="str">
            <v>serrainfissisw@libero.it</v>
          </cell>
          <cell r="R2132" t="str">
            <v>BONIFICO BANCARIO, ALLA DATA DELLA NOSTRA CONFERMA D'ORDINE</v>
          </cell>
          <cell r="X2132">
            <v>0.2</v>
          </cell>
          <cell r="Y2132">
            <v>-0.04</v>
          </cell>
          <cell r="AB2132">
            <v>0.2</v>
          </cell>
          <cell r="AC2132">
            <v>0.2</v>
          </cell>
          <cell r="AD2132">
            <v>0.2</v>
          </cell>
          <cell r="AE2132">
            <v>0.2</v>
          </cell>
          <cell r="AF2132">
            <v>0.2</v>
          </cell>
          <cell r="AG2132">
            <v>0.2</v>
          </cell>
          <cell r="AH2132">
            <v>0.2</v>
          </cell>
          <cell r="AI2132">
            <v>0.2</v>
          </cell>
          <cell r="AJ2132">
            <v>0.2</v>
          </cell>
          <cell r="AK2132">
            <v>0.2</v>
          </cell>
          <cell r="AL2132">
            <v>0.2</v>
          </cell>
          <cell r="AM2132">
            <v>0.2</v>
          </cell>
          <cell r="AN2132">
            <v>0.2</v>
          </cell>
          <cell r="AO2132">
            <v>0.2</v>
          </cell>
          <cell r="AP2132">
            <v>0.2</v>
          </cell>
          <cell r="AQ2132">
            <v>0.2</v>
          </cell>
          <cell r="AR2132">
            <v>0.2</v>
          </cell>
          <cell r="AS2132">
            <v>0.2</v>
          </cell>
          <cell r="AT2132">
            <v>-0.04</v>
          </cell>
          <cell r="AU2132">
            <v>0.92</v>
          </cell>
          <cell r="AV2132">
            <v>20</v>
          </cell>
          <cell r="AZ2132">
            <v>0.2</v>
          </cell>
          <cell r="BA2132">
            <v>0.2</v>
          </cell>
        </row>
        <row r="2133">
          <cell r="A2133" t="str">
            <v>S.A.C.E.SERRAMENTI</v>
          </cell>
          <cell r="D2133" t="str">
            <v>VIA DELLA RESISTENZA, 60 E</v>
          </cell>
          <cell r="E2133">
            <v>20090</v>
          </cell>
          <cell r="F2133" t="str">
            <v>BUCCINASCO</v>
          </cell>
          <cell r="G2133" t="str">
            <v>MI</v>
          </cell>
          <cell r="H2133" t="str">
            <v>ITALIA</v>
          </cell>
          <cell r="J2133" t="str">
            <v>11408700128</v>
          </cell>
          <cell r="M2133" t="str">
            <v>UFFICIO ACQUISTI</v>
          </cell>
          <cell r="N2133" t="str">
            <v>02 45708639</v>
          </cell>
          <cell r="P2133" t="str">
            <v>sace@saceitalia.com - tecnico.m@saceitalia.com</v>
          </cell>
          <cell r="R2133" t="str">
            <v>BONIFICO BANCARIO, ALLA DATA DELLA NOSTRA CONFERMA D'ORDINE</v>
          </cell>
          <cell r="X2133">
            <v>0.25</v>
          </cell>
          <cell r="Y2133">
            <v>-0.04</v>
          </cell>
          <cell r="AB2133">
            <v>0.25</v>
          </cell>
          <cell r="AC2133">
            <v>0.25</v>
          </cell>
          <cell r="AD2133">
            <v>0.25</v>
          </cell>
          <cell r="AE2133">
            <v>0.25</v>
          </cell>
          <cell r="AF2133">
            <v>0.25</v>
          </cell>
          <cell r="AG2133">
            <v>0.25</v>
          </cell>
          <cell r="AH2133">
            <v>0.25</v>
          </cell>
          <cell r="AI2133">
            <v>0.25</v>
          </cell>
          <cell r="AJ2133">
            <v>0.25</v>
          </cell>
          <cell r="AK2133">
            <v>0.25</v>
          </cell>
          <cell r="AL2133">
            <v>0.25</v>
          </cell>
          <cell r="AM2133">
            <v>0.25</v>
          </cell>
          <cell r="AN2133">
            <v>0.25</v>
          </cell>
          <cell r="AO2133">
            <v>0.25</v>
          </cell>
          <cell r="AP2133">
            <v>0.25</v>
          </cell>
          <cell r="AQ2133">
            <v>0.25</v>
          </cell>
          <cell r="AR2133">
            <v>0.25</v>
          </cell>
          <cell r="AS2133">
            <v>0.25</v>
          </cell>
          <cell r="AT2133">
            <v>-0.04</v>
          </cell>
          <cell r="AU2133">
            <v>0.92</v>
          </cell>
          <cell r="AV2133">
            <v>20</v>
          </cell>
          <cell r="AY2133" t="str">
            <v/>
          </cell>
          <cell r="AZ2133">
            <v>0.25</v>
          </cell>
          <cell r="BA2133">
            <v>0.25</v>
          </cell>
        </row>
        <row r="2134">
          <cell r="A2134" t="str">
            <v>S.A.I.M. SRL</v>
          </cell>
          <cell r="B2134" t="str">
            <v>SIMONE MINIGHETTI E LUCA  BIAGIANTI</v>
          </cell>
          <cell r="D2134" t="str">
            <v>VIA ARNO, 79</v>
          </cell>
          <cell r="E2134">
            <v>52043</v>
          </cell>
          <cell r="F2134" t="str">
            <v>CASTIGLIONE FIORENTINO</v>
          </cell>
          <cell r="G2134" t="str">
            <v>AR</v>
          </cell>
          <cell r="H2134" t="str">
            <v>ITALIA</v>
          </cell>
          <cell r="J2134" t="str">
            <v>01050190519</v>
          </cell>
          <cell r="K2134" t="str">
            <v>X2PH38J</v>
          </cell>
          <cell r="M2134" t="str">
            <v>UFFICIO ACQUISTI</v>
          </cell>
          <cell r="N2134" t="str">
            <v>0575 680176</v>
          </cell>
          <cell r="P2134" t="str">
            <v>saimsrl2010@virgilio.it</v>
          </cell>
          <cell r="R2134" t="str">
            <v>BONIFICO BANCARIO, ALLA DATA DELLA NOSTRA CONFERMA D'ORDINE</v>
          </cell>
          <cell r="X2134">
            <v>0.25</v>
          </cell>
          <cell r="Y2134">
            <v>-0.04</v>
          </cell>
          <cell r="AB2134">
            <v>0.25</v>
          </cell>
          <cell r="AC2134">
            <v>0.25</v>
          </cell>
          <cell r="AD2134">
            <v>0.25</v>
          </cell>
          <cell r="AE2134">
            <v>0.25</v>
          </cell>
          <cell r="AF2134">
            <v>0.25</v>
          </cell>
          <cell r="AG2134">
            <v>0.25</v>
          </cell>
          <cell r="AH2134">
            <v>0.25</v>
          </cell>
          <cell r="AI2134">
            <v>0.25</v>
          </cell>
          <cell r="AJ2134">
            <v>0.25</v>
          </cell>
          <cell r="AK2134">
            <v>0.25</v>
          </cell>
          <cell r="AL2134">
            <v>0.25</v>
          </cell>
          <cell r="AM2134">
            <v>0.25</v>
          </cell>
          <cell r="AN2134">
            <v>0.25</v>
          </cell>
          <cell r="AO2134">
            <v>0.25</v>
          </cell>
          <cell r="AP2134">
            <v>0.25</v>
          </cell>
          <cell r="AQ2134">
            <v>0.25</v>
          </cell>
          <cell r="AR2134">
            <v>0.25</v>
          </cell>
          <cell r="AS2134">
            <v>0.25</v>
          </cell>
          <cell r="AT2134">
            <v>-0.04</v>
          </cell>
          <cell r="AU2134">
            <v>0.92</v>
          </cell>
          <cell r="AV2134">
            <v>20</v>
          </cell>
          <cell r="AY2134" t="str">
            <v/>
          </cell>
          <cell r="AZ2134">
            <v>0.25</v>
          </cell>
          <cell r="BA2134">
            <v>0.25</v>
          </cell>
          <cell r="BF2134" t="str">
            <v>CLICK RAPID con carpenteria 18/11/2020</v>
          </cell>
        </row>
        <row r="2135">
          <cell r="A2135" t="str">
            <v>S.A.L.di Scaramuzzino Nicola</v>
          </cell>
          <cell r="D2135" t="str">
            <v>VIA TRENTO, 28</v>
          </cell>
          <cell r="E2135">
            <v>12084</v>
          </cell>
          <cell r="F2135" t="str">
            <v>MONDOVI'</v>
          </cell>
          <cell r="G2135" t="str">
            <v>CN</v>
          </cell>
          <cell r="H2135" t="str">
            <v>ITALIA</v>
          </cell>
          <cell r="J2135" t="str">
            <v>025970043</v>
          </cell>
          <cell r="M2135" t="str">
            <v>UFFICIO ACQUISTI</v>
          </cell>
          <cell r="N2135" t="str">
            <v>0174 551425</v>
          </cell>
          <cell r="O2135" t="str">
            <v>339 5712298</v>
          </cell>
          <cell r="P2135" t="str">
            <v>sal.serramentiscaramuzzino@gmail.com</v>
          </cell>
          <cell r="R2135" t="str">
            <v>BONIFICO BANCARIO, ALLA DATA DELLA NOSTRA CONFERMA D'ORDINE</v>
          </cell>
          <cell r="X2135">
            <v>0.25</v>
          </cell>
          <cell r="Y2135">
            <v>-0.04</v>
          </cell>
          <cell r="AB2135">
            <v>0.25</v>
          </cell>
          <cell r="AC2135">
            <v>0.25</v>
          </cell>
          <cell r="AD2135">
            <v>0.25</v>
          </cell>
          <cell r="AE2135">
            <v>0.25</v>
          </cell>
          <cell r="AF2135">
            <v>0.25</v>
          </cell>
          <cell r="AG2135">
            <v>0.25</v>
          </cell>
          <cell r="AH2135">
            <v>0.25</v>
          </cell>
          <cell r="AI2135">
            <v>0.25</v>
          </cell>
          <cell r="AJ2135">
            <v>0.25</v>
          </cell>
          <cell r="AK2135">
            <v>0.25</v>
          </cell>
          <cell r="AL2135">
            <v>0.25</v>
          </cell>
          <cell r="AM2135">
            <v>0.25</v>
          </cell>
          <cell r="AN2135">
            <v>0.25</v>
          </cell>
          <cell r="AO2135">
            <v>0.25</v>
          </cell>
          <cell r="AP2135">
            <v>0.25</v>
          </cell>
          <cell r="AQ2135">
            <v>0.25</v>
          </cell>
          <cell r="AR2135">
            <v>0.25</v>
          </cell>
          <cell r="AS2135">
            <v>0.25</v>
          </cell>
          <cell r="AT2135">
            <v>-0.04</v>
          </cell>
          <cell r="AU2135">
            <v>0.92</v>
          </cell>
          <cell r="AV2135">
            <v>20</v>
          </cell>
          <cell r="AY2135" t="str">
            <v/>
          </cell>
          <cell r="AZ2135">
            <v>0.25</v>
          </cell>
          <cell r="BA2135">
            <v>0.25</v>
          </cell>
        </row>
        <row r="2136">
          <cell r="A2136" t="str">
            <v>S.A.S. SEDIPEC</v>
          </cell>
          <cell r="B2136" t="str">
            <v>RIVENDITORE JK FLOODING - promo lancio fino genn 2022: 25% moderna + 20% tutti modelli + 35% modi-modu - ATTENZIONE CLIENTE CARICA DIRETTAMENTE! GLI VENGONO ADDEBBITATI SOLO I COSTI DI IMBALLAGGIO AL 6 % COME DA COMUNICAZIONE ANDREA! FARE ATTENZIONE AGLI ORDINI IN CASO VORREBBE LA SPEDIZIONE ORGANIZZATA DA NOI ANDARE A CAMBIARE LA PERCENTUALE NELL'ORDINE ED INSERIRE LA PERCENTUALE DEL 14% !!</v>
          </cell>
          <cell r="D2136" t="str">
            <v>32 RUE DES CHENEAUX</v>
          </cell>
          <cell r="E2136" t="str">
            <v>92330</v>
          </cell>
          <cell r="F2136" t="str">
            <v>SCEAUX</v>
          </cell>
          <cell r="H2136" t="str">
            <v>FRANCIA</v>
          </cell>
          <cell r="J2136" t="str">
            <v>FR30838188258</v>
          </cell>
          <cell r="K2136" t="str">
            <v>XXXXXXX</v>
          </cell>
          <cell r="M2136" t="str">
            <v>UFFICIO ACQUISTI</v>
          </cell>
          <cell r="N2136" t="str">
            <v>+33 7 68 56 31 58</v>
          </cell>
          <cell r="O2136" t="str">
            <v>+33 665 137229</v>
          </cell>
          <cell r="P2136" t="str">
            <v>pierrejean.goupil@sedipec.com</v>
          </cell>
          <cell r="R2136" t="str">
            <v>VIREMENT BANCAIRE, À LA DATE DE NOTRE CONFIRMATION DE COMMANDE</v>
          </cell>
          <cell r="X2136">
            <v>0.2</v>
          </cell>
          <cell r="AB2136">
            <v>0.2</v>
          </cell>
          <cell r="AC2136">
            <v>0.2</v>
          </cell>
          <cell r="AD2136">
            <v>0.2</v>
          </cell>
          <cell r="AE2136">
            <v>0.2</v>
          </cell>
          <cell r="AF2136">
            <v>0.2</v>
          </cell>
          <cell r="AG2136">
            <v>0.2</v>
          </cell>
          <cell r="AH2136">
            <v>0.2</v>
          </cell>
          <cell r="AI2136">
            <v>0.2</v>
          </cell>
          <cell r="AJ2136">
            <v>0.2</v>
          </cell>
          <cell r="AK2136">
            <v>0.25</v>
          </cell>
          <cell r="AL2136">
            <v>0.25</v>
          </cell>
          <cell r="AM2136">
            <v>0.35</v>
          </cell>
          <cell r="AN2136">
            <v>0.4</v>
          </cell>
          <cell r="AO2136">
            <v>0.25</v>
          </cell>
          <cell r="AP2136">
            <v>0.4</v>
          </cell>
          <cell r="AQ2136">
            <v>0.2</v>
          </cell>
          <cell r="AR2136">
            <v>0.2</v>
          </cell>
          <cell r="AS2136">
            <v>0.2</v>
          </cell>
          <cell r="AU2136">
            <v>0.89</v>
          </cell>
          <cell r="AV2136">
            <v>20</v>
          </cell>
          <cell r="AZ2136">
            <v>0.2</v>
          </cell>
          <cell r="BA2136">
            <v>0.2</v>
          </cell>
        </row>
        <row r="2137">
          <cell r="A2137" t="str">
            <v>S.AL.F. SERRAMENTI ALLUMINIO FEY</v>
          </cell>
          <cell r="D2137" t="str">
            <v>STRADALE CIGLIANO, 3</v>
          </cell>
          <cell r="E2137">
            <v>10010</v>
          </cell>
          <cell r="F2137" t="str">
            <v>ALBIANO D'IVREA</v>
          </cell>
          <cell r="G2137" t="str">
            <v>TO</v>
          </cell>
          <cell r="H2137" t="str">
            <v>ITALIA</v>
          </cell>
          <cell r="I2137" t="str">
            <v>04164570014</v>
          </cell>
          <cell r="J2137" t="str">
            <v>04164570014</v>
          </cell>
          <cell r="M2137" t="str">
            <v>UFFICIO ACQUISTI</v>
          </cell>
          <cell r="N2137" t="str">
            <v>0125 59690</v>
          </cell>
          <cell r="P2137" t="str">
            <v>info@serramentifey.it</v>
          </cell>
          <cell r="R2137" t="str">
            <v>BONIFICO BANCARIO, ALLA DATA DELLA NOSTRA CONFERMA D'ORDINE</v>
          </cell>
          <cell r="X2137">
            <v>0.25</v>
          </cell>
          <cell r="Y2137">
            <v>-0.04</v>
          </cell>
          <cell r="AB2137">
            <v>0.25</v>
          </cell>
          <cell r="AC2137">
            <v>0.25</v>
          </cell>
          <cell r="AD2137">
            <v>0.25</v>
          </cell>
          <cell r="AE2137">
            <v>0.25</v>
          </cell>
          <cell r="AF2137">
            <v>0.25</v>
          </cell>
          <cell r="AG2137">
            <v>0.25</v>
          </cell>
          <cell r="AH2137">
            <v>0.25</v>
          </cell>
          <cell r="AI2137">
            <v>0.25</v>
          </cell>
          <cell r="AJ2137">
            <v>0.25</v>
          </cell>
          <cell r="AK2137">
            <v>0.25</v>
          </cell>
          <cell r="AL2137">
            <v>0.25</v>
          </cell>
          <cell r="AM2137">
            <v>0.25</v>
          </cell>
          <cell r="AN2137">
            <v>0.25</v>
          </cell>
          <cell r="AO2137">
            <v>0.25</v>
          </cell>
          <cell r="AP2137">
            <v>0.25</v>
          </cell>
          <cell r="AQ2137">
            <v>0.25</v>
          </cell>
          <cell r="AR2137">
            <v>0.25</v>
          </cell>
          <cell r="AS2137">
            <v>0.25</v>
          </cell>
          <cell r="AT2137">
            <v>-0.04</v>
          </cell>
          <cell r="AU2137">
            <v>0.92</v>
          </cell>
          <cell r="AV2137">
            <v>20</v>
          </cell>
          <cell r="AY2137" t="str">
            <v/>
          </cell>
          <cell r="AZ2137">
            <v>0.25</v>
          </cell>
          <cell r="BA2137">
            <v>0.25</v>
          </cell>
        </row>
        <row r="2138">
          <cell r="A2138" t="str">
            <v>S.B. SERRAMENTI DI SPADAFORA SERENA</v>
          </cell>
          <cell r="D2138" t="str">
            <v>VIA DEL VAPORE 57/B</v>
          </cell>
          <cell r="E2138" t="str">
            <v>15061</v>
          </cell>
          <cell r="F2138" t="str">
            <v>ARQUATA SCRIVIA</v>
          </cell>
          <cell r="G2138" t="str">
            <v>AL</v>
          </cell>
          <cell r="H2138" t="str">
            <v>ITALIA</v>
          </cell>
          <cell r="J2138" t="str">
            <v>01546550060</v>
          </cell>
          <cell r="K2138" t="str">
            <v>W7YVJK9</v>
          </cell>
          <cell r="M2138" t="str">
            <v>UFFICIO ACQUISTI</v>
          </cell>
          <cell r="N2138" t="str">
            <v>0143 635539</v>
          </cell>
          <cell r="O2138" t="str">
            <v>348 8549329</v>
          </cell>
          <cell r="P2138" t="str">
            <v>serena.spadafora94@gmail.com</v>
          </cell>
          <cell r="R2138" t="str">
            <v>BONIFICO BANCARIO, ALLA DATA DELLA NOSTRA CONFERMA D'ORDINE</v>
          </cell>
          <cell r="X2138">
            <v>0.25</v>
          </cell>
          <cell r="Y2138">
            <v>-0.04</v>
          </cell>
          <cell r="AB2138">
            <v>0.25</v>
          </cell>
          <cell r="AC2138">
            <v>0.25</v>
          </cell>
          <cell r="AD2138">
            <v>0.25</v>
          </cell>
          <cell r="AE2138">
            <v>0.25</v>
          </cell>
          <cell r="AF2138">
            <v>0.25</v>
          </cell>
          <cell r="AG2138">
            <v>0.25</v>
          </cell>
          <cell r="AH2138">
            <v>0.25</v>
          </cell>
          <cell r="AI2138">
            <v>0.25</v>
          </cell>
          <cell r="AJ2138">
            <v>0.25</v>
          </cell>
          <cell r="AK2138">
            <v>0.25</v>
          </cell>
          <cell r="AL2138">
            <v>0.25</v>
          </cell>
          <cell r="AM2138">
            <v>0.25</v>
          </cell>
          <cell r="AN2138">
            <v>0.25</v>
          </cell>
          <cell r="AO2138">
            <v>0.25</v>
          </cell>
          <cell r="AP2138">
            <v>0.25</v>
          </cell>
          <cell r="AQ2138">
            <v>0.25</v>
          </cell>
          <cell r="AR2138">
            <v>0.25</v>
          </cell>
          <cell r="AS2138">
            <v>0.25</v>
          </cell>
          <cell r="AT2138">
            <v>-0.04</v>
          </cell>
          <cell r="AU2138">
            <v>0.92</v>
          </cell>
          <cell r="AV2138">
            <v>20</v>
          </cell>
          <cell r="AY2138" t="str">
            <v/>
          </cell>
          <cell r="AZ2138">
            <v>0.25</v>
          </cell>
          <cell r="BA2138">
            <v>0.25</v>
          </cell>
        </row>
        <row r="2139">
          <cell r="A2139" t="str">
            <v>S.C. DI CIVOLI SUSANNA</v>
          </cell>
          <cell r="D2139" t="str">
            <v>P.ZZA A. EINSTEIN 7</v>
          </cell>
          <cell r="E2139">
            <v>59100</v>
          </cell>
          <cell r="F2139" t="str">
            <v>PRATO</v>
          </cell>
          <cell r="G2139" t="str">
            <v>PO</v>
          </cell>
          <cell r="H2139" t="str">
            <v>ITALIA</v>
          </cell>
          <cell r="M2139" t="str">
            <v>UFFICIO ACQUISTI</v>
          </cell>
          <cell r="N2139" t="str">
            <v>0574 580835</v>
          </cell>
          <cell r="O2139" t="str">
            <v>338 4617452</v>
          </cell>
          <cell r="P2139" t="str">
            <v>s.c.dicivoli@gmail.com</v>
          </cell>
          <cell r="R2139" t="str">
            <v>BONIFICO BANCARIO, ALLA DATA DELLA NOSTRA CONFERMA D'ORDINE</v>
          </cell>
          <cell r="X2139">
            <v>0.25</v>
          </cell>
          <cell r="Y2139">
            <v>-0.04</v>
          </cell>
          <cell r="AB2139">
            <v>0.25</v>
          </cell>
          <cell r="AC2139">
            <v>0.25</v>
          </cell>
          <cell r="AD2139">
            <v>0.25</v>
          </cell>
          <cell r="AE2139">
            <v>0.25</v>
          </cell>
          <cell r="AF2139">
            <v>0.25</v>
          </cell>
          <cell r="AG2139">
            <v>0.25</v>
          </cell>
          <cell r="AH2139">
            <v>0.25</v>
          </cell>
          <cell r="AI2139">
            <v>0.25</v>
          </cell>
          <cell r="AJ2139">
            <v>0.25</v>
          </cell>
          <cell r="AK2139">
            <v>0.25</v>
          </cell>
          <cell r="AL2139">
            <v>0.25</v>
          </cell>
          <cell r="AM2139">
            <v>0.25</v>
          </cell>
          <cell r="AN2139">
            <v>0.25</v>
          </cell>
          <cell r="AO2139">
            <v>0.25</v>
          </cell>
          <cell r="AP2139">
            <v>0.25</v>
          </cell>
          <cell r="AQ2139">
            <v>0.25</v>
          </cell>
          <cell r="AR2139">
            <v>0.25</v>
          </cell>
          <cell r="AS2139">
            <v>0.25</v>
          </cell>
          <cell r="AT2139">
            <v>-0.04</v>
          </cell>
          <cell r="AU2139">
            <v>0.92</v>
          </cell>
          <cell r="AV2139">
            <v>20</v>
          </cell>
          <cell r="AY2139" t="str">
            <v/>
          </cell>
          <cell r="AZ2139">
            <v>0.25</v>
          </cell>
          <cell r="BA2139">
            <v>0.25</v>
          </cell>
        </row>
        <row r="2140">
          <cell r="A2140" t="str">
            <v>S.D.M. DI SALVITTI ELEANNA E C. SAS</v>
          </cell>
          <cell r="D2140" t="str">
            <v>VIA STAZIONE, 90A</v>
          </cell>
          <cell r="E2140">
            <v>26013</v>
          </cell>
          <cell r="F2140" t="str">
            <v>CREMA</v>
          </cell>
          <cell r="G2140" t="str">
            <v>CR</v>
          </cell>
          <cell r="H2140" t="str">
            <v>ITALIA</v>
          </cell>
          <cell r="J2140" t="str">
            <v>01493000192</v>
          </cell>
          <cell r="K2140" t="str">
            <v>M5UXCR1</v>
          </cell>
          <cell r="L2140" t="str">
            <v>VIA MONTELLO, 11 - 26013 CREMA - CR PRESSO OFFICINE PAGLIARI CREMA</v>
          </cell>
          <cell r="M2140" t="str">
            <v>UFFICIO ACQUISTI</v>
          </cell>
          <cell r="N2140" t="str">
            <v>0373 474632</v>
          </cell>
          <cell r="P2140" t="str">
            <v>info@portefinestrecrema.com</v>
          </cell>
          <cell r="R2140" t="str">
            <v>BONIFICO BANCARIO, ALLA DATA DELLA NOSTRA CONFERMA D'ORDINE</v>
          </cell>
          <cell r="X2140">
            <v>0.25</v>
          </cell>
          <cell r="Y2140">
            <v>-0.04</v>
          </cell>
          <cell r="AB2140">
            <v>0.25</v>
          </cell>
          <cell r="AC2140">
            <v>0.25</v>
          </cell>
          <cell r="AD2140">
            <v>0.25</v>
          </cell>
          <cell r="AE2140">
            <v>0.25</v>
          </cell>
          <cell r="AF2140">
            <v>0.25</v>
          </cell>
          <cell r="AG2140">
            <v>0.25</v>
          </cell>
          <cell r="AH2140">
            <v>0.25</v>
          </cell>
          <cell r="AI2140">
            <v>0.25</v>
          </cell>
          <cell r="AJ2140">
            <v>0.25</v>
          </cell>
          <cell r="AK2140">
            <v>0.25</v>
          </cell>
          <cell r="AL2140">
            <v>0.25</v>
          </cell>
          <cell r="AM2140">
            <v>0.25</v>
          </cell>
          <cell r="AN2140">
            <v>0.25</v>
          </cell>
          <cell r="AO2140">
            <v>0.25</v>
          </cell>
          <cell r="AP2140">
            <v>0.25</v>
          </cell>
          <cell r="AQ2140">
            <v>0.25</v>
          </cell>
          <cell r="AR2140">
            <v>0.25</v>
          </cell>
          <cell r="AS2140">
            <v>0.25</v>
          </cell>
          <cell r="AT2140">
            <v>-0.04</v>
          </cell>
          <cell r="AU2140">
            <v>0.92</v>
          </cell>
          <cell r="AV2140">
            <v>20</v>
          </cell>
          <cell r="AY2140" t="str">
            <v/>
          </cell>
          <cell r="AZ2140">
            <v>0.25</v>
          </cell>
          <cell r="BA2140">
            <v>0.25</v>
          </cell>
          <cell r="BF2140" t="str">
            <v>CLICK RAPID con carpenteria 30/11/2020</v>
          </cell>
        </row>
        <row r="2141">
          <cell r="A2141" t="str">
            <v>S.E.LA FALEGNAMERIA DI ERASMO SERRELI</v>
          </cell>
          <cell r="D2141" t="str">
            <v>VIA BASILICATA, 6/B</v>
          </cell>
          <cell r="E2141" t="str">
            <v>09048</v>
          </cell>
          <cell r="F2141" t="str">
            <v>SINNAI</v>
          </cell>
          <cell r="G2141" t="str">
            <v>CA</v>
          </cell>
          <cell r="H2141" t="str">
            <v>ITALIA</v>
          </cell>
          <cell r="M2141" t="str">
            <v>UFFICIO ACQUISTI</v>
          </cell>
          <cell r="O2141" t="str">
            <v>340 1591854</v>
          </cell>
          <cell r="P2141" t="str">
            <v>se.falegnameria70@tiscali.it</v>
          </cell>
          <cell r="R2141" t="str">
            <v>BONIFICO BANCARIO, ALLA DATA DELLA NOSTRA CONFERMA D'ORDINE</v>
          </cell>
          <cell r="X2141">
            <v>0.15</v>
          </cell>
          <cell r="Y2141">
            <v>-0.04</v>
          </cell>
          <cell r="AB2141">
            <v>0.15</v>
          </cell>
          <cell r="AC2141">
            <v>0.15</v>
          </cell>
          <cell r="AD2141">
            <v>0.15</v>
          </cell>
          <cell r="AE2141">
            <v>0.15</v>
          </cell>
          <cell r="AF2141">
            <v>0.15</v>
          </cell>
          <cell r="AG2141">
            <v>0.15</v>
          </cell>
          <cell r="AH2141">
            <v>0.15</v>
          </cell>
          <cell r="AI2141">
            <v>0.15</v>
          </cell>
          <cell r="AJ2141">
            <v>0.15</v>
          </cell>
          <cell r="AK2141">
            <v>0.15</v>
          </cell>
          <cell r="AL2141">
            <v>0.15</v>
          </cell>
          <cell r="AM2141">
            <v>0.15</v>
          </cell>
          <cell r="AN2141">
            <v>0.15</v>
          </cell>
          <cell r="AO2141">
            <v>0.15</v>
          </cell>
          <cell r="AP2141">
            <v>0.15</v>
          </cell>
          <cell r="AQ2141">
            <v>0.15</v>
          </cell>
          <cell r="AR2141">
            <v>0.15</v>
          </cell>
          <cell r="AS2141">
            <v>0.15</v>
          </cell>
          <cell r="AT2141">
            <v>-0.04</v>
          </cell>
          <cell r="AU2141">
            <v>0.92</v>
          </cell>
          <cell r="AV2141">
            <v>20</v>
          </cell>
          <cell r="AZ2141">
            <v>0.15</v>
          </cell>
          <cell r="BA2141">
            <v>0.15</v>
          </cell>
        </row>
        <row r="2142">
          <cell r="A2142" t="str">
            <v>S.G.M. S.r.l.</v>
          </cell>
          <cell r="B2142" t="str">
            <v>SIG.MENDOLA</v>
          </cell>
          <cell r="D2142" t="str">
            <v>VIA STAZIONE, 8</v>
          </cell>
          <cell r="E2142">
            <v>96011</v>
          </cell>
          <cell r="F2142" t="str">
            <v>AUGUSTA</v>
          </cell>
          <cell r="G2142" t="str">
            <v>SR</v>
          </cell>
          <cell r="H2142" t="str">
            <v>ITALIA</v>
          </cell>
          <cell r="J2142" t="str">
            <v>01809440892</v>
          </cell>
          <cell r="M2142" t="str">
            <v>UFFICIO ACQUISTI</v>
          </cell>
          <cell r="O2142" t="str">
            <v>349 4561454</v>
          </cell>
          <cell r="R2142" t="str">
            <v>BONIFICO BANCARIO, ALLA DATA DELLA NOSTRA CONFERMA D'ORDINE</v>
          </cell>
          <cell r="X2142">
            <v>0.25</v>
          </cell>
          <cell r="Y2142">
            <v>-0.04</v>
          </cell>
          <cell r="AB2142">
            <v>0.25</v>
          </cell>
          <cell r="AC2142">
            <v>0.25</v>
          </cell>
          <cell r="AD2142">
            <v>0.25</v>
          </cell>
          <cell r="AE2142">
            <v>0.25</v>
          </cell>
          <cell r="AF2142">
            <v>0.25</v>
          </cell>
          <cell r="AG2142">
            <v>0.25</v>
          </cell>
          <cell r="AH2142">
            <v>0.25</v>
          </cell>
          <cell r="AI2142">
            <v>0.25</v>
          </cell>
          <cell r="AJ2142">
            <v>0.25</v>
          </cell>
          <cell r="AK2142">
            <v>0.25</v>
          </cell>
          <cell r="AL2142">
            <v>0.25</v>
          </cell>
          <cell r="AM2142">
            <v>0.25</v>
          </cell>
          <cell r="AN2142">
            <v>0.25</v>
          </cell>
          <cell r="AO2142">
            <v>0.25</v>
          </cell>
          <cell r="AP2142">
            <v>0.25</v>
          </cell>
          <cell r="AQ2142">
            <v>0.25</v>
          </cell>
          <cell r="AR2142">
            <v>0.25</v>
          </cell>
          <cell r="AS2142">
            <v>0.25</v>
          </cell>
          <cell r="AT2142">
            <v>-0.04</v>
          </cell>
          <cell r="AU2142">
            <v>0.92</v>
          </cell>
          <cell r="AV2142">
            <v>20</v>
          </cell>
          <cell r="AY2142" t="str">
            <v/>
          </cell>
          <cell r="AZ2142">
            <v>0.25</v>
          </cell>
          <cell r="BA2142">
            <v>0.25</v>
          </cell>
        </row>
        <row r="2143">
          <cell r="A2143" t="str">
            <v>S.M. PUNTO PORTE SNC</v>
          </cell>
          <cell r="D2143" t="str">
            <v>VIA ORAZIO FLACCO, 44</v>
          </cell>
          <cell r="E2143">
            <v>72100</v>
          </cell>
          <cell r="F2143" t="str">
            <v>BRINDISI</v>
          </cell>
          <cell r="G2143" t="str">
            <v>BR</v>
          </cell>
          <cell r="H2143" t="str">
            <v>ITALIA</v>
          </cell>
          <cell r="M2143" t="str">
            <v>UFFICIO ACQUISTI</v>
          </cell>
          <cell r="O2143" t="str">
            <v>Maurizio M.339 7867303  Roberto S. 347 6272192</v>
          </cell>
          <cell r="P2143" t="str">
            <v>sm.puntoporte@libero.it</v>
          </cell>
          <cell r="R2143" t="str">
            <v>BONIFICO BANCARIO, ALLA DATA DELLA NOSTRA CONFERMA D'ORDINE</v>
          </cell>
          <cell r="X2143">
            <v>0.25</v>
          </cell>
          <cell r="Y2143">
            <v>-0.04</v>
          </cell>
          <cell r="AB2143">
            <v>0.25</v>
          </cell>
          <cell r="AC2143">
            <v>0.25</v>
          </cell>
          <cell r="AD2143">
            <v>0.25</v>
          </cell>
          <cell r="AE2143">
            <v>0.25</v>
          </cell>
          <cell r="AF2143">
            <v>0.25</v>
          </cell>
          <cell r="AG2143">
            <v>0.25</v>
          </cell>
          <cell r="AH2143">
            <v>0.25</v>
          </cell>
          <cell r="AI2143">
            <v>0.25</v>
          </cell>
          <cell r="AJ2143">
            <v>0.25</v>
          </cell>
          <cell r="AK2143">
            <v>0.25</v>
          </cell>
          <cell r="AL2143">
            <v>0.25</v>
          </cell>
          <cell r="AM2143">
            <v>0.25</v>
          </cell>
          <cell r="AN2143">
            <v>0.25</v>
          </cell>
          <cell r="AO2143">
            <v>0.25</v>
          </cell>
          <cell r="AP2143">
            <v>0.25</v>
          </cell>
          <cell r="AQ2143">
            <v>0.25</v>
          </cell>
          <cell r="AR2143">
            <v>0.25</v>
          </cell>
          <cell r="AS2143">
            <v>0.25</v>
          </cell>
          <cell r="AT2143">
            <v>-0.04</v>
          </cell>
          <cell r="AU2143">
            <v>0.92</v>
          </cell>
          <cell r="AV2143">
            <v>20</v>
          </cell>
          <cell r="AZ2143">
            <v>0.25</v>
          </cell>
          <cell r="BA2143">
            <v>0.25</v>
          </cell>
        </row>
        <row r="2144">
          <cell r="A2144" t="str">
            <v>S.M.E.I. SRL</v>
          </cell>
          <cell r="D2144" t="str">
            <v>VIA SELVA DI SOTTO, SNC</v>
          </cell>
          <cell r="E2144" t="str">
            <v>82030</v>
          </cell>
          <cell r="F2144" t="str">
            <v>SAN SALVATORE TELESINO</v>
          </cell>
          <cell r="G2144" t="str">
            <v>BN</v>
          </cell>
          <cell r="H2144" t="str">
            <v>ITALIA</v>
          </cell>
          <cell r="J2144" t="str">
            <v>01298020627</v>
          </cell>
          <cell r="M2144" t="str">
            <v>UFFICIO ACQUISTI</v>
          </cell>
          <cell r="N2144" t="str">
            <v>0824 947440</v>
          </cell>
          <cell r="P2144" t="str">
            <v>smei2003@yahoo.it</v>
          </cell>
          <cell r="R2144" t="str">
            <v>BONIFICO BANCARIO, ALLA DATA DELLA NOSTRA CONFERMA D'ORDINE</v>
          </cell>
          <cell r="X2144">
            <v>0.2</v>
          </cell>
          <cell r="Y2144">
            <v>-0.04</v>
          </cell>
          <cell r="AB2144">
            <v>0.25</v>
          </cell>
          <cell r="AC2144">
            <v>0.25</v>
          </cell>
          <cell r="AD2144">
            <v>0.25</v>
          </cell>
          <cell r="AE2144">
            <v>0.25</v>
          </cell>
          <cell r="AF2144">
            <v>0.25</v>
          </cell>
          <cell r="AG2144">
            <v>0.25</v>
          </cell>
          <cell r="AH2144">
            <v>0.25</v>
          </cell>
          <cell r="AI2144">
            <v>0.25</v>
          </cell>
          <cell r="AJ2144">
            <v>0.25</v>
          </cell>
          <cell r="AK2144">
            <v>0.25</v>
          </cell>
          <cell r="AL2144">
            <v>0.25</v>
          </cell>
          <cell r="AM2144">
            <v>0.25</v>
          </cell>
          <cell r="AN2144">
            <v>0.25</v>
          </cell>
          <cell r="AO2144">
            <v>0.25</v>
          </cell>
          <cell r="AP2144">
            <v>0.25</v>
          </cell>
          <cell r="AQ2144">
            <v>0.25</v>
          </cell>
          <cell r="AR2144">
            <v>0.25</v>
          </cell>
          <cell r="AS2144">
            <v>0.25</v>
          </cell>
          <cell r="AT2144">
            <v>-0.04</v>
          </cell>
          <cell r="AU2144">
            <v>0.88</v>
          </cell>
          <cell r="AV2144">
            <v>20</v>
          </cell>
          <cell r="AZ2144">
            <v>0.2</v>
          </cell>
          <cell r="BA2144">
            <v>0.2</v>
          </cell>
        </row>
        <row r="2145">
          <cell r="A2145" t="str">
            <v>S.T.A. INFISSI E COMPONENTI IN LEGNO SNC</v>
          </cell>
          <cell r="D2145" t="str">
            <v xml:space="preserve">VIA MASTROPPA </v>
          </cell>
          <cell r="E2145" t="str">
            <v>46040</v>
          </cell>
          <cell r="F2145" t="str">
            <v>MONZAMBANO</v>
          </cell>
          <cell r="G2145" t="str">
            <v>MN</v>
          </cell>
          <cell r="H2145" t="str">
            <v>ITALIA</v>
          </cell>
          <cell r="I2145" t="str">
            <v>02840240234</v>
          </cell>
          <cell r="J2145" t="str">
            <v>01953440201</v>
          </cell>
          <cell r="M2145" t="str">
            <v>UFFICIO ACQUISTI</v>
          </cell>
          <cell r="N2145" t="str">
            <v>0376 809617</v>
          </cell>
          <cell r="R2145" t="str">
            <v>BONIFICO BANCARIO, ALLA DATA DELLA NOSTRA CONFERMA D'ORDINE</v>
          </cell>
          <cell r="X2145">
            <v>0.25</v>
          </cell>
          <cell r="Y2145">
            <v>-0.04</v>
          </cell>
          <cell r="AB2145">
            <v>0.25</v>
          </cell>
          <cell r="AC2145">
            <v>0.25</v>
          </cell>
          <cell r="AD2145">
            <v>0.25</v>
          </cell>
          <cell r="AE2145">
            <v>0.25</v>
          </cell>
          <cell r="AF2145">
            <v>0.25</v>
          </cell>
          <cell r="AG2145">
            <v>0.25</v>
          </cell>
          <cell r="AH2145">
            <v>0.25</v>
          </cell>
          <cell r="AI2145">
            <v>0.25</v>
          </cell>
          <cell r="AJ2145">
            <v>0.25</v>
          </cell>
          <cell r="AK2145">
            <v>0.25</v>
          </cell>
          <cell r="AL2145">
            <v>0.25</v>
          </cell>
          <cell r="AM2145">
            <v>0.25</v>
          </cell>
          <cell r="AN2145">
            <v>0.25</v>
          </cell>
          <cell r="AO2145">
            <v>0.25</v>
          </cell>
          <cell r="AP2145">
            <v>0.25</v>
          </cell>
          <cell r="AQ2145">
            <v>0.25</v>
          </cell>
          <cell r="AR2145">
            <v>0.25</v>
          </cell>
          <cell r="AS2145">
            <v>0.25</v>
          </cell>
          <cell r="AT2145">
            <v>-0.04</v>
          </cell>
          <cell r="AU2145">
            <v>0.92</v>
          </cell>
          <cell r="AV2145">
            <v>20</v>
          </cell>
          <cell r="AY2145" t="str">
            <v/>
          </cell>
          <cell r="AZ2145">
            <v>0.25</v>
          </cell>
          <cell r="BA2145">
            <v>0.25</v>
          </cell>
        </row>
        <row r="2146">
          <cell r="A2146" t="str">
            <v>SABAUDIA INFISSI</v>
          </cell>
          <cell r="D2146" t="str">
            <v>VIA COLLE D'ALBA DI PONENTE, 56 BORGO S.DONATO</v>
          </cell>
          <cell r="E2146" t="str">
            <v>04010</v>
          </cell>
          <cell r="F2146" t="str">
            <v>SABAUDIA</v>
          </cell>
          <cell r="G2146" t="str">
            <v>LT</v>
          </cell>
          <cell r="H2146" t="str">
            <v>ITALIA</v>
          </cell>
          <cell r="M2146" t="str">
            <v>UFFICIO ACQUISTI</v>
          </cell>
          <cell r="O2146" t="str">
            <v>338 7694063</v>
          </cell>
          <cell r="P2146" t="str">
            <v>sabaudiainfissi@libero.it</v>
          </cell>
          <cell r="R2146" t="str">
            <v>BONIFICO BANCARIO, ALLA DATA DELLA NOSTRA CONFERMA D'ORDINE</v>
          </cell>
          <cell r="X2146">
            <v>0.2</v>
          </cell>
          <cell r="Y2146">
            <v>-0.04</v>
          </cell>
          <cell r="AB2146">
            <v>0.2</v>
          </cell>
          <cell r="AC2146">
            <v>0.2</v>
          </cell>
          <cell r="AD2146">
            <v>0.2</v>
          </cell>
          <cell r="AE2146">
            <v>0.2</v>
          </cell>
          <cell r="AF2146">
            <v>0.2</v>
          </cell>
          <cell r="AG2146">
            <v>0.2</v>
          </cell>
          <cell r="AH2146">
            <v>0.2</v>
          </cell>
          <cell r="AI2146">
            <v>0.2</v>
          </cell>
          <cell r="AJ2146">
            <v>0.2</v>
          </cell>
          <cell r="AK2146">
            <v>0.2</v>
          </cell>
          <cell r="AL2146">
            <v>0.2</v>
          </cell>
          <cell r="AM2146">
            <v>0.2</v>
          </cell>
          <cell r="AN2146">
            <v>0.2</v>
          </cell>
          <cell r="AO2146">
            <v>0.2</v>
          </cell>
          <cell r="AP2146">
            <v>0.2</v>
          </cell>
          <cell r="AQ2146">
            <v>0.2</v>
          </cell>
          <cell r="AR2146">
            <v>0.2</v>
          </cell>
          <cell r="AS2146">
            <v>0.2</v>
          </cell>
          <cell r="AT2146">
            <v>-0.04</v>
          </cell>
          <cell r="AU2146">
            <v>0.92</v>
          </cell>
          <cell r="AV2146">
            <v>20</v>
          </cell>
          <cell r="AZ2146">
            <v>0.2</v>
          </cell>
          <cell r="BA2146">
            <v>0.2</v>
          </cell>
        </row>
        <row r="2147">
          <cell r="A2147" t="str">
            <v xml:space="preserve">SAC SERRAMENTI IN ALLUMINIO </v>
          </cell>
          <cell r="D2147" t="str">
            <v>VIA DELLE INDUSTRIE - ZEUS DOCKS, 13</v>
          </cell>
          <cell r="E2147">
            <v>17012</v>
          </cell>
          <cell r="F2147" t="str">
            <v xml:space="preserve">ALBISSOLA MARINA </v>
          </cell>
          <cell r="G2147" t="str">
            <v>SV</v>
          </cell>
          <cell r="H2147" t="str">
            <v>ITALIA</v>
          </cell>
          <cell r="J2147" t="str">
            <v>00518490099</v>
          </cell>
          <cell r="M2147" t="str">
            <v>UFFICIO ACQUISTI</v>
          </cell>
          <cell r="N2147" t="str">
            <v>019 486788</v>
          </cell>
          <cell r="O2147" t="str">
            <v>335 498782</v>
          </cell>
          <cell r="P2147" t="str">
            <v>sacserramenti@gmail.com</v>
          </cell>
          <cell r="R2147" t="str">
            <v>BONIFICO BANCARIO, ALLA DATA DELLA NOSTRA CONFERMA D'ORDINE</v>
          </cell>
          <cell r="X2147">
            <v>0.25</v>
          </cell>
          <cell r="Y2147">
            <v>-0.04</v>
          </cell>
          <cell r="AB2147">
            <v>0.25</v>
          </cell>
          <cell r="AC2147">
            <v>0.25</v>
          </cell>
          <cell r="AD2147">
            <v>0.25</v>
          </cell>
          <cell r="AE2147">
            <v>0.25</v>
          </cell>
          <cell r="AF2147">
            <v>0.25</v>
          </cell>
          <cell r="AG2147">
            <v>0.25</v>
          </cell>
          <cell r="AH2147">
            <v>0.25</v>
          </cell>
          <cell r="AI2147">
            <v>0.25</v>
          </cell>
          <cell r="AJ2147">
            <v>0.25</v>
          </cell>
          <cell r="AK2147">
            <v>0.25</v>
          </cell>
          <cell r="AL2147">
            <v>0.25</v>
          </cell>
          <cell r="AM2147">
            <v>0.25</v>
          </cell>
          <cell r="AN2147">
            <v>0.25</v>
          </cell>
          <cell r="AO2147">
            <v>0.25</v>
          </cell>
          <cell r="AP2147">
            <v>0.25</v>
          </cell>
          <cell r="AQ2147">
            <v>0.25</v>
          </cell>
          <cell r="AR2147">
            <v>0.25</v>
          </cell>
          <cell r="AS2147">
            <v>0.25</v>
          </cell>
          <cell r="AT2147">
            <v>-0.04</v>
          </cell>
          <cell r="AU2147">
            <v>0.92</v>
          </cell>
          <cell r="AV2147">
            <v>20</v>
          </cell>
          <cell r="AY2147" t="str">
            <v/>
          </cell>
          <cell r="AZ2147">
            <v>0.25</v>
          </cell>
          <cell r="BA2147">
            <v>0.25</v>
          </cell>
        </row>
        <row r="2148">
          <cell r="A2148" t="str">
            <v>SADERI INFISSI DI DAVIDE SADERI &amp; C. SAS</v>
          </cell>
          <cell r="B2148" t="str">
            <v>SOLO BIGLIETTO DA VISITA</v>
          </cell>
          <cell r="D2148" t="str">
            <v>VIA DEI VISCONTI, 15</v>
          </cell>
          <cell r="E2148" t="str">
            <v>09126</v>
          </cell>
          <cell r="F2148" t="str">
            <v>CAGLIARI</v>
          </cell>
          <cell r="G2148" t="str">
            <v>CA</v>
          </cell>
          <cell r="H2148" t="str">
            <v>ITALIA</v>
          </cell>
          <cell r="L2148" t="str">
            <v>Z.I.VIA ROMA, 11 09054 GENONI 0782 810007</v>
          </cell>
          <cell r="M2148" t="str">
            <v>UFFICIO ACQUISTI</v>
          </cell>
          <cell r="N2148" t="str">
            <v>070 3324052</v>
          </cell>
          <cell r="P2148" t="str">
            <v>info@infissisaderi.it</v>
          </cell>
          <cell r="R2148" t="str">
            <v>BONIFICO BANCARIO, ALLA DATA DELLA NOSTRA CONFERMA D'ORDINE</v>
          </cell>
          <cell r="X2148">
            <v>0.25</v>
          </cell>
          <cell r="Y2148">
            <v>-0.04</v>
          </cell>
          <cell r="AB2148">
            <v>0.25</v>
          </cell>
          <cell r="AC2148">
            <v>0.25</v>
          </cell>
          <cell r="AD2148">
            <v>0.25</v>
          </cell>
          <cell r="AE2148">
            <v>0.25</v>
          </cell>
          <cell r="AF2148">
            <v>0.25</v>
          </cell>
          <cell r="AG2148">
            <v>0.25</v>
          </cell>
          <cell r="AH2148">
            <v>0.25</v>
          </cell>
          <cell r="AI2148">
            <v>0.25</v>
          </cell>
          <cell r="AJ2148">
            <v>0.25</v>
          </cell>
          <cell r="AK2148">
            <v>0.25</v>
          </cell>
          <cell r="AL2148">
            <v>0.25</v>
          </cell>
          <cell r="AM2148">
            <v>0.25</v>
          </cell>
          <cell r="AN2148">
            <v>0.25</v>
          </cell>
          <cell r="AO2148">
            <v>0.25</v>
          </cell>
          <cell r="AP2148">
            <v>0.25</v>
          </cell>
          <cell r="AQ2148">
            <v>0.25</v>
          </cell>
          <cell r="AR2148">
            <v>0.25</v>
          </cell>
          <cell r="AS2148">
            <v>0.25</v>
          </cell>
          <cell r="AT2148">
            <v>-0.04</v>
          </cell>
          <cell r="AU2148">
            <v>0.92</v>
          </cell>
          <cell r="AV2148">
            <v>20</v>
          </cell>
          <cell r="AZ2148">
            <v>0.25</v>
          </cell>
          <cell r="BA2148">
            <v>0.25</v>
          </cell>
        </row>
        <row r="2149">
          <cell r="A2149" t="str">
            <v>SAF SERRAMENTI</v>
          </cell>
          <cell r="B2149" t="str">
            <v>LUCA GIACCHETTI, CLAUDIO GIACCHETTI</v>
          </cell>
          <cell r="D2149" t="str">
            <v>VIA DEI MESTIERI, 11</v>
          </cell>
          <cell r="E2149" t="str">
            <v>60015</v>
          </cell>
          <cell r="F2149" t="str">
            <v>FALCONARA M.MA</v>
          </cell>
          <cell r="G2149" t="str">
            <v>AN</v>
          </cell>
          <cell r="H2149" t="str">
            <v>ITALIA</v>
          </cell>
          <cell r="J2149" t="str">
            <v>00928360429</v>
          </cell>
          <cell r="M2149" t="str">
            <v>UFFICIO ACQUISTI</v>
          </cell>
          <cell r="N2149" t="str">
            <v>071 9188246</v>
          </cell>
          <cell r="P2149" t="str">
            <v>claudio@safserramenti.com</v>
          </cell>
          <cell r="R2149" t="str">
            <v>BONIFICO BANCARIO, ALLA DATA DELLA NOSTRA CONFERMA D'ORDINE</v>
          </cell>
          <cell r="X2149">
            <v>0.25</v>
          </cell>
          <cell r="Y2149">
            <v>-0.04</v>
          </cell>
          <cell r="AB2149">
            <v>0.25</v>
          </cell>
          <cell r="AC2149">
            <v>0.25</v>
          </cell>
          <cell r="AD2149">
            <v>0.25</v>
          </cell>
          <cell r="AE2149">
            <v>0.25</v>
          </cell>
          <cell r="AF2149">
            <v>0.25</v>
          </cell>
          <cell r="AG2149">
            <v>0.25</v>
          </cell>
          <cell r="AH2149">
            <v>0.25</v>
          </cell>
          <cell r="AI2149">
            <v>0.25</v>
          </cell>
          <cell r="AJ2149">
            <v>0.25</v>
          </cell>
          <cell r="AK2149">
            <v>0.25</v>
          </cell>
          <cell r="AL2149">
            <v>0.25</v>
          </cell>
          <cell r="AM2149">
            <v>0.25</v>
          </cell>
          <cell r="AN2149">
            <v>0.25</v>
          </cell>
          <cell r="AO2149">
            <v>0.25</v>
          </cell>
          <cell r="AP2149">
            <v>0.25</v>
          </cell>
          <cell r="AQ2149">
            <v>0.25</v>
          </cell>
          <cell r="AR2149">
            <v>0.25</v>
          </cell>
          <cell r="AS2149">
            <v>0.25</v>
          </cell>
          <cell r="AT2149">
            <v>-0.04</v>
          </cell>
          <cell r="AU2149">
            <v>0.92</v>
          </cell>
          <cell r="AV2149">
            <v>20</v>
          </cell>
          <cell r="AY2149" t="str">
            <v/>
          </cell>
          <cell r="AZ2149">
            <v>0.25</v>
          </cell>
          <cell r="BA2149">
            <v>0.25</v>
          </cell>
        </row>
        <row r="2150">
          <cell r="A2150" t="str">
            <v>SALA MAURO &amp; C. SNC</v>
          </cell>
          <cell r="D2150" t="str">
            <v>VIA MONTEGRAPPA, 41 C</v>
          </cell>
          <cell r="E2150">
            <v>17019</v>
          </cell>
          <cell r="F2150" t="str">
            <v>VARAZZE</v>
          </cell>
          <cell r="G2150" t="str">
            <v>SV</v>
          </cell>
          <cell r="H2150" t="str">
            <v>ITALIA</v>
          </cell>
          <cell r="M2150" t="str">
            <v>UFFICIO ACQUISTI</v>
          </cell>
          <cell r="N2150" t="str">
            <v>019 95370</v>
          </cell>
          <cell r="R2150" t="str">
            <v>BONIFICO BANCARIO, ALLA DATA DELLA NOSTRA CONFERMA D'ORDINE</v>
          </cell>
          <cell r="X2150">
            <v>0.25</v>
          </cell>
          <cell r="Y2150">
            <v>-0.04</v>
          </cell>
          <cell r="AB2150">
            <v>0.25</v>
          </cell>
          <cell r="AC2150">
            <v>0.25</v>
          </cell>
          <cell r="AD2150">
            <v>0.25</v>
          </cell>
          <cell r="AE2150">
            <v>0.25</v>
          </cell>
          <cell r="AF2150">
            <v>0.25</v>
          </cell>
          <cell r="AG2150">
            <v>0.25</v>
          </cell>
          <cell r="AH2150">
            <v>0.25</v>
          </cell>
          <cell r="AI2150">
            <v>0.25</v>
          </cell>
          <cell r="AJ2150">
            <v>0.25</v>
          </cell>
          <cell r="AK2150">
            <v>0.25</v>
          </cell>
          <cell r="AL2150">
            <v>0.25</v>
          </cell>
          <cell r="AM2150">
            <v>0.25</v>
          </cell>
          <cell r="AN2150">
            <v>0.25</v>
          </cell>
          <cell r="AO2150">
            <v>0.25</v>
          </cell>
          <cell r="AP2150">
            <v>0.25</v>
          </cell>
          <cell r="AQ2150">
            <v>0.25</v>
          </cell>
          <cell r="AR2150">
            <v>0.25</v>
          </cell>
          <cell r="AS2150">
            <v>0.25</v>
          </cell>
          <cell r="AT2150">
            <v>-0.04</v>
          </cell>
          <cell r="AU2150">
            <v>0.92</v>
          </cell>
          <cell r="AV2150">
            <v>20</v>
          </cell>
          <cell r="AY2150" t="str">
            <v/>
          </cell>
          <cell r="AZ2150">
            <v>0.25</v>
          </cell>
          <cell r="BA2150">
            <v>0.25</v>
          </cell>
        </row>
        <row r="2151">
          <cell r="A2151" t="str">
            <v>SALERNO INFISSI</v>
          </cell>
          <cell r="D2151" t="str">
            <v>VIA MICHELE CONFORTI 15</v>
          </cell>
          <cell r="E2151" t="str">
            <v>84124</v>
          </cell>
          <cell r="F2151" t="str">
            <v>SALERNO</v>
          </cell>
          <cell r="G2151" t="str">
            <v>SA</v>
          </cell>
          <cell r="H2151" t="str">
            <v>ITALIA</v>
          </cell>
          <cell r="M2151" t="str">
            <v>UFFICIO ACQUISTI</v>
          </cell>
          <cell r="N2151" t="str">
            <v>393 8737820</v>
          </cell>
          <cell r="P2151" t="str">
            <v>salernoinfissigiordano@gmail.com</v>
          </cell>
          <cell r="R2151" t="str">
            <v>BONIFICO BANCARIO, ALLA DATA DELLA NOSTRA CONFERMA D'ORDINE</v>
          </cell>
          <cell r="X2151">
            <v>0.25</v>
          </cell>
          <cell r="Y2151">
            <v>-0.04</v>
          </cell>
          <cell r="AB2151">
            <v>0.25</v>
          </cell>
          <cell r="AC2151">
            <v>0.25</v>
          </cell>
          <cell r="AD2151">
            <v>0.25</v>
          </cell>
          <cell r="AE2151">
            <v>0.25</v>
          </cell>
          <cell r="AF2151">
            <v>0.25</v>
          </cell>
          <cell r="AG2151">
            <v>0.25</v>
          </cell>
          <cell r="AH2151">
            <v>0.25</v>
          </cell>
          <cell r="AI2151">
            <v>0.25</v>
          </cell>
          <cell r="AJ2151">
            <v>0.25</v>
          </cell>
          <cell r="AK2151">
            <v>0.25</v>
          </cell>
          <cell r="AL2151">
            <v>0.25</v>
          </cell>
          <cell r="AM2151">
            <v>0.25</v>
          </cell>
          <cell r="AN2151">
            <v>0.25</v>
          </cell>
          <cell r="AO2151">
            <v>0.25</v>
          </cell>
          <cell r="AP2151">
            <v>0.25</v>
          </cell>
          <cell r="AQ2151">
            <v>0.25</v>
          </cell>
          <cell r="AR2151">
            <v>0.25</v>
          </cell>
          <cell r="AS2151">
            <v>0.25</v>
          </cell>
          <cell r="AT2151">
            <v>-0.04</v>
          </cell>
          <cell r="AU2151">
            <v>0.92</v>
          </cell>
          <cell r="AV2151">
            <v>20</v>
          </cell>
          <cell r="AY2151" t="str">
            <v/>
          </cell>
          <cell r="AZ2151">
            <v>0.25</v>
          </cell>
          <cell r="BA2151">
            <v>0.25</v>
          </cell>
        </row>
        <row r="2152">
          <cell r="A2152" t="str">
            <v>SALINA GAETANO</v>
          </cell>
          <cell r="B2152" t="str">
            <v>CAMPIONE SCONTO 30%, CARPENTERIA GRATUITA. SISTEMA FORFETTARIO</v>
          </cell>
          <cell r="D2152" t="str">
            <v>VIA PRAGA, 8</v>
          </cell>
          <cell r="F2152" t="str">
            <v>RIBERA</v>
          </cell>
          <cell r="G2152" t="str">
            <v>AG</v>
          </cell>
          <cell r="H2152" t="str">
            <v>ITALIA</v>
          </cell>
          <cell r="M2152" t="str">
            <v>UFFICIO ACQUISTI</v>
          </cell>
          <cell r="R2152" t="str">
            <v>BONIFICO BANCARIO, ALLA DATA DELLA NOSTRA CONFERMA D'ORDINE</v>
          </cell>
          <cell r="X2152">
            <v>0.25</v>
          </cell>
          <cell r="Y2152">
            <v>-0.04</v>
          </cell>
          <cell r="AB2152">
            <v>0.25</v>
          </cell>
          <cell r="AC2152">
            <v>0.25</v>
          </cell>
          <cell r="AD2152">
            <v>0.25</v>
          </cell>
          <cell r="AE2152">
            <v>0.25</v>
          </cell>
          <cell r="AF2152">
            <v>0.25</v>
          </cell>
          <cell r="AG2152">
            <v>0.25</v>
          </cell>
          <cell r="AH2152">
            <v>0.25</v>
          </cell>
          <cell r="AI2152">
            <v>0.25</v>
          </cell>
          <cell r="AJ2152">
            <v>0.25</v>
          </cell>
          <cell r="AK2152">
            <v>0.25</v>
          </cell>
          <cell r="AL2152">
            <v>0.25</v>
          </cell>
          <cell r="AM2152">
            <v>0.25</v>
          </cell>
          <cell r="AN2152">
            <v>0.25</v>
          </cell>
          <cell r="AO2152">
            <v>0.25</v>
          </cell>
          <cell r="AP2152">
            <v>0.25</v>
          </cell>
          <cell r="AQ2152">
            <v>0.25</v>
          </cell>
          <cell r="AR2152">
            <v>0.25</v>
          </cell>
          <cell r="AS2152">
            <v>0.25</v>
          </cell>
          <cell r="AT2152">
            <v>-0.04</v>
          </cell>
          <cell r="AU2152">
            <v>0.92</v>
          </cell>
          <cell r="AV2152">
            <v>20</v>
          </cell>
          <cell r="AY2152" t="str">
            <v/>
          </cell>
          <cell r="AZ2152">
            <v>0.25</v>
          </cell>
          <cell r="BA2152">
            <v>0.25</v>
          </cell>
        </row>
        <row r="2153">
          <cell r="A2153" t="str">
            <v>SALVADORI SERRAMENTI SRL</v>
          </cell>
          <cell r="D2153" t="str">
            <v>VIA ABETONE BRENNERO, 146 B</v>
          </cell>
          <cell r="E2153" t="str">
            <v>46025</v>
          </cell>
          <cell r="F2153" t="str">
            <v>POGGIO RUSCO</v>
          </cell>
          <cell r="G2153" t="str">
            <v>MN</v>
          </cell>
          <cell r="H2153" t="str">
            <v>ITALIA</v>
          </cell>
          <cell r="M2153" t="str">
            <v>UFFICIO ACQUISTI</v>
          </cell>
          <cell r="N2153" t="str">
            <v>0386 733087</v>
          </cell>
          <cell r="P2153" t="str">
            <v>salvadoriserramenti@gmail.com</v>
          </cell>
          <cell r="R2153" t="str">
            <v>BONIFICO BANCARIO, ALLA DATA DELLA NOSTRA CONFERMA D'ORDINE</v>
          </cell>
          <cell r="X2153">
            <v>0.25</v>
          </cell>
          <cell r="Y2153">
            <v>-0.04</v>
          </cell>
          <cell r="AB2153">
            <v>0.25</v>
          </cell>
          <cell r="AC2153">
            <v>0.25</v>
          </cell>
          <cell r="AD2153">
            <v>0.25</v>
          </cell>
          <cell r="AE2153">
            <v>0.25</v>
          </cell>
          <cell r="AF2153">
            <v>0.25</v>
          </cell>
          <cell r="AG2153">
            <v>0.25</v>
          </cell>
          <cell r="AH2153">
            <v>0.25</v>
          </cell>
          <cell r="AI2153">
            <v>0.25</v>
          </cell>
          <cell r="AJ2153">
            <v>0.25</v>
          </cell>
          <cell r="AK2153">
            <v>0.25</v>
          </cell>
          <cell r="AL2153">
            <v>0.25</v>
          </cell>
          <cell r="AM2153">
            <v>0.25</v>
          </cell>
          <cell r="AN2153">
            <v>0.25</v>
          </cell>
          <cell r="AO2153">
            <v>0.25</v>
          </cell>
          <cell r="AP2153">
            <v>0.25</v>
          </cell>
          <cell r="AQ2153">
            <v>0.25</v>
          </cell>
          <cell r="AR2153">
            <v>0.25</v>
          </cell>
          <cell r="AS2153">
            <v>0.25</v>
          </cell>
          <cell r="AT2153">
            <v>-0.04</v>
          </cell>
          <cell r="AU2153">
            <v>0.92</v>
          </cell>
          <cell r="AV2153">
            <v>20</v>
          </cell>
          <cell r="AZ2153">
            <v>0.25</v>
          </cell>
          <cell r="BA2153">
            <v>0.25</v>
          </cell>
        </row>
        <row r="2154">
          <cell r="A2154" t="str">
            <v>SALVATORE DURANTE s.c.a.r.l.</v>
          </cell>
          <cell r="D2154" t="str">
            <v>VIA DEL CAVALIERE, 101 101A</v>
          </cell>
          <cell r="E2154">
            <v>90011</v>
          </cell>
          <cell r="F2154" t="str">
            <v>BAGHERIA</v>
          </cell>
          <cell r="G2154" t="str">
            <v>PA</v>
          </cell>
          <cell r="H2154" t="str">
            <v>ITALIA</v>
          </cell>
          <cell r="M2154" t="str">
            <v>UFFICIO ACQUISTI</v>
          </cell>
          <cell r="N2154" t="str">
            <v>091 906589</v>
          </cell>
          <cell r="P2154" t="str">
            <v>salvatoredurantecoop@gmail.com</v>
          </cell>
          <cell r="R2154" t="str">
            <v>BONIFICO BANCARIO, ALLA DATA DELLA NOSTRA CONFERMA D'ORDINE</v>
          </cell>
          <cell r="X2154">
            <v>0.25</v>
          </cell>
          <cell r="Y2154">
            <v>-0.04</v>
          </cell>
          <cell r="AB2154">
            <v>0.25</v>
          </cell>
          <cell r="AC2154">
            <v>0.25</v>
          </cell>
          <cell r="AD2154">
            <v>0.25</v>
          </cell>
          <cell r="AE2154">
            <v>0.25</v>
          </cell>
          <cell r="AF2154">
            <v>0.25</v>
          </cell>
          <cell r="AG2154">
            <v>0.25</v>
          </cell>
          <cell r="AH2154">
            <v>0.25</v>
          </cell>
          <cell r="AI2154">
            <v>0.25</v>
          </cell>
          <cell r="AJ2154">
            <v>0.25</v>
          </cell>
          <cell r="AK2154">
            <v>0.25</v>
          </cell>
          <cell r="AL2154">
            <v>0.25</v>
          </cell>
          <cell r="AM2154">
            <v>0.25</v>
          </cell>
          <cell r="AN2154">
            <v>0.25</v>
          </cell>
          <cell r="AO2154">
            <v>0.25</v>
          </cell>
          <cell r="AP2154">
            <v>0.25</v>
          </cell>
          <cell r="AQ2154">
            <v>0.25</v>
          </cell>
          <cell r="AR2154">
            <v>0.25</v>
          </cell>
          <cell r="AS2154">
            <v>0.25</v>
          </cell>
          <cell r="AT2154">
            <v>-0.04</v>
          </cell>
          <cell r="AU2154">
            <v>0.92</v>
          </cell>
          <cell r="AV2154">
            <v>20</v>
          </cell>
          <cell r="AY2154" t="str">
            <v/>
          </cell>
          <cell r="AZ2154">
            <v>0.25</v>
          </cell>
          <cell r="BA2154">
            <v>0.25</v>
          </cell>
        </row>
        <row r="2155">
          <cell r="A2155" t="str">
            <v>SALVATORE MONGIARDO</v>
          </cell>
          <cell r="D2155" t="str">
            <v>VIA I° MAGGIO, 6 E</v>
          </cell>
          <cell r="E2155">
            <v>22063</v>
          </cell>
          <cell r="F2155" t="str">
            <v>CANTU'</v>
          </cell>
          <cell r="G2155" t="str">
            <v>CO</v>
          </cell>
          <cell r="H2155" t="str">
            <v>ITALIA</v>
          </cell>
          <cell r="I2155" t="str">
            <v>MNGSVT71T23D257I</v>
          </cell>
          <cell r="J2155" t="str">
            <v>03173730130</v>
          </cell>
          <cell r="K2155" t="str">
            <v>T04ZHR3</v>
          </cell>
          <cell r="M2155" t="str">
            <v>UFFICIO ACQUISTI</v>
          </cell>
          <cell r="O2155" t="str">
            <v>348 7976118</v>
          </cell>
          <cell r="P2155" t="str">
            <v>mongiardos@libero.it</v>
          </cell>
          <cell r="R2155" t="str">
            <v>BONIFICO BANCARIO, ALLA DATA DELLA NOSTRA CONFERMA D'ORDINE</v>
          </cell>
          <cell r="X2155">
            <v>0.25</v>
          </cell>
          <cell r="Y2155">
            <v>-0.04</v>
          </cell>
          <cell r="AB2155">
            <v>0.25</v>
          </cell>
          <cell r="AC2155">
            <v>0.25</v>
          </cell>
          <cell r="AD2155">
            <v>0.25</v>
          </cell>
          <cell r="AE2155">
            <v>0.25</v>
          </cell>
          <cell r="AF2155">
            <v>0.25</v>
          </cell>
          <cell r="AG2155">
            <v>0.25</v>
          </cell>
          <cell r="AH2155">
            <v>0.25</v>
          </cell>
          <cell r="AI2155">
            <v>0.25</v>
          </cell>
          <cell r="AJ2155">
            <v>0.25</v>
          </cell>
          <cell r="AK2155">
            <v>0.25</v>
          </cell>
          <cell r="AL2155">
            <v>0.25</v>
          </cell>
          <cell r="AM2155">
            <v>0.25</v>
          </cell>
          <cell r="AN2155">
            <v>0.25</v>
          </cell>
          <cell r="AO2155">
            <v>0.25</v>
          </cell>
          <cell r="AP2155">
            <v>0.25</v>
          </cell>
          <cell r="AQ2155">
            <v>0.25</v>
          </cell>
          <cell r="AR2155">
            <v>0.25</v>
          </cell>
          <cell r="AS2155">
            <v>0.25</v>
          </cell>
          <cell r="AT2155">
            <v>-0.04</v>
          </cell>
          <cell r="AU2155">
            <v>0.92</v>
          </cell>
          <cell r="AV2155">
            <v>20</v>
          </cell>
          <cell r="AY2155" t="str">
            <v/>
          </cell>
          <cell r="AZ2155">
            <v>0.25</v>
          </cell>
          <cell r="BA2155">
            <v>0.25</v>
          </cell>
        </row>
        <row r="2156">
          <cell r="A2156" t="str">
            <v>SAM FERRAMENTA</v>
          </cell>
          <cell r="D2156" t="str">
            <v>VIA NARNI, 88 A</v>
          </cell>
          <cell r="E2156" t="str">
            <v>05100</v>
          </cell>
          <cell r="F2156" t="str">
            <v>TERNI</v>
          </cell>
          <cell r="G2156" t="str">
            <v>TR</v>
          </cell>
          <cell r="H2156" t="str">
            <v>ITALIA</v>
          </cell>
          <cell r="J2156" t="str">
            <v>01561640556</v>
          </cell>
          <cell r="M2156" t="str">
            <v>UFFICIO ACQUISTI</v>
          </cell>
          <cell r="O2156" t="str">
            <v>391 4136759</v>
          </cell>
          <cell r="R2156" t="str">
            <v>BONIFICO BANCARIO, ALLA DATA DELLA NOSTRA CONFERMA D'ORDINE</v>
          </cell>
          <cell r="Y2156">
            <v>-0.04</v>
          </cell>
          <cell r="AT2156">
            <v>-0.04</v>
          </cell>
          <cell r="AV2156">
            <v>20</v>
          </cell>
          <cell r="AZ2156">
            <v>0</v>
          </cell>
          <cell r="BA2156">
            <v>0</v>
          </cell>
        </row>
        <row r="2157">
          <cell r="A2157" t="str">
            <v>SAM ZENO INFISSI E PORTE</v>
          </cell>
          <cell r="D2157" t="str">
            <v>VIA BASSO AQUAR, 89</v>
          </cell>
          <cell r="E2157">
            <v>37135</v>
          </cell>
          <cell r="F2157" t="str">
            <v>VERONA</v>
          </cell>
          <cell r="G2157" t="str">
            <v>VR</v>
          </cell>
          <cell r="H2157" t="str">
            <v>ITALIA</v>
          </cell>
          <cell r="M2157" t="str">
            <v>UFFICIO ACQUISTI</v>
          </cell>
          <cell r="O2157" t="str">
            <v>335 435723</v>
          </cell>
          <cell r="P2157" t="str">
            <v>sanzenoinfissi@virgilio.it</v>
          </cell>
          <cell r="R2157" t="str">
            <v>BONIFICO BANCARIO, ALLA DATA DELLA NOSTRA CONFERMA D'ORDINE</v>
          </cell>
          <cell r="X2157">
            <v>0.25</v>
          </cell>
          <cell r="Y2157">
            <v>-0.04</v>
          </cell>
          <cell r="AB2157">
            <v>0.25</v>
          </cell>
          <cell r="AC2157">
            <v>0.25</v>
          </cell>
          <cell r="AD2157">
            <v>0.25</v>
          </cell>
          <cell r="AE2157">
            <v>0.25</v>
          </cell>
          <cell r="AF2157">
            <v>0.25</v>
          </cell>
          <cell r="AG2157">
            <v>0.25</v>
          </cell>
          <cell r="AH2157">
            <v>0.25</v>
          </cell>
          <cell r="AI2157">
            <v>0.25</v>
          </cell>
          <cell r="AJ2157">
            <v>0.25</v>
          </cell>
          <cell r="AK2157">
            <v>0.25</v>
          </cell>
          <cell r="AL2157">
            <v>0.25</v>
          </cell>
          <cell r="AM2157">
            <v>0.25</v>
          </cell>
          <cell r="AN2157">
            <v>0.25</v>
          </cell>
          <cell r="AO2157">
            <v>0.25</v>
          </cell>
          <cell r="AP2157">
            <v>0.25</v>
          </cell>
          <cell r="AQ2157">
            <v>0.25</v>
          </cell>
          <cell r="AR2157">
            <v>0.25</v>
          </cell>
          <cell r="AS2157">
            <v>0.25</v>
          </cell>
          <cell r="AT2157">
            <v>-0.04</v>
          </cell>
          <cell r="AU2157">
            <v>0.92</v>
          </cell>
          <cell r="AV2157">
            <v>20</v>
          </cell>
          <cell r="AY2157" t="str">
            <v/>
          </cell>
          <cell r="AZ2157">
            <v>0.25</v>
          </cell>
          <cell r="BA2157">
            <v>0.25</v>
          </cell>
        </row>
        <row r="2158">
          <cell r="A2158" t="str">
            <v>SAMI DI IZZO GIUSEPPE</v>
          </cell>
          <cell r="D2158" t="str">
            <v>VIA SALVATOR ROSA 28</v>
          </cell>
          <cell r="E2158" t="str">
            <v>21052</v>
          </cell>
          <cell r="F2158" t="str">
            <v>BUSTO ARSIZIO</v>
          </cell>
          <cell r="G2158" t="str">
            <v xml:space="preserve">VA </v>
          </cell>
          <cell r="H2158" t="str">
            <v>ITALIA</v>
          </cell>
          <cell r="M2158" t="str">
            <v>UFFICIO ACQUISTI</v>
          </cell>
          <cell r="N2158" t="str">
            <v>0331 323550</v>
          </cell>
          <cell r="O2158" t="str">
            <v>338 4013801</v>
          </cell>
          <cell r="R2158" t="str">
            <v>BONIFICO BANCARIO, ALLA DATA DELLA NOSTRA CONFERMA D'ORDINE</v>
          </cell>
          <cell r="X2158">
            <v>0.25</v>
          </cell>
          <cell r="Y2158">
            <v>-0.04</v>
          </cell>
          <cell r="AB2158">
            <v>0.25</v>
          </cell>
          <cell r="AC2158">
            <v>0.25</v>
          </cell>
          <cell r="AD2158">
            <v>0.25</v>
          </cell>
          <cell r="AE2158">
            <v>0.25</v>
          </cell>
          <cell r="AF2158">
            <v>0.25</v>
          </cell>
          <cell r="AG2158">
            <v>0.25</v>
          </cell>
          <cell r="AH2158">
            <v>0.25</v>
          </cell>
          <cell r="AI2158">
            <v>0.25</v>
          </cell>
          <cell r="AJ2158">
            <v>0.25</v>
          </cell>
          <cell r="AK2158">
            <v>0.25</v>
          </cell>
          <cell r="AL2158">
            <v>0.25</v>
          </cell>
          <cell r="AM2158">
            <v>0.25</v>
          </cell>
          <cell r="AN2158">
            <v>0.25</v>
          </cell>
          <cell r="AO2158">
            <v>0.25</v>
          </cell>
          <cell r="AP2158">
            <v>0.25</v>
          </cell>
          <cell r="AQ2158">
            <v>0.25</v>
          </cell>
          <cell r="AR2158">
            <v>0.25</v>
          </cell>
          <cell r="AS2158">
            <v>0.25</v>
          </cell>
          <cell r="AT2158">
            <v>-0.04</v>
          </cell>
          <cell r="AU2158">
            <v>0.92</v>
          </cell>
          <cell r="AV2158">
            <v>20</v>
          </cell>
          <cell r="AY2158" t="str">
            <v/>
          </cell>
          <cell r="AZ2158">
            <v>0.25</v>
          </cell>
          <cell r="BA2158">
            <v>0.25</v>
          </cell>
        </row>
        <row r="2159">
          <cell r="A2159" t="str">
            <v>SAN LORENZO COSTRUZIONI S.R.L.</v>
          </cell>
          <cell r="D2159" t="str">
            <v>VIA MERIGHI, 2</v>
          </cell>
          <cell r="E2159">
            <v>26029</v>
          </cell>
          <cell r="F2159" t="str">
            <v>SONCINO</v>
          </cell>
          <cell r="G2159" t="str">
            <v>CR</v>
          </cell>
          <cell r="H2159" t="str">
            <v>ITALIA</v>
          </cell>
          <cell r="M2159" t="str">
            <v>UFFICIO ACQUISTI</v>
          </cell>
          <cell r="O2159" t="str">
            <v>W. Toninelli  335 5862014</v>
          </cell>
          <cell r="P2159" t="str">
            <v>waltertoninelli@libero.it</v>
          </cell>
          <cell r="R2159" t="str">
            <v>BONIFICO BANCARIO, ALLA DATA DELLA NOSTRA CONFERMA D'ORDINE</v>
          </cell>
          <cell r="X2159">
            <v>0.25</v>
          </cell>
          <cell r="Y2159">
            <v>-0.04</v>
          </cell>
          <cell r="AB2159">
            <v>0.25</v>
          </cell>
          <cell r="AC2159">
            <v>0.25</v>
          </cell>
          <cell r="AD2159">
            <v>0.25</v>
          </cell>
          <cell r="AE2159">
            <v>0.25</v>
          </cell>
          <cell r="AF2159">
            <v>0.25</v>
          </cell>
          <cell r="AG2159">
            <v>0.25</v>
          </cell>
          <cell r="AH2159">
            <v>0.25</v>
          </cell>
          <cell r="AI2159">
            <v>0.25</v>
          </cell>
          <cell r="AJ2159">
            <v>0.25</v>
          </cell>
          <cell r="AK2159">
            <v>0.25</v>
          </cell>
          <cell r="AL2159">
            <v>0.25</v>
          </cell>
          <cell r="AM2159">
            <v>0.25</v>
          </cell>
          <cell r="AN2159">
            <v>0.25</v>
          </cell>
          <cell r="AO2159">
            <v>0.25</v>
          </cell>
          <cell r="AP2159">
            <v>0.25</v>
          </cell>
          <cell r="AQ2159">
            <v>0.25</v>
          </cell>
          <cell r="AR2159">
            <v>0.25</v>
          </cell>
          <cell r="AS2159">
            <v>0.25</v>
          </cell>
          <cell r="AT2159">
            <v>-0.04</v>
          </cell>
          <cell r="AU2159">
            <v>0.92</v>
          </cell>
          <cell r="AV2159">
            <v>20</v>
          </cell>
          <cell r="AY2159" t="str">
            <v/>
          </cell>
          <cell r="AZ2159">
            <v>0.25</v>
          </cell>
          <cell r="BA2159">
            <v>0.25</v>
          </cell>
        </row>
        <row r="2160">
          <cell r="A2160" t="str">
            <v>SANDRI SERRAMENTI</v>
          </cell>
          <cell r="D2160" t="str">
            <v>VIA MENEGO, 318</v>
          </cell>
          <cell r="E2160">
            <v>37020</v>
          </cell>
          <cell r="F2160" t="str">
            <v>VOLARGNE</v>
          </cell>
          <cell r="G2160" t="str">
            <v>VR</v>
          </cell>
          <cell r="H2160" t="str">
            <v>ITALIA</v>
          </cell>
          <cell r="I2160" t="str">
            <v>03181010236</v>
          </cell>
          <cell r="J2160" t="str">
            <v>03181010236</v>
          </cell>
          <cell r="M2160" t="str">
            <v>UFFICIO ACQUISTI</v>
          </cell>
          <cell r="N2160" t="str">
            <v>0456 861764</v>
          </cell>
          <cell r="O2160" t="str">
            <v>340 7706084</v>
          </cell>
          <cell r="P2160" t="str">
            <v>info@sandriserramenti.it</v>
          </cell>
          <cell r="R2160" t="str">
            <v>BONIFICO BANCARIO, ALLA DATA DELLA NOSTRA CONFERMA D'ORDINE</v>
          </cell>
          <cell r="X2160">
            <v>0.25</v>
          </cell>
          <cell r="Y2160">
            <v>-0.04</v>
          </cell>
          <cell r="AB2160">
            <v>0.25</v>
          </cell>
          <cell r="AC2160">
            <v>0.25</v>
          </cell>
          <cell r="AD2160">
            <v>0.25</v>
          </cell>
          <cell r="AE2160">
            <v>0.25</v>
          </cell>
          <cell r="AF2160">
            <v>0.25</v>
          </cell>
          <cell r="AG2160">
            <v>0.25</v>
          </cell>
          <cell r="AH2160">
            <v>0.25</v>
          </cell>
          <cell r="AI2160">
            <v>0.25</v>
          </cell>
          <cell r="AJ2160">
            <v>0.25</v>
          </cell>
          <cell r="AK2160">
            <v>0.25</v>
          </cell>
          <cell r="AL2160">
            <v>0.25</v>
          </cell>
          <cell r="AM2160">
            <v>0.25</v>
          </cell>
          <cell r="AN2160">
            <v>0.25</v>
          </cell>
          <cell r="AO2160">
            <v>0.25</v>
          </cell>
          <cell r="AP2160">
            <v>0.25</v>
          </cell>
          <cell r="AQ2160">
            <v>0.25</v>
          </cell>
          <cell r="AR2160">
            <v>0.25</v>
          </cell>
          <cell r="AS2160">
            <v>0.25</v>
          </cell>
          <cell r="AT2160">
            <v>-0.04</v>
          </cell>
          <cell r="AU2160">
            <v>0.92</v>
          </cell>
          <cell r="AV2160">
            <v>20</v>
          </cell>
          <cell r="AY2160" t="str">
            <v/>
          </cell>
          <cell r="AZ2160">
            <v>0.25</v>
          </cell>
          <cell r="BA2160">
            <v>0.25</v>
          </cell>
        </row>
        <row r="2161">
          <cell r="A2161" t="str">
            <v>SANDRINI SERRANDE SRL</v>
          </cell>
          <cell r="D2161" t="str">
            <v>VIA VANZOLINO</v>
          </cell>
          <cell r="E2161" t="str">
            <v>25052</v>
          </cell>
          <cell r="F2161" t="str">
            <v>PIANCOGNO</v>
          </cell>
          <cell r="G2161" t="str">
            <v>BS</v>
          </cell>
          <cell r="H2161" t="str">
            <v>ITALIA</v>
          </cell>
          <cell r="J2161" t="str">
            <v>02209850987</v>
          </cell>
          <cell r="M2161" t="str">
            <v>UFFICIO ACQUISTI</v>
          </cell>
          <cell r="N2161" t="str">
            <v>0364 368908</v>
          </cell>
          <cell r="O2161" t="str">
            <v>348 3869947</v>
          </cell>
          <cell r="P2161" t="str">
            <v>info@sandriniserrande.it</v>
          </cell>
          <cell r="R2161" t="str">
            <v>BONIFICO BANCARIO, ALLA DATA DELLA NOSTRA CONFERMA D'ORDINE</v>
          </cell>
          <cell r="X2161">
            <v>0.2</v>
          </cell>
          <cell r="Y2161">
            <v>-0.04</v>
          </cell>
          <cell r="AB2161">
            <v>0.2</v>
          </cell>
          <cell r="AC2161">
            <v>0.2</v>
          </cell>
          <cell r="AD2161">
            <v>0.2</v>
          </cell>
          <cell r="AE2161">
            <v>0.2</v>
          </cell>
          <cell r="AF2161">
            <v>0.2</v>
          </cell>
          <cell r="AG2161">
            <v>0.2</v>
          </cell>
          <cell r="AH2161">
            <v>0.2</v>
          </cell>
          <cell r="AI2161">
            <v>0.2</v>
          </cell>
          <cell r="AJ2161">
            <v>0.2</v>
          </cell>
          <cell r="AK2161">
            <v>0.2</v>
          </cell>
          <cell r="AL2161">
            <v>0.2</v>
          </cell>
          <cell r="AM2161">
            <v>0.2</v>
          </cell>
          <cell r="AN2161">
            <v>0.2</v>
          </cell>
          <cell r="AO2161">
            <v>0.2</v>
          </cell>
          <cell r="AP2161">
            <v>0.2</v>
          </cell>
          <cell r="AQ2161">
            <v>0.2</v>
          </cell>
          <cell r="AR2161">
            <v>0.2</v>
          </cell>
          <cell r="AS2161">
            <v>0.2</v>
          </cell>
          <cell r="AT2161">
            <v>-0.04</v>
          </cell>
          <cell r="AU2161">
            <v>0.92</v>
          </cell>
          <cell r="AV2161">
            <v>20</v>
          </cell>
          <cell r="AY2161" t="str">
            <v/>
          </cell>
          <cell r="AZ2161">
            <v>0.2</v>
          </cell>
          <cell r="BA2161">
            <v>0.2</v>
          </cell>
        </row>
        <row r="2162">
          <cell r="A2162" t="str">
            <v>SANGIORGIO COSTRUZIONI SRL</v>
          </cell>
          <cell r="D2162" t="str">
            <v>VIA PROVINCIALE 8</v>
          </cell>
          <cell r="E2162" t="str">
            <v>44020</v>
          </cell>
          <cell r="F2162" t="str">
            <v>BOSCO MESOLA</v>
          </cell>
          <cell r="G2162" t="str">
            <v>FE</v>
          </cell>
          <cell r="H2162" t="str">
            <v>ITALIA</v>
          </cell>
          <cell r="J2162" t="str">
            <v>01345170383</v>
          </cell>
          <cell r="M2162" t="str">
            <v>UFFICIO ACQUISTI</v>
          </cell>
          <cell r="N2162" t="str">
            <v>0533 794543</v>
          </cell>
          <cell r="R2162" t="str">
            <v>BONIFICO BANCARIO, ALLA DATA DELLA NOSTRA CONFERMA D'ORDINE</v>
          </cell>
          <cell r="X2162">
            <v>0.15</v>
          </cell>
          <cell r="Y2162">
            <v>-0.04</v>
          </cell>
          <cell r="AB2162">
            <v>0.15</v>
          </cell>
          <cell r="AC2162">
            <v>0.15</v>
          </cell>
          <cell r="AD2162">
            <v>0.15</v>
          </cell>
          <cell r="AE2162">
            <v>0.15</v>
          </cell>
          <cell r="AF2162">
            <v>0.15</v>
          </cell>
          <cell r="AG2162">
            <v>0.15</v>
          </cell>
          <cell r="AH2162">
            <v>0.15</v>
          </cell>
          <cell r="AI2162">
            <v>0.15</v>
          </cell>
          <cell r="AJ2162">
            <v>0.15</v>
          </cell>
          <cell r="AK2162">
            <v>0.15</v>
          </cell>
          <cell r="AL2162">
            <v>0.15</v>
          </cell>
          <cell r="AM2162">
            <v>0.15</v>
          </cell>
          <cell r="AN2162">
            <v>0.15</v>
          </cell>
          <cell r="AO2162">
            <v>0.15</v>
          </cell>
          <cell r="AP2162">
            <v>0.15</v>
          </cell>
          <cell r="AQ2162">
            <v>0.15</v>
          </cell>
          <cell r="AR2162">
            <v>0.15</v>
          </cell>
          <cell r="AS2162">
            <v>0.15</v>
          </cell>
          <cell r="AT2162">
            <v>-0.04</v>
          </cell>
          <cell r="AU2162">
            <v>0.92</v>
          </cell>
          <cell r="AV2162">
            <v>20</v>
          </cell>
          <cell r="AY2162" t="str">
            <v/>
          </cell>
          <cell r="AZ2162">
            <v>0.15</v>
          </cell>
          <cell r="BA2162">
            <v>0.15</v>
          </cell>
        </row>
        <row r="2163">
          <cell r="A2163" t="str">
            <v>SANIDRA SRL</v>
          </cell>
          <cell r="D2163" t="str">
            <v>VIA PRA', 6R</v>
          </cell>
          <cell r="E2163">
            <v>16157</v>
          </cell>
          <cell r="F2163" t="str">
            <v>GENOVA</v>
          </cell>
          <cell r="G2163" t="str">
            <v>GE</v>
          </cell>
          <cell r="H2163" t="str">
            <v>ITALIA</v>
          </cell>
          <cell r="J2163" t="str">
            <v> 02505310991</v>
          </cell>
          <cell r="M2163" t="str">
            <v>UFFICIO ACQUISTI</v>
          </cell>
          <cell r="O2163" t="str">
            <v>347 1000118 AMBROSINI STEFANO</v>
          </cell>
          <cell r="P2163" t="str">
            <v>s.ambrosini@sanidra.it</v>
          </cell>
          <cell r="R2163" t="str">
            <v>BONIFICO BANCARIO, ALLA DATA DELLA NOSTRA CONFERMA D'ORDINE</v>
          </cell>
          <cell r="X2163">
            <v>0.25</v>
          </cell>
          <cell r="Y2163">
            <v>-0.04</v>
          </cell>
          <cell r="AB2163">
            <v>0.25</v>
          </cell>
          <cell r="AC2163">
            <v>0.25</v>
          </cell>
          <cell r="AD2163">
            <v>0.25</v>
          </cell>
          <cell r="AE2163">
            <v>0.25</v>
          </cell>
          <cell r="AF2163">
            <v>0.25</v>
          </cell>
          <cell r="AG2163">
            <v>0.25</v>
          </cell>
          <cell r="AH2163">
            <v>0.25</v>
          </cell>
          <cell r="AI2163">
            <v>0.25</v>
          </cell>
          <cell r="AJ2163">
            <v>0.25</v>
          </cell>
          <cell r="AK2163">
            <v>0.25</v>
          </cell>
          <cell r="AL2163">
            <v>0.25</v>
          </cell>
          <cell r="AM2163">
            <v>0.25</v>
          </cell>
          <cell r="AN2163">
            <v>0.25</v>
          </cell>
          <cell r="AO2163">
            <v>0.25</v>
          </cell>
          <cell r="AP2163">
            <v>0.25</v>
          </cell>
          <cell r="AQ2163">
            <v>0.25</v>
          </cell>
          <cell r="AR2163">
            <v>0.25</v>
          </cell>
          <cell r="AS2163">
            <v>0.25</v>
          </cell>
          <cell r="AT2163">
            <v>-0.04</v>
          </cell>
          <cell r="AU2163">
            <v>0.92</v>
          </cell>
          <cell r="AV2163">
            <v>20</v>
          </cell>
          <cell r="AY2163" t="str">
            <v/>
          </cell>
          <cell r="AZ2163">
            <v>0.25</v>
          </cell>
          <cell r="BA2163">
            <v>0.25</v>
          </cell>
        </row>
        <row r="2164">
          <cell r="A2164" t="str">
            <v xml:space="preserve">SANINO </v>
          </cell>
          <cell r="D2164" t="str">
            <v>VIA MONTENELLO, 6</v>
          </cell>
          <cell r="E2164">
            <v>12042</v>
          </cell>
          <cell r="F2164" t="str">
            <v>BRA</v>
          </cell>
          <cell r="G2164" t="str">
            <v>CN</v>
          </cell>
          <cell r="H2164" t="str">
            <v>ITALIA</v>
          </cell>
          <cell r="M2164" t="str">
            <v>UFFICIO ACQUISTI</v>
          </cell>
          <cell r="N2164" t="str">
            <v>0172 60345</v>
          </cell>
          <cell r="O2164" t="str">
            <v xml:space="preserve"> lLivio Sanino 335 7048263</v>
          </cell>
          <cell r="P2164" t="str">
            <v>livio.sanino@gmail.com</v>
          </cell>
          <cell r="R2164" t="str">
            <v>BONIFICO BANCARIO, ALLA DATA DELLA NOSTRA CONFERMA D'ORDINE</v>
          </cell>
          <cell r="X2164">
            <v>0.25</v>
          </cell>
          <cell r="Y2164">
            <v>-0.04</v>
          </cell>
          <cell r="AB2164">
            <v>0.25</v>
          </cell>
          <cell r="AC2164">
            <v>0.25</v>
          </cell>
          <cell r="AD2164">
            <v>0.25</v>
          </cell>
          <cell r="AE2164">
            <v>0.25</v>
          </cell>
          <cell r="AF2164">
            <v>0.25</v>
          </cell>
          <cell r="AG2164">
            <v>0.25</v>
          </cell>
          <cell r="AH2164">
            <v>0.25</v>
          </cell>
          <cell r="AI2164">
            <v>0.25</v>
          </cell>
          <cell r="AJ2164">
            <v>0.25</v>
          </cell>
          <cell r="AK2164">
            <v>0.25</v>
          </cell>
          <cell r="AL2164">
            <v>0.25</v>
          </cell>
          <cell r="AM2164">
            <v>0.25</v>
          </cell>
          <cell r="AN2164">
            <v>0.25</v>
          </cell>
          <cell r="AO2164">
            <v>0.25</v>
          </cell>
          <cell r="AP2164">
            <v>0.25</v>
          </cell>
          <cell r="AQ2164">
            <v>0.25</v>
          </cell>
          <cell r="AR2164">
            <v>0.25</v>
          </cell>
          <cell r="AS2164">
            <v>0.25</v>
          </cell>
          <cell r="AT2164">
            <v>-0.04</v>
          </cell>
          <cell r="AU2164">
            <v>0.92</v>
          </cell>
          <cell r="AV2164">
            <v>20</v>
          </cell>
          <cell r="AY2164" t="str">
            <v/>
          </cell>
          <cell r="AZ2164">
            <v>0.25</v>
          </cell>
          <cell r="BA2164">
            <v>0.25</v>
          </cell>
        </row>
        <row r="2165">
          <cell r="A2165" t="str">
            <v>SANNA CRISTIAN</v>
          </cell>
          <cell r="B2165" t="str">
            <v>SOLO BIGLIETTO DA VISITA</v>
          </cell>
          <cell r="D2165" t="str">
            <v>LOCALITA' ORTUNULLI S.N.</v>
          </cell>
          <cell r="E2165" t="str">
            <v>08022</v>
          </cell>
          <cell r="F2165" t="str">
            <v>DORGALI</v>
          </cell>
          <cell r="G2165" t="str">
            <v>NU</v>
          </cell>
          <cell r="H2165" t="str">
            <v>ITALIA</v>
          </cell>
          <cell r="M2165" t="str">
            <v>UFFICIO ACQUISTI</v>
          </cell>
          <cell r="O2165" t="str">
            <v>340 6146813</v>
          </cell>
          <cell r="R2165" t="str">
            <v>BONIFICO BANCARIO, ALLA DATA DELLA NOSTRA CONFERMA D'ORDINE</v>
          </cell>
          <cell r="X2165">
            <v>0.25</v>
          </cell>
          <cell r="Y2165">
            <v>-0.04</v>
          </cell>
          <cell r="AB2165">
            <v>0.25</v>
          </cell>
          <cell r="AC2165">
            <v>0.25</v>
          </cell>
          <cell r="AD2165">
            <v>0.25</v>
          </cell>
          <cell r="AE2165">
            <v>0.25</v>
          </cell>
          <cell r="AF2165">
            <v>0.25</v>
          </cell>
          <cell r="AG2165">
            <v>0.25</v>
          </cell>
          <cell r="AH2165">
            <v>0.25</v>
          </cell>
          <cell r="AI2165">
            <v>0.25</v>
          </cell>
          <cell r="AJ2165">
            <v>0.25</v>
          </cell>
          <cell r="AK2165">
            <v>0.25</v>
          </cell>
          <cell r="AL2165">
            <v>0.25</v>
          </cell>
          <cell r="AM2165">
            <v>0.25</v>
          </cell>
          <cell r="AN2165">
            <v>0.25</v>
          </cell>
          <cell r="AO2165">
            <v>0.25</v>
          </cell>
          <cell r="AP2165">
            <v>0.25</v>
          </cell>
          <cell r="AQ2165">
            <v>0.25</v>
          </cell>
          <cell r="AR2165">
            <v>0.25</v>
          </cell>
          <cell r="AS2165">
            <v>0.25</v>
          </cell>
          <cell r="AT2165">
            <v>-0.04</v>
          </cell>
          <cell r="AU2165">
            <v>0.92</v>
          </cell>
          <cell r="AV2165">
            <v>20</v>
          </cell>
          <cell r="AZ2165">
            <v>0.25</v>
          </cell>
          <cell r="BA2165">
            <v>0.25</v>
          </cell>
        </row>
        <row r="2166">
          <cell r="A2166" t="str">
            <v>SANNA FULVIO</v>
          </cell>
          <cell r="B2166" t="str">
            <v>158 + IVA  + TRASPORTO 20 + IVA</v>
          </cell>
          <cell r="D2166" t="str">
            <v>STRADA PROVINCIALE, 8</v>
          </cell>
          <cell r="E2166" t="str">
            <v>09028</v>
          </cell>
          <cell r="F2166" t="str">
            <v>SESTU</v>
          </cell>
          <cell r="G2166" t="str">
            <v>CA</v>
          </cell>
          <cell r="H2166" t="str">
            <v>ITALIA</v>
          </cell>
          <cell r="I2166" t="str">
            <v>SNNFLV73E24B354H</v>
          </cell>
          <cell r="J2166" t="str">
            <v>02722020928</v>
          </cell>
          <cell r="K2166" t="str">
            <v>KRRH6B9</v>
          </cell>
          <cell r="M2166" t="str">
            <v>UFFICIO ACQUISTI</v>
          </cell>
          <cell r="N2166" t="str">
            <v>070 238398</v>
          </cell>
          <cell r="O2166" t="str">
            <v>347 0537485</v>
          </cell>
          <cell r="P2166" t="str">
            <v>fulvio.sanna@tiscali.it</v>
          </cell>
          <cell r="R2166" t="str">
            <v>BONIFICO BANCARIO, ALLA DATA DELLA NOSTRA CONFERMA D'ORDINE</v>
          </cell>
          <cell r="X2166">
            <v>0.25</v>
          </cell>
          <cell r="Y2166">
            <v>-0.04</v>
          </cell>
          <cell r="AB2166">
            <v>0.25</v>
          </cell>
          <cell r="AC2166">
            <v>0.25</v>
          </cell>
          <cell r="AD2166">
            <v>0.25</v>
          </cell>
          <cell r="AE2166">
            <v>0.25</v>
          </cell>
          <cell r="AF2166">
            <v>0.25</v>
          </cell>
          <cell r="AG2166">
            <v>0.25</v>
          </cell>
          <cell r="AH2166">
            <v>0.25</v>
          </cell>
          <cell r="AI2166">
            <v>0.25</v>
          </cell>
          <cell r="AJ2166">
            <v>0.25</v>
          </cell>
          <cell r="AK2166">
            <v>0.25</v>
          </cell>
          <cell r="AL2166">
            <v>0.25</v>
          </cell>
          <cell r="AM2166">
            <v>0.25</v>
          </cell>
          <cell r="AN2166">
            <v>0.25</v>
          </cell>
          <cell r="AO2166">
            <v>0.25</v>
          </cell>
          <cell r="AP2166">
            <v>0.25</v>
          </cell>
          <cell r="AQ2166">
            <v>0.25</v>
          </cell>
          <cell r="AR2166">
            <v>0.25</v>
          </cell>
          <cell r="AS2166">
            <v>0.25</v>
          </cell>
          <cell r="AT2166">
            <v>-0.04</v>
          </cell>
          <cell r="AU2166">
            <v>0.92</v>
          </cell>
          <cell r="AV2166">
            <v>20</v>
          </cell>
          <cell r="AZ2166">
            <v>0.25</v>
          </cell>
          <cell r="BA2166">
            <v>0.25</v>
          </cell>
          <cell r="BF2166" t="str">
            <v>CLICK RAPID con carpenteria 14/04/2021</v>
          </cell>
        </row>
        <row r="2167">
          <cell r="A2167" t="str">
            <v>SANSIRO SRL</v>
          </cell>
          <cell r="D2167" t="str">
            <v>VIA SMERALDO 31/33</v>
          </cell>
          <cell r="E2167" t="str">
            <v>58100</v>
          </cell>
          <cell r="F2167" t="str">
            <v>GROSSETO</v>
          </cell>
          <cell r="G2167" t="str">
            <v>GR</v>
          </cell>
          <cell r="H2167" t="str">
            <v>ITALIA</v>
          </cell>
          <cell r="J2167" t="str">
            <v>01549130530</v>
          </cell>
          <cell r="M2167" t="str">
            <v>UFFICIO ACQUISTI</v>
          </cell>
          <cell r="N2167" t="str">
            <v>563 450695</v>
          </cell>
          <cell r="O2167" t="str">
            <v>342 0224673</v>
          </cell>
          <cell r="P2167" t="str">
            <v>info@m2casa.it</v>
          </cell>
          <cell r="R2167" t="str">
            <v>BONIFICO BANCARIO, ALLA DATA DELLA NOSTRA CONFERMA D'ORDINE</v>
          </cell>
          <cell r="X2167">
            <v>0.25</v>
          </cell>
          <cell r="Y2167">
            <v>-0.04</v>
          </cell>
          <cell r="AB2167">
            <v>0.25</v>
          </cell>
          <cell r="AC2167">
            <v>0.25</v>
          </cell>
          <cell r="AD2167">
            <v>0.25</v>
          </cell>
          <cell r="AE2167">
            <v>0.25</v>
          </cell>
          <cell r="AF2167">
            <v>0.25</v>
          </cell>
          <cell r="AG2167">
            <v>0.25</v>
          </cell>
          <cell r="AH2167">
            <v>0.25</v>
          </cell>
          <cell r="AI2167">
            <v>0.25</v>
          </cell>
          <cell r="AJ2167">
            <v>0.25</v>
          </cell>
          <cell r="AK2167">
            <v>0.25</v>
          </cell>
          <cell r="AL2167">
            <v>0.25</v>
          </cell>
          <cell r="AM2167">
            <v>0.25</v>
          </cell>
          <cell r="AN2167">
            <v>0.25</v>
          </cell>
          <cell r="AO2167">
            <v>0.25</v>
          </cell>
          <cell r="AP2167">
            <v>0.25</v>
          </cell>
          <cell r="AQ2167">
            <v>0.25</v>
          </cell>
          <cell r="AR2167">
            <v>0.25</v>
          </cell>
          <cell r="AS2167">
            <v>0.25</v>
          </cell>
          <cell r="AT2167">
            <v>-0.04</v>
          </cell>
          <cell r="AU2167">
            <v>0.92</v>
          </cell>
          <cell r="AV2167">
            <v>20</v>
          </cell>
          <cell r="AY2167" t="str">
            <v/>
          </cell>
          <cell r="AZ2167">
            <v>0.25</v>
          </cell>
          <cell r="BA2167">
            <v>0.25</v>
          </cell>
        </row>
        <row r="2168">
          <cell r="A2168" t="str">
            <v>SANTORO</v>
          </cell>
          <cell r="D2168" t="str">
            <v>VIA LEONARDO DA VINCI  (ZONA INDUSTRIALE)</v>
          </cell>
          <cell r="E2168">
            <v>98051</v>
          </cell>
          <cell r="F2168" t="str">
            <v>BARC.POZZO DI GOTTO</v>
          </cell>
          <cell r="G2168" t="str">
            <v>ME</v>
          </cell>
          <cell r="H2168" t="str">
            <v>ITALIA</v>
          </cell>
          <cell r="J2168" t="str">
            <v> 03567580836</v>
          </cell>
          <cell r="M2168" t="str">
            <v>UFFICIO ACQUISTI</v>
          </cell>
          <cell r="N2168" t="str">
            <v>090 9797965</v>
          </cell>
          <cell r="O2168">
            <v>3358401783</v>
          </cell>
          <cell r="P2168" t="str">
            <v>info@santorogiuseppe.com</v>
          </cell>
          <cell r="R2168" t="str">
            <v>BONIFICO BANCARIO, ALLA DATA DELLA NOSTRA CONFERMA D'ORDINE</v>
          </cell>
          <cell r="X2168">
            <v>0.25</v>
          </cell>
          <cell r="Y2168">
            <v>-0.04</v>
          </cell>
          <cell r="AB2168">
            <v>0.25</v>
          </cell>
          <cell r="AC2168">
            <v>0.25</v>
          </cell>
          <cell r="AD2168">
            <v>0.25</v>
          </cell>
          <cell r="AE2168">
            <v>0.25</v>
          </cell>
          <cell r="AF2168">
            <v>0.25</v>
          </cell>
          <cell r="AG2168">
            <v>0.25</v>
          </cell>
          <cell r="AH2168">
            <v>0.25</v>
          </cell>
          <cell r="AI2168">
            <v>0.25</v>
          </cell>
          <cell r="AJ2168">
            <v>0.25</v>
          </cell>
          <cell r="AK2168">
            <v>0.25</v>
          </cell>
          <cell r="AL2168">
            <v>0.25</v>
          </cell>
          <cell r="AM2168">
            <v>0.25</v>
          </cell>
          <cell r="AN2168">
            <v>0.25</v>
          </cell>
          <cell r="AO2168">
            <v>0.25</v>
          </cell>
          <cell r="AP2168">
            <v>0.25</v>
          </cell>
          <cell r="AQ2168">
            <v>0.25</v>
          </cell>
          <cell r="AR2168">
            <v>0.25</v>
          </cell>
          <cell r="AS2168">
            <v>0.25</v>
          </cell>
          <cell r="AT2168">
            <v>-0.04</v>
          </cell>
          <cell r="AU2168">
            <v>0.92</v>
          </cell>
          <cell r="AV2168">
            <v>20</v>
          </cell>
          <cell r="AY2168" t="str">
            <v/>
          </cell>
          <cell r="AZ2168">
            <v>0.25</v>
          </cell>
          <cell r="BA2168">
            <v>0.25</v>
          </cell>
        </row>
        <row r="2169">
          <cell r="A2169" t="str">
            <v>SAP SERRAMENTI  S.N.C. DI ZOCCA ELENA E ZAVATTIERO SANDRO</v>
          </cell>
          <cell r="D2169" t="str">
            <v>VIA PIETRE, 45</v>
          </cell>
          <cell r="E2169">
            <v>36026</v>
          </cell>
          <cell r="F2169" t="str">
            <v>CAGNANO DI POJANA MAGGIORE</v>
          </cell>
          <cell r="G2169" t="str">
            <v>VI</v>
          </cell>
          <cell r="H2169" t="str">
            <v>ITALIA</v>
          </cell>
          <cell r="I2169" t="str">
            <v>00565540234</v>
          </cell>
          <cell r="J2169" t="str">
            <v>01318110242</v>
          </cell>
          <cell r="M2169" t="str">
            <v>UFFICIO ACQUISTI</v>
          </cell>
          <cell r="N2169" t="str">
            <v>0444 764072</v>
          </cell>
          <cell r="P2169" t="str">
            <v>info@sapserramenti.com</v>
          </cell>
          <cell r="R2169" t="str">
            <v>BONIFICO BANCARIO, ALLA DATA DELLA NOSTRA CONFERMA D'ORDINE</v>
          </cell>
          <cell r="X2169">
            <v>0.25</v>
          </cell>
          <cell r="Y2169">
            <v>-0.04</v>
          </cell>
          <cell r="AB2169">
            <v>0.25</v>
          </cell>
          <cell r="AC2169">
            <v>0.25</v>
          </cell>
          <cell r="AD2169">
            <v>0.25</v>
          </cell>
          <cell r="AE2169">
            <v>0.25</v>
          </cell>
          <cell r="AF2169">
            <v>0.25</v>
          </cell>
          <cell r="AG2169">
            <v>0.25</v>
          </cell>
          <cell r="AH2169">
            <v>0.25</v>
          </cell>
          <cell r="AI2169">
            <v>0.25</v>
          </cell>
          <cell r="AJ2169">
            <v>0.25</v>
          </cell>
          <cell r="AK2169">
            <v>0.25</v>
          </cell>
          <cell r="AL2169">
            <v>0.25</v>
          </cell>
          <cell r="AM2169">
            <v>0.25</v>
          </cell>
          <cell r="AN2169">
            <v>0.25</v>
          </cell>
          <cell r="AO2169">
            <v>0.25</v>
          </cell>
          <cell r="AP2169">
            <v>0.25</v>
          </cell>
          <cell r="AQ2169">
            <v>0.25</v>
          </cell>
          <cell r="AR2169">
            <v>0.25</v>
          </cell>
          <cell r="AS2169">
            <v>0.25</v>
          </cell>
          <cell r="AT2169">
            <v>-0.04</v>
          </cell>
          <cell r="AU2169">
            <v>0.92</v>
          </cell>
          <cell r="AV2169">
            <v>20</v>
          </cell>
          <cell r="AY2169" t="str">
            <v/>
          </cell>
          <cell r="AZ2169">
            <v>0.25</v>
          </cell>
          <cell r="BA2169">
            <v>0.25</v>
          </cell>
        </row>
        <row r="2170">
          <cell r="A2170" t="str">
            <v>SAR DI ROMANO CALZOLARI</v>
          </cell>
          <cell r="C2170" t="str">
            <v>BO1</v>
          </cell>
          <cell r="D2170" t="str">
            <v>VIA BATTIDARNO 358/2</v>
          </cell>
          <cell r="E2170">
            <v>40133</v>
          </cell>
          <cell r="F2170" t="str">
            <v>BOLOGNA</v>
          </cell>
          <cell r="G2170" t="str">
            <v>BO</v>
          </cell>
          <cell r="H2170" t="str">
            <v>ITALIA</v>
          </cell>
          <cell r="I2170" t="str">
            <v>CLZRMN56B16A944A</v>
          </cell>
          <cell r="J2170" t="str">
            <v>01806551204</v>
          </cell>
          <cell r="K2170" t="str">
            <v>BA6ET11</v>
          </cell>
          <cell r="M2170" t="str">
            <v>UFFICIO ACQUISTI</v>
          </cell>
          <cell r="N2170" t="str">
            <v>051 6195464</v>
          </cell>
          <cell r="O2170" t="str">
            <v>335 6551515 OPPURE 3471648895</v>
          </cell>
          <cell r="P2170" t="str">
            <v>sarserramenti@libero.it</v>
          </cell>
          <cell r="R2170" t="str">
            <v>BONIFICO BANCARIO, ALLA DATA DELLA NOSTRA CONFERMA D'ORDINE</v>
          </cell>
          <cell r="X2170">
            <v>0.25</v>
          </cell>
          <cell r="Y2170">
            <v>-0.04</v>
          </cell>
          <cell r="AB2170">
            <v>0.25</v>
          </cell>
          <cell r="AC2170">
            <v>0.25</v>
          </cell>
          <cell r="AD2170">
            <v>0.25</v>
          </cell>
          <cell r="AE2170">
            <v>0.25</v>
          </cell>
          <cell r="AF2170">
            <v>0.25</v>
          </cell>
          <cell r="AG2170">
            <v>0.25</v>
          </cell>
          <cell r="AH2170">
            <v>0.25</v>
          </cell>
          <cell r="AI2170">
            <v>0.25</v>
          </cell>
          <cell r="AJ2170">
            <v>0.25</v>
          </cell>
          <cell r="AK2170">
            <v>0.25</v>
          </cell>
          <cell r="AL2170">
            <v>0.25</v>
          </cell>
          <cell r="AM2170">
            <v>0.25</v>
          </cell>
          <cell r="AN2170">
            <v>0.25</v>
          </cell>
          <cell r="AO2170">
            <v>0.25</v>
          </cell>
          <cell r="AP2170">
            <v>0.25</v>
          </cell>
          <cell r="AQ2170">
            <v>0.25</v>
          </cell>
          <cell r="AR2170">
            <v>0.25</v>
          </cell>
          <cell r="AS2170">
            <v>0.25</v>
          </cell>
          <cell r="AT2170">
            <v>-0.04</v>
          </cell>
          <cell r="AU2170">
            <v>0.88</v>
          </cell>
          <cell r="AV2170">
            <v>20</v>
          </cell>
          <cell r="AY2170" t="str">
            <v/>
          </cell>
          <cell r="AZ2170">
            <v>0.25</v>
          </cell>
          <cell r="BA2170">
            <v>0.25</v>
          </cell>
          <cell r="BF2170" t="str">
            <v>CLICK RAPID con carpenteria 10/01/2020</v>
          </cell>
        </row>
        <row r="2171">
          <cell r="A2171" t="str">
            <v>SARANDRIA FRANCESCO</v>
          </cell>
          <cell r="D2171" t="str">
            <v>VIA DELLE COLLINE, 3 A</v>
          </cell>
          <cell r="E2171">
            <v>56025</v>
          </cell>
          <cell r="F2171" t="str">
            <v>PONTEDERA</v>
          </cell>
          <cell r="G2171" t="str">
            <v>PI</v>
          </cell>
          <cell r="H2171" t="str">
            <v>ITALIA</v>
          </cell>
          <cell r="M2171" t="str">
            <v>UFFICIO ACQUISTI</v>
          </cell>
          <cell r="N2171" t="str">
            <v>0587 483356</v>
          </cell>
          <cell r="O2171" t="str">
            <v>348 7843467   348 5146514</v>
          </cell>
          <cell r="P2171" t="str">
            <v>marcosarandria@libero.it</v>
          </cell>
          <cell r="R2171" t="str">
            <v>BONIFICO BANCARIO, ALLA DATA DELLA NOSTRA CONFERMA D'ORDINE</v>
          </cell>
          <cell r="X2171">
            <v>0.25</v>
          </cell>
          <cell r="Y2171">
            <v>-0.04</v>
          </cell>
          <cell r="AB2171">
            <v>0.25</v>
          </cell>
          <cell r="AC2171">
            <v>0.25</v>
          </cell>
          <cell r="AD2171">
            <v>0.25</v>
          </cell>
          <cell r="AE2171">
            <v>0.25</v>
          </cell>
          <cell r="AF2171">
            <v>0.25</v>
          </cell>
          <cell r="AG2171">
            <v>0.25</v>
          </cell>
          <cell r="AH2171">
            <v>0.25</v>
          </cell>
          <cell r="AI2171">
            <v>0.25</v>
          </cell>
          <cell r="AJ2171">
            <v>0.25</v>
          </cell>
          <cell r="AK2171">
            <v>0.25</v>
          </cell>
          <cell r="AL2171">
            <v>0.25</v>
          </cell>
          <cell r="AM2171">
            <v>0.25</v>
          </cell>
          <cell r="AN2171">
            <v>0.25</v>
          </cell>
          <cell r="AO2171">
            <v>0.25</v>
          </cell>
          <cell r="AP2171">
            <v>0.25</v>
          </cell>
          <cell r="AQ2171">
            <v>0.25</v>
          </cell>
          <cell r="AR2171">
            <v>0.25</v>
          </cell>
          <cell r="AS2171">
            <v>0.25</v>
          </cell>
          <cell r="AT2171">
            <v>-0.04</v>
          </cell>
          <cell r="AU2171">
            <v>0.92</v>
          </cell>
          <cell r="AV2171">
            <v>20</v>
          </cell>
          <cell r="AY2171" t="str">
            <v/>
          </cell>
          <cell r="AZ2171">
            <v>0.25</v>
          </cell>
          <cell r="BA2171">
            <v>0.25</v>
          </cell>
        </row>
        <row r="2172">
          <cell r="A2172" t="str">
            <v>SARDAANTINCENDI SRL</v>
          </cell>
          <cell r="B2172" t="str">
            <v>SOLO BIGLIETTO DA VISITA</v>
          </cell>
          <cell r="D2172" t="str">
            <v>VIA MEUCCI, 24/B ZONA IND.LE</v>
          </cell>
          <cell r="E2172" t="str">
            <v>09047</v>
          </cell>
          <cell r="F2172" t="str">
            <v>SELARGIUS</v>
          </cell>
          <cell r="G2172" t="str">
            <v>CA</v>
          </cell>
          <cell r="H2172" t="str">
            <v>ITALIA</v>
          </cell>
          <cell r="J2172" t="str">
            <v>01676970922</v>
          </cell>
          <cell r="M2172" t="str">
            <v>UFFICIO ACQUISTI</v>
          </cell>
          <cell r="N2172" t="str">
            <v>070 841441</v>
          </cell>
          <cell r="P2172" t="str">
            <v>info@sardaantincendi.it</v>
          </cell>
          <cell r="R2172" t="str">
            <v>BONIFICO BANCARIO, ALLA DATA DELLA NOSTRA CONFERMA D'ORDINE</v>
          </cell>
          <cell r="X2172">
            <v>0.25</v>
          </cell>
          <cell r="Y2172">
            <v>-0.04</v>
          </cell>
          <cell r="AB2172">
            <v>0.25</v>
          </cell>
          <cell r="AC2172">
            <v>0.25</v>
          </cell>
          <cell r="AD2172">
            <v>0.25</v>
          </cell>
          <cell r="AE2172">
            <v>0.25</v>
          </cell>
          <cell r="AF2172">
            <v>0.25</v>
          </cell>
          <cell r="AG2172">
            <v>0.25</v>
          </cell>
          <cell r="AH2172">
            <v>0.25</v>
          </cell>
          <cell r="AI2172">
            <v>0.25</v>
          </cell>
          <cell r="AJ2172">
            <v>0.25</v>
          </cell>
          <cell r="AK2172">
            <v>0.25</v>
          </cell>
          <cell r="AL2172">
            <v>0.25</v>
          </cell>
          <cell r="AM2172">
            <v>0.25</v>
          </cell>
          <cell r="AN2172">
            <v>0.25</v>
          </cell>
          <cell r="AO2172">
            <v>0.25</v>
          </cell>
          <cell r="AP2172">
            <v>0.25</v>
          </cell>
          <cell r="AQ2172">
            <v>0.25</v>
          </cell>
          <cell r="AR2172">
            <v>0.25</v>
          </cell>
          <cell r="AS2172">
            <v>0.25</v>
          </cell>
          <cell r="AT2172">
            <v>-0.04</v>
          </cell>
          <cell r="AU2172">
            <v>0.92</v>
          </cell>
          <cell r="AV2172">
            <v>20</v>
          </cell>
          <cell r="AZ2172">
            <v>0.25</v>
          </cell>
          <cell r="BA2172">
            <v>0.25</v>
          </cell>
        </row>
        <row r="2173">
          <cell r="A2173" t="str">
            <v>SARDINI ARREDI</v>
          </cell>
          <cell r="D2173" t="str">
            <v>VIA FILIPPI9NE, 3 ZONAIND.LE SETT.7</v>
          </cell>
          <cell r="E2173" t="str">
            <v>07026</v>
          </cell>
          <cell r="F2173" t="str">
            <v>OLBIA</v>
          </cell>
          <cell r="G2173" t="str">
            <v>SS</v>
          </cell>
          <cell r="H2173" t="str">
            <v>ITALIA</v>
          </cell>
          <cell r="J2173" t="str">
            <v>01855790901</v>
          </cell>
          <cell r="K2173" t="str">
            <v>M5UXCR1</v>
          </cell>
          <cell r="M2173" t="str">
            <v>UFFICIO ACQUISTI</v>
          </cell>
          <cell r="N2173" t="str">
            <v>0789 595009</v>
          </cell>
          <cell r="P2173" t="str">
            <v>info@sardiniarredi.it</v>
          </cell>
          <cell r="R2173" t="str">
            <v>BONIFICO BANCARIO, ALLA DATA DELLA NOSTRA CONFERMA D'ORDINE</v>
          </cell>
          <cell r="X2173">
            <v>0.2</v>
          </cell>
          <cell r="Y2173">
            <v>-0.04</v>
          </cell>
          <cell r="AB2173">
            <v>0.2</v>
          </cell>
          <cell r="AC2173">
            <v>0.2</v>
          </cell>
          <cell r="AD2173">
            <v>0.2</v>
          </cell>
          <cell r="AE2173">
            <v>0.2</v>
          </cell>
          <cell r="AF2173">
            <v>0.2</v>
          </cell>
          <cell r="AG2173">
            <v>0.2</v>
          </cell>
          <cell r="AH2173">
            <v>0.2</v>
          </cell>
          <cell r="AI2173">
            <v>0.2</v>
          </cell>
          <cell r="AJ2173">
            <v>0.2</v>
          </cell>
          <cell r="AK2173">
            <v>0.2</v>
          </cell>
          <cell r="AL2173">
            <v>0.2</v>
          </cell>
          <cell r="AM2173">
            <v>0.2</v>
          </cell>
          <cell r="AN2173">
            <v>0.2</v>
          </cell>
          <cell r="AO2173">
            <v>0.2</v>
          </cell>
          <cell r="AP2173">
            <v>0.2</v>
          </cell>
          <cell r="AQ2173">
            <v>0.2</v>
          </cell>
          <cell r="AR2173">
            <v>0.2</v>
          </cell>
          <cell r="AS2173">
            <v>0.2</v>
          </cell>
          <cell r="AT2173">
            <v>-0.04</v>
          </cell>
          <cell r="AU2173">
            <v>0.92</v>
          </cell>
          <cell r="AV2173">
            <v>20</v>
          </cell>
          <cell r="AZ2173">
            <v>0.2</v>
          </cell>
          <cell r="BA2173">
            <v>0.2</v>
          </cell>
        </row>
        <row r="2174">
          <cell r="A2174" t="str">
            <v>SARL LANZONI DANIELE FRANCE</v>
          </cell>
          <cell r="D2174" t="str">
            <v>RUE EDITH CAVELL, 2</v>
          </cell>
          <cell r="E2174">
            <v>6400</v>
          </cell>
          <cell r="F2174" t="str">
            <v>CANNES</v>
          </cell>
          <cell r="G2174" t="str">
            <v>EE</v>
          </cell>
          <cell r="H2174" t="str">
            <v>FRANCIA</v>
          </cell>
          <cell r="J2174">
            <v>48498406867</v>
          </cell>
          <cell r="K2174" t="str">
            <v>XXXXXXX</v>
          </cell>
          <cell r="L2174" t="str">
            <v>SARL A.B.C. ALARME SERRURERIE EURO CLEF - ROUTE DE SAINT ESTEVE, 155 - ZONE D'ACTIVITE COMMERCIALE DE ST ESTEVE - 06640 SAINT-JEANNET</v>
          </cell>
          <cell r="M2174" t="str">
            <v>UFFICIO ACQUISTI</v>
          </cell>
          <cell r="N2174" t="str">
            <v>0493684030</v>
          </cell>
          <cell r="P2174" t="str">
            <v>info@danielelanzoni.com</v>
          </cell>
          <cell r="R2174" t="str">
            <v>VIREMENT BANCAIRE, À LA DATE DE NOTRE CONFIRMATION DE COMMANDE</v>
          </cell>
          <cell r="X2174">
            <v>0.25</v>
          </cell>
          <cell r="Y2174">
            <v>-0.04</v>
          </cell>
          <cell r="AB2174">
            <v>0.25</v>
          </cell>
          <cell r="AC2174">
            <v>0.25</v>
          </cell>
          <cell r="AD2174">
            <v>0.25</v>
          </cell>
          <cell r="AE2174">
            <v>0.25</v>
          </cell>
          <cell r="AF2174">
            <v>0.25</v>
          </cell>
          <cell r="AG2174">
            <v>0.25</v>
          </cell>
          <cell r="AH2174">
            <v>0.25</v>
          </cell>
          <cell r="AI2174">
            <v>0.25</v>
          </cell>
          <cell r="AJ2174">
            <v>0.25</v>
          </cell>
          <cell r="AK2174">
            <v>0.25</v>
          </cell>
          <cell r="AL2174">
            <v>0.25</v>
          </cell>
          <cell r="AM2174">
            <v>0.25</v>
          </cell>
          <cell r="AN2174">
            <v>0.25</v>
          </cell>
          <cell r="AO2174">
            <v>0.25</v>
          </cell>
          <cell r="AP2174">
            <v>0.25</v>
          </cell>
          <cell r="AQ2174">
            <v>0.25</v>
          </cell>
          <cell r="AR2174">
            <v>0.25</v>
          </cell>
          <cell r="AS2174">
            <v>0.25</v>
          </cell>
          <cell r="AT2174">
            <v>-0.04</v>
          </cell>
          <cell r="AU2174">
            <v>0.92</v>
          </cell>
          <cell r="AV2174">
            <v>20</v>
          </cell>
          <cell r="AY2174" t="str">
            <v/>
          </cell>
          <cell r="AZ2174">
            <v>0.25</v>
          </cell>
          <cell r="BA2174">
            <v>0.25</v>
          </cell>
        </row>
        <row r="2175">
          <cell r="A2175" t="str">
            <v>SARNO ACCURSIO</v>
          </cell>
          <cell r="D2175" t="str">
            <v>VIA ALCIDE DE GASPERI, 181</v>
          </cell>
          <cell r="E2175" t="str">
            <v>92019</v>
          </cell>
          <cell r="F2175" t="str">
            <v>SCIACCA</v>
          </cell>
          <cell r="G2175" t="str">
            <v>AG</v>
          </cell>
          <cell r="H2175" t="str">
            <v>ITALIA</v>
          </cell>
          <cell r="J2175" t="str">
            <v>02501500843</v>
          </cell>
          <cell r="M2175" t="str">
            <v>UFFICIO ACQUISTI</v>
          </cell>
          <cell r="N2175" t="str">
            <v>0925 85455</v>
          </cell>
          <cell r="O2175" t="str">
            <v>392 5035463</v>
          </cell>
          <cell r="R2175" t="str">
            <v>BONIFICO BANCARIO, ALLA DATA DELLA NOSTRA CONFERMA D'ORDINE</v>
          </cell>
          <cell r="X2175">
            <v>0.25</v>
          </cell>
          <cell r="Y2175">
            <v>-0.04</v>
          </cell>
          <cell r="AB2175">
            <v>0.25</v>
          </cell>
          <cell r="AC2175">
            <v>0.25</v>
          </cell>
          <cell r="AD2175">
            <v>0.25</v>
          </cell>
          <cell r="AE2175">
            <v>0.25</v>
          </cell>
          <cell r="AF2175">
            <v>0.25</v>
          </cell>
          <cell r="AG2175">
            <v>0.25</v>
          </cell>
          <cell r="AH2175">
            <v>0.25</v>
          </cell>
          <cell r="AI2175">
            <v>0.25</v>
          </cell>
          <cell r="AJ2175">
            <v>0.25</v>
          </cell>
          <cell r="AK2175">
            <v>0.25</v>
          </cell>
          <cell r="AL2175">
            <v>0.25</v>
          </cell>
          <cell r="AM2175">
            <v>0.25</v>
          </cell>
          <cell r="AN2175">
            <v>0.25</v>
          </cell>
          <cell r="AO2175">
            <v>0.25</v>
          </cell>
          <cell r="AP2175">
            <v>0.25</v>
          </cell>
          <cell r="AQ2175">
            <v>0.25</v>
          </cell>
          <cell r="AR2175">
            <v>0.25</v>
          </cell>
          <cell r="AS2175">
            <v>0.25</v>
          </cell>
          <cell r="AT2175">
            <v>-0.04</v>
          </cell>
          <cell r="AU2175">
            <v>0.92</v>
          </cell>
          <cell r="AV2175">
            <v>20</v>
          </cell>
          <cell r="AY2175" t="str">
            <v/>
          </cell>
          <cell r="AZ2175">
            <v>0.25</v>
          </cell>
          <cell r="BA2175">
            <v>0.25</v>
          </cell>
        </row>
        <row r="2176">
          <cell r="A2176" t="str">
            <v xml:space="preserve">SARRITZU SIMONE </v>
          </cell>
          <cell r="B2176" t="str">
            <v>SOLO BIGLIETTO DA VISITA</v>
          </cell>
          <cell r="D2176" t="str">
            <v>VIA OLANDA, 21</v>
          </cell>
          <cell r="E2176" t="str">
            <v>09045</v>
          </cell>
          <cell r="F2176" t="str">
            <v>QUARTU S.ELENA</v>
          </cell>
          <cell r="G2176" t="str">
            <v>CA</v>
          </cell>
          <cell r="H2176" t="str">
            <v>ITALIA</v>
          </cell>
          <cell r="M2176" t="str">
            <v>UFFICIO ACQUISTI</v>
          </cell>
          <cell r="N2176" t="str">
            <v>070 9190778</v>
          </cell>
          <cell r="O2176" t="str">
            <v>334 1781031</v>
          </cell>
          <cell r="P2176" t="str">
            <v>simoneraimondosarritzu@gmail.com</v>
          </cell>
          <cell r="R2176" t="str">
            <v>BONIFICO BANCARIO, ALLA DATA DELLA NOSTRA CONFERMA D'ORDINE</v>
          </cell>
          <cell r="X2176">
            <v>0.25</v>
          </cell>
          <cell r="Y2176">
            <v>-0.04</v>
          </cell>
          <cell r="AB2176">
            <v>0.25</v>
          </cell>
          <cell r="AC2176">
            <v>0.25</v>
          </cell>
          <cell r="AD2176">
            <v>0.25</v>
          </cell>
          <cell r="AE2176">
            <v>0.25</v>
          </cell>
          <cell r="AF2176">
            <v>0.25</v>
          </cell>
          <cell r="AG2176">
            <v>0.25</v>
          </cell>
          <cell r="AH2176">
            <v>0.25</v>
          </cell>
          <cell r="AI2176">
            <v>0.25</v>
          </cell>
          <cell r="AJ2176">
            <v>0.25</v>
          </cell>
          <cell r="AK2176">
            <v>0.25</v>
          </cell>
          <cell r="AL2176">
            <v>0.25</v>
          </cell>
          <cell r="AM2176">
            <v>0.25</v>
          </cell>
          <cell r="AN2176">
            <v>0.25</v>
          </cell>
          <cell r="AO2176">
            <v>0.25</v>
          </cell>
          <cell r="AP2176">
            <v>0.25</v>
          </cell>
          <cell r="AQ2176">
            <v>0.25</v>
          </cell>
          <cell r="AR2176">
            <v>0.25</v>
          </cell>
          <cell r="AS2176">
            <v>0.25</v>
          </cell>
          <cell r="AT2176">
            <v>-0.04</v>
          </cell>
          <cell r="AU2176">
            <v>0.92</v>
          </cell>
          <cell r="AV2176">
            <v>20</v>
          </cell>
          <cell r="AZ2176">
            <v>0.25</v>
          </cell>
          <cell r="BA2176">
            <v>0.25</v>
          </cell>
        </row>
        <row r="2177">
          <cell r="A2177" t="str">
            <v>SARTINI FRANCO SNC</v>
          </cell>
          <cell r="D2177" t="str">
            <v>VIA DEL SAVIO, 220</v>
          </cell>
          <cell r="E2177">
            <v>47020</v>
          </cell>
          <cell r="F2177" t="str">
            <v>GUALDO DI RONCOFREDDO</v>
          </cell>
          <cell r="G2177" t="str">
            <v>FC</v>
          </cell>
          <cell r="H2177" t="str">
            <v>ITALIA</v>
          </cell>
          <cell r="J2177" t="str">
            <v>03525390401</v>
          </cell>
          <cell r="K2177" t="str">
            <v>T04ZHR3</v>
          </cell>
          <cell r="M2177" t="str">
            <v>UFFICIO ACQUISTI</v>
          </cell>
          <cell r="O2177" t="str">
            <v>347 8681802 - SARTINI ANDREA</v>
          </cell>
          <cell r="P2177" t="str">
            <v>andrea@sartinifranco.it</v>
          </cell>
          <cell r="R2177" t="str">
            <v>BONIFICO BANCARIO, ALLA DATA DELLA NOSTRA CONFERMA D'ORDINE</v>
          </cell>
          <cell r="X2177">
            <v>0.25</v>
          </cell>
          <cell r="Y2177">
            <v>-0.04</v>
          </cell>
          <cell r="AB2177">
            <v>0.25</v>
          </cell>
          <cell r="AC2177">
            <v>0.25</v>
          </cell>
          <cell r="AD2177">
            <v>0.25</v>
          </cell>
          <cell r="AE2177">
            <v>0.25</v>
          </cell>
          <cell r="AF2177">
            <v>0.25</v>
          </cell>
          <cell r="AG2177">
            <v>0.25</v>
          </cell>
          <cell r="AH2177">
            <v>0.25</v>
          </cell>
          <cell r="AI2177">
            <v>0.25</v>
          </cell>
          <cell r="AJ2177">
            <v>0.25</v>
          </cell>
          <cell r="AK2177">
            <v>0.25</v>
          </cell>
          <cell r="AL2177">
            <v>0.25</v>
          </cell>
          <cell r="AM2177">
            <v>0.25</v>
          </cell>
          <cell r="AN2177">
            <v>0.25</v>
          </cell>
          <cell r="AO2177">
            <v>0.25</v>
          </cell>
          <cell r="AP2177">
            <v>0.25</v>
          </cell>
          <cell r="AQ2177">
            <v>0.25</v>
          </cell>
          <cell r="AR2177">
            <v>0.25</v>
          </cell>
          <cell r="AS2177">
            <v>0.25</v>
          </cell>
          <cell r="AT2177">
            <v>-0.04</v>
          </cell>
          <cell r="AU2177">
            <v>0.92</v>
          </cell>
          <cell r="AV2177">
            <v>20</v>
          </cell>
          <cell r="AY2177" t="str">
            <v/>
          </cell>
          <cell r="AZ2177">
            <v>0.25</v>
          </cell>
          <cell r="BA2177">
            <v>0.25</v>
          </cell>
        </row>
        <row r="2178">
          <cell r="A2178" t="str">
            <v>SARTORI SERRAMENTI SNC DI SARTORI FABIO E C</v>
          </cell>
          <cell r="D2178" t="str">
            <v>VIA SIBILLA ALERAMO, 6</v>
          </cell>
          <cell r="E2178" t="str">
            <v>44124</v>
          </cell>
          <cell r="F2178" t="str">
            <v xml:space="preserve">FERRARA </v>
          </cell>
          <cell r="G2178" t="str">
            <v>FE</v>
          </cell>
          <cell r="H2178" t="str">
            <v>ITALIA</v>
          </cell>
          <cell r="M2178" t="str">
            <v>UFFICIO ACQUISTI</v>
          </cell>
          <cell r="N2178" t="str">
            <v>0532 61975</v>
          </cell>
          <cell r="O2178" t="str">
            <v>389 6208281 SIF. FABIO SARTORI</v>
          </cell>
          <cell r="P2178" t="str">
            <v>sartori.falegname@gmail.com</v>
          </cell>
          <cell r="R2178" t="str">
            <v>BONIFICO BANCARIO, ALLA DATA DELLA NOSTRA CONFERMA D'ORDINE</v>
          </cell>
          <cell r="X2178">
            <v>0.25</v>
          </cell>
          <cell r="Y2178">
            <v>-0.04</v>
          </cell>
          <cell r="AB2178">
            <v>0.25</v>
          </cell>
          <cell r="AC2178">
            <v>0.25</v>
          </cell>
          <cell r="AD2178">
            <v>0.25</v>
          </cell>
          <cell r="AE2178">
            <v>0.25</v>
          </cell>
          <cell r="AF2178">
            <v>0.25</v>
          </cell>
          <cell r="AG2178">
            <v>0.25</v>
          </cell>
          <cell r="AH2178">
            <v>0.25</v>
          </cell>
          <cell r="AI2178">
            <v>0.25</v>
          </cell>
          <cell r="AJ2178">
            <v>0.25</v>
          </cell>
          <cell r="AK2178">
            <v>0.25</v>
          </cell>
          <cell r="AL2178">
            <v>0.25</v>
          </cell>
          <cell r="AM2178">
            <v>0.25</v>
          </cell>
          <cell r="AN2178">
            <v>0.25</v>
          </cell>
          <cell r="AO2178">
            <v>0.25</v>
          </cell>
          <cell r="AP2178">
            <v>0.25</v>
          </cell>
          <cell r="AQ2178">
            <v>0.25</v>
          </cell>
          <cell r="AR2178">
            <v>0.25</v>
          </cell>
          <cell r="AS2178">
            <v>0.25</v>
          </cell>
          <cell r="AT2178">
            <v>-0.04</v>
          </cell>
          <cell r="AU2178">
            <v>0.88</v>
          </cell>
          <cell r="AV2178">
            <v>20</v>
          </cell>
          <cell r="AW2178" t="str">
            <v>ANDREA GARAVINI</v>
          </cell>
          <cell r="AX2178">
            <v>0.95</v>
          </cell>
          <cell r="AZ2178">
            <v>0.25</v>
          </cell>
          <cell r="BA2178">
            <v>0.25</v>
          </cell>
        </row>
        <row r="2179">
          <cell r="A2179" t="str">
            <v>SARZANA SERRAMENTI DI ROBERTAZZO A.</v>
          </cell>
          <cell r="D2179" t="str">
            <v>VIALE MAZZINI, 63</v>
          </cell>
          <cell r="E2179">
            <v>19038</v>
          </cell>
          <cell r="F2179" t="str">
            <v>SARZANA</v>
          </cell>
          <cell r="G2179" t="str">
            <v>SP</v>
          </cell>
          <cell r="H2179" t="str">
            <v>ITALIA</v>
          </cell>
          <cell r="J2179" t="str">
            <v>01437990110</v>
          </cell>
          <cell r="M2179" t="str">
            <v>UFFICIO ACQUISTI</v>
          </cell>
          <cell r="N2179" t="str">
            <v>0187 989386</v>
          </cell>
          <cell r="O2179" t="str">
            <v>340 6839620</v>
          </cell>
          <cell r="P2179" t="str">
            <v>sarzanaserramenti@gmail.com</v>
          </cell>
          <cell r="R2179" t="str">
            <v>BONIFICO BANCARIO, ALLA DATA DELLA NOSTRA CONFERMA D'ORDINE</v>
          </cell>
          <cell r="X2179">
            <v>0.25</v>
          </cell>
          <cell r="Y2179">
            <v>-0.04</v>
          </cell>
          <cell r="AB2179">
            <v>0.25</v>
          </cell>
          <cell r="AC2179">
            <v>0.25</v>
          </cell>
          <cell r="AD2179">
            <v>0.25</v>
          </cell>
          <cell r="AE2179">
            <v>0.25</v>
          </cell>
          <cell r="AF2179">
            <v>0.25</v>
          </cell>
          <cell r="AG2179">
            <v>0.25</v>
          </cell>
          <cell r="AH2179">
            <v>0.25</v>
          </cell>
          <cell r="AI2179">
            <v>0.25</v>
          </cell>
          <cell r="AJ2179">
            <v>0.25</v>
          </cell>
          <cell r="AK2179">
            <v>0.25</v>
          </cell>
          <cell r="AL2179">
            <v>0.25</v>
          </cell>
          <cell r="AM2179">
            <v>0.25</v>
          </cell>
          <cell r="AN2179">
            <v>0.25</v>
          </cell>
          <cell r="AO2179">
            <v>0.25</v>
          </cell>
          <cell r="AP2179">
            <v>0.25</v>
          </cell>
          <cell r="AQ2179">
            <v>0.25</v>
          </cell>
          <cell r="AR2179">
            <v>0.25</v>
          </cell>
          <cell r="AS2179">
            <v>0.25</v>
          </cell>
          <cell r="AT2179">
            <v>-0.04</v>
          </cell>
          <cell r="AU2179">
            <v>0.92</v>
          </cell>
          <cell r="AV2179">
            <v>20</v>
          </cell>
          <cell r="AY2179" t="str">
            <v/>
          </cell>
          <cell r="AZ2179">
            <v>0.25</v>
          </cell>
          <cell r="BA2179">
            <v>0.25</v>
          </cell>
        </row>
        <row r="2180">
          <cell r="A2180" t="str">
            <v>SAVAS SRL DI RAIS &amp; RAIS</v>
          </cell>
          <cell r="B2180" t="str">
            <v>SOLO BIGLIETTO DA VISITA</v>
          </cell>
          <cell r="D2180" t="str">
            <v>S.S.554, KM 3,600</v>
          </cell>
          <cell r="E2180" t="str">
            <v>09047</v>
          </cell>
          <cell r="F2180" t="str">
            <v>SELARGIUS</v>
          </cell>
          <cell r="G2180" t="str">
            <v>CA</v>
          </cell>
          <cell r="H2180" t="str">
            <v>ITALIA</v>
          </cell>
          <cell r="J2180" t="str">
            <v>02483680928</v>
          </cell>
          <cell r="M2180" t="str">
            <v>UFFICIO ACQUISTI</v>
          </cell>
          <cell r="N2180" t="str">
            <v>070 5488137</v>
          </cell>
          <cell r="P2180" t="str">
            <v>www.savaserramenti.it</v>
          </cell>
          <cell r="R2180" t="str">
            <v>BONIFICO BANCARIO, ALLA DATA DELLA NOSTRA CONFERMA D'ORDINE</v>
          </cell>
          <cell r="X2180">
            <v>0.25</v>
          </cell>
          <cell r="Y2180">
            <v>-0.04</v>
          </cell>
          <cell r="AB2180">
            <v>0.25</v>
          </cell>
          <cell r="AC2180">
            <v>0.25</v>
          </cell>
          <cell r="AD2180">
            <v>0.25</v>
          </cell>
          <cell r="AE2180">
            <v>0.25</v>
          </cell>
          <cell r="AF2180">
            <v>0.25</v>
          </cell>
          <cell r="AG2180">
            <v>0.25</v>
          </cell>
          <cell r="AH2180">
            <v>0.25</v>
          </cell>
          <cell r="AI2180">
            <v>0.25</v>
          </cell>
          <cell r="AJ2180">
            <v>0.25</v>
          </cell>
          <cell r="AK2180">
            <v>0.25</v>
          </cell>
          <cell r="AL2180">
            <v>0.25</v>
          </cell>
          <cell r="AM2180">
            <v>0.25</v>
          </cell>
          <cell r="AN2180">
            <v>0.25</v>
          </cell>
          <cell r="AO2180">
            <v>0.25</v>
          </cell>
          <cell r="AP2180">
            <v>0.25</v>
          </cell>
          <cell r="AQ2180">
            <v>0.25</v>
          </cell>
          <cell r="AR2180">
            <v>0.25</v>
          </cell>
          <cell r="AS2180">
            <v>0.25</v>
          </cell>
          <cell r="AT2180">
            <v>-0.04</v>
          </cell>
          <cell r="AU2180">
            <v>0.92</v>
          </cell>
          <cell r="AV2180">
            <v>20</v>
          </cell>
          <cell r="AZ2180">
            <v>0.25</v>
          </cell>
          <cell r="BA2180">
            <v>0.25</v>
          </cell>
        </row>
        <row r="2181">
          <cell r="A2181" t="str">
            <v>SAVOCAs.a.s.</v>
          </cell>
          <cell r="D2181" t="str">
            <v>VIALE LOMBARDIA, 177</v>
          </cell>
          <cell r="E2181">
            <v>20861</v>
          </cell>
          <cell r="F2181" t="str">
            <v>BRUGHERIO</v>
          </cell>
          <cell r="G2181" t="str">
            <v>MB</v>
          </cell>
          <cell r="H2181" t="str">
            <v>ITALIA</v>
          </cell>
          <cell r="I2181" t="str">
            <v>09978140961</v>
          </cell>
          <cell r="J2181" t="str">
            <v>09978140961</v>
          </cell>
          <cell r="K2181" t="str">
            <v>T9K4ZH0</v>
          </cell>
          <cell r="M2181" t="str">
            <v>UFFICIO ACQUISTI</v>
          </cell>
          <cell r="O2181" t="str">
            <v>328 9486657</v>
          </cell>
          <cell r="P2181" t="str">
            <v>info@serramentisavoca..it</v>
          </cell>
          <cell r="R2181" t="str">
            <v>BONIFICO BANCARIO, ALLA DATA DELLA NOSTRA CONFERMA D'ORDINE</v>
          </cell>
          <cell r="X2181">
            <v>0.25</v>
          </cell>
          <cell r="Y2181">
            <v>-0.04</v>
          </cell>
          <cell r="AB2181">
            <v>0.25</v>
          </cell>
          <cell r="AC2181">
            <v>0.25</v>
          </cell>
          <cell r="AD2181">
            <v>0.25</v>
          </cell>
          <cell r="AE2181">
            <v>0.25</v>
          </cell>
          <cell r="AF2181">
            <v>0.25</v>
          </cell>
          <cell r="AG2181">
            <v>0.25</v>
          </cell>
          <cell r="AH2181">
            <v>0.25</v>
          </cell>
          <cell r="AI2181">
            <v>0.25</v>
          </cell>
          <cell r="AJ2181">
            <v>0.25</v>
          </cell>
          <cell r="AK2181">
            <v>0.25</v>
          </cell>
          <cell r="AL2181">
            <v>0.25</v>
          </cell>
          <cell r="AM2181">
            <v>0.25</v>
          </cell>
          <cell r="AN2181">
            <v>0.25</v>
          </cell>
          <cell r="AO2181">
            <v>0.25</v>
          </cell>
          <cell r="AP2181">
            <v>0.25</v>
          </cell>
          <cell r="AQ2181">
            <v>0.25</v>
          </cell>
          <cell r="AR2181">
            <v>0.25</v>
          </cell>
          <cell r="AS2181">
            <v>0.25</v>
          </cell>
          <cell r="AT2181">
            <v>-0.04</v>
          </cell>
          <cell r="AU2181">
            <v>0.92</v>
          </cell>
          <cell r="AV2181">
            <v>20</v>
          </cell>
          <cell r="AY2181" t="str">
            <v/>
          </cell>
          <cell r="AZ2181">
            <v>0.25</v>
          </cell>
          <cell r="BA2181">
            <v>0.25</v>
          </cell>
        </row>
        <row r="2182">
          <cell r="A2182" t="str">
            <v>SB FROM ITALY</v>
          </cell>
          <cell r="D2182" t="str">
            <v>VIALE DEI TIGLI, 31</v>
          </cell>
          <cell r="E2182">
            <v>13900</v>
          </cell>
          <cell r="F2182" t="str">
            <v>BIELLA</v>
          </cell>
          <cell r="G2182" t="str">
            <v>BI</v>
          </cell>
          <cell r="H2182" t="str">
            <v>ITALIA</v>
          </cell>
          <cell r="J2182" t="str">
            <v>02608770026</v>
          </cell>
          <cell r="K2182" t="str">
            <v>BA6ET11</v>
          </cell>
          <cell r="M2182" t="str">
            <v>UFFICIO ACQUISTI</v>
          </cell>
          <cell r="N2182" t="str">
            <v>015 0992590</v>
          </cell>
          <cell r="P2182" t="str">
            <v>sbfromitaly@libero.it</v>
          </cell>
          <cell r="R2182" t="str">
            <v>BONIFICO BANCARIO, ALLA DATA DELLA NOSTRA CONFERMA D'ORDINE</v>
          </cell>
          <cell r="X2182">
            <v>0.2</v>
          </cell>
          <cell r="Y2182">
            <v>-0.04</v>
          </cell>
          <cell r="AB2182">
            <v>0.2</v>
          </cell>
          <cell r="AC2182">
            <v>0.2</v>
          </cell>
          <cell r="AD2182">
            <v>0.2</v>
          </cell>
          <cell r="AE2182">
            <v>0.2</v>
          </cell>
          <cell r="AF2182">
            <v>0.2</v>
          </cell>
          <cell r="AG2182">
            <v>0.2</v>
          </cell>
          <cell r="AH2182">
            <v>0.2</v>
          </cell>
          <cell r="AI2182">
            <v>0.2</v>
          </cell>
          <cell r="AJ2182">
            <v>0.2</v>
          </cell>
          <cell r="AK2182">
            <v>0.2</v>
          </cell>
          <cell r="AL2182">
            <v>0.2</v>
          </cell>
          <cell r="AM2182">
            <v>0.2</v>
          </cell>
          <cell r="AN2182">
            <v>0.2</v>
          </cell>
          <cell r="AO2182">
            <v>0.2</v>
          </cell>
          <cell r="AP2182">
            <v>0.2</v>
          </cell>
          <cell r="AQ2182">
            <v>0.2</v>
          </cell>
          <cell r="AR2182">
            <v>0.2</v>
          </cell>
          <cell r="AS2182">
            <v>0.2</v>
          </cell>
          <cell r="AT2182">
            <v>-0.04</v>
          </cell>
          <cell r="AU2182">
            <v>0.92</v>
          </cell>
          <cell r="AV2182">
            <v>20</v>
          </cell>
          <cell r="AZ2182">
            <v>0.2</v>
          </cell>
          <cell r="BA2182">
            <v>0.2</v>
          </cell>
        </row>
        <row r="2183">
          <cell r="A2183" t="str">
            <v>SB SERRAMENTI SRL</v>
          </cell>
          <cell r="D2183" t="str">
            <v>VIA SCORNIGIANA, 6</v>
          </cell>
          <cell r="E2183">
            <v>56121</v>
          </cell>
          <cell r="F2183" t="str">
            <v>OSPEDALETTO PISA</v>
          </cell>
          <cell r="G2183" t="str">
            <v>PI</v>
          </cell>
          <cell r="H2183" t="str">
            <v>ITALIA</v>
          </cell>
          <cell r="I2183" t="str">
            <v>01917160507</v>
          </cell>
          <cell r="J2183" t="str">
            <v>01917160507</v>
          </cell>
          <cell r="M2183" t="str">
            <v>UFFICIO ACQUISTI</v>
          </cell>
          <cell r="N2183" t="str">
            <v>050 985786</v>
          </cell>
          <cell r="O2183" t="str">
            <v>335 7433331</v>
          </cell>
          <cell r="P2183" t="str">
            <v>stefano@sbserramenti.it</v>
          </cell>
          <cell r="R2183" t="str">
            <v>BONIFICO BANCARIO, ALLA DATA DELLA NOSTRA CONFERMA D'ORDINE</v>
          </cell>
          <cell r="X2183">
            <v>0.25</v>
          </cell>
          <cell r="Y2183">
            <v>-0.04</v>
          </cell>
          <cell r="AB2183">
            <v>0.25</v>
          </cell>
          <cell r="AC2183">
            <v>0.25</v>
          </cell>
          <cell r="AD2183">
            <v>0.25</v>
          </cell>
          <cell r="AE2183">
            <v>0.25</v>
          </cell>
          <cell r="AF2183">
            <v>0.25</v>
          </cell>
          <cell r="AG2183">
            <v>0.25</v>
          </cell>
          <cell r="AH2183">
            <v>0.25</v>
          </cell>
          <cell r="AI2183">
            <v>0.25</v>
          </cell>
          <cell r="AJ2183">
            <v>0.25</v>
          </cell>
          <cell r="AK2183">
            <v>0.25</v>
          </cell>
          <cell r="AL2183">
            <v>0.25</v>
          </cell>
          <cell r="AM2183">
            <v>0.25</v>
          </cell>
          <cell r="AN2183">
            <v>0.25</v>
          </cell>
          <cell r="AO2183">
            <v>0.25</v>
          </cell>
          <cell r="AP2183">
            <v>0.25</v>
          </cell>
          <cell r="AQ2183">
            <v>0.25</v>
          </cell>
          <cell r="AR2183">
            <v>0.25</v>
          </cell>
          <cell r="AS2183">
            <v>0.25</v>
          </cell>
          <cell r="AT2183">
            <v>-0.04</v>
          </cell>
          <cell r="AU2183">
            <v>0.92</v>
          </cell>
          <cell r="AV2183">
            <v>20</v>
          </cell>
          <cell r="AY2183" t="str">
            <v/>
          </cell>
          <cell r="AZ2183">
            <v>0.25</v>
          </cell>
          <cell r="BA2183">
            <v>0.25</v>
          </cell>
        </row>
        <row r="2184">
          <cell r="A2184" t="str">
            <v>SBAMPATO SRL</v>
          </cell>
          <cell r="D2184" t="str">
            <v>VIA DEL INDUSTRIA, 675</v>
          </cell>
          <cell r="E2184" t="str">
            <v>37050</v>
          </cell>
          <cell r="F2184" t="str">
            <v>ANGIARI</v>
          </cell>
          <cell r="G2184" t="str">
            <v>VR</v>
          </cell>
          <cell r="H2184" t="str">
            <v>ITALIA</v>
          </cell>
          <cell r="J2184" t="str">
            <v>02125840237.</v>
          </cell>
          <cell r="M2184" t="str">
            <v>UFFICIO ACQUISTI</v>
          </cell>
          <cell r="N2184" t="str">
            <v>0442 98168</v>
          </cell>
          <cell r="P2184" t="str">
            <v>sbampato@libero.it</v>
          </cell>
          <cell r="R2184" t="str">
            <v>BONIFICO BANCARIO, ALLA DATA DELLA NOSTRA CONFERMA D'ORDINE</v>
          </cell>
          <cell r="X2184">
            <v>0.2</v>
          </cell>
          <cell r="Y2184">
            <v>-0.04</v>
          </cell>
          <cell r="AB2184">
            <v>0.2</v>
          </cell>
          <cell r="AC2184">
            <v>0.2</v>
          </cell>
          <cell r="AD2184">
            <v>0.2</v>
          </cell>
          <cell r="AE2184">
            <v>0.2</v>
          </cell>
          <cell r="AF2184">
            <v>0.2</v>
          </cell>
          <cell r="AG2184">
            <v>0.2</v>
          </cell>
          <cell r="AH2184">
            <v>0.2</v>
          </cell>
          <cell r="AI2184">
            <v>0.2</v>
          </cell>
          <cell r="AJ2184">
            <v>0.2</v>
          </cell>
          <cell r="AK2184">
            <v>0.2</v>
          </cell>
          <cell r="AL2184">
            <v>0.2</v>
          </cell>
          <cell r="AM2184">
            <v>0.2</v>
          </cell>
          <cell r="AN2184">
            <v>0.2</v>
          </cell>
          <cell r="AO2184">
            <v>0.2</v>
          </cell>
          <cell r="AP2184">
            <v>0.2</v>
          </cell>
          <cell r="AQ2184">
            <v>0.2</v>
          </cell>
          <cell r="AR2184">
            <v>0.2</v>
          </cell>
          <cell r="AS2184">
            <v>0.2</v>
          </cell>
          <cell r="AT2184">
            <v>-0.04</v>
          </cell>
          <cell r="AU2184">
            <v>0.88</v>
          </cell>
          <cell r="AV2184">
            <v>20</v>
          </cell>
          <cell r="AZ2184">
            <v>0.2</v>
          </cell>
          <cell r="BA2184">
            <v>0.2</v>
          </cell>
        </row>
        <row r="2185">
          <cell r="A2185" t="str">
            <v>SC INFISSI DI ROBERTO COSTABILE</v>
          </cell>
          <cell r="D2185" t="str">
            <v>VIA DANTE 58</v>
          </cell>
          <cell r="E2185" t="str">
            <v xml:space="preserve">00042 </v>
          </cell>
          <cell r="F2185" t="str">
            <v>ANZIO</v>
          </cell>
          <cell r="G2185" t="str">
            <v>RM</v>
          </cell>
          <cell r="H2185" t="str">
            <v>ITALIA</v>
          </cell>
          <cell r="J2185" t="str">
            <v>07435011007</v>
          </cell>
          <cell r="M2185" t="str">
            <v>UFFICIO ACQUISTI</v>
          </cell>
          <cell r="N2185" t="str">
            <v>06 9813248</v>
          </cell>
          <cell r="O2185" t="str">
            <v>339 5269715</v>
          </cell>
          <cell r="P2185" t="str">
            <v>sc.infissi@libero.it</v>
          </cell>
          <cell r="R2185" t="str">
            <v>BONIFICO BANCARIO, ALLA DATA DELLA NOSTRA CONFERMA D'ORDINE</v>
          </cell>
          <cell r="X2185">
            <v>0.25</v>
          </cell>
          <cell r="Y2185">
            <v>-0.04</v>
          </cell>
          <cell r="AB2185">
            <v>0.25</v>
          </cell>
          <cell r="AC2185">
            <v>0.25</v>
          </cell>
          <cell r="AD2185">
            <v>0.25</v>
          </cell>
          <cell r="AE2185">
            <v>0.25</v>
          </cell>
          <cell r="AF2185">
            <v>0.25</v>
          </cell>
          <cell r="AG2185">
            <v>0.25</v>
          </cell>
          <cell r="AH2185">
            <v>0.25</v>
          </cell>
          <cell r="AI2185">
            <v>0.25</v>
          </cell>
          <cell r="AJ2185">
            <v>0.25</v>
          </cell>
          <cell r="AK2185">
            <v>0.25</v>
          </cell>
          <cell r="AL2185">
            <v>0.25</v>
          </cell>
          <cell r="AM2185">
            <v>0.25</v>
          </cell>
          <cell r="AN2185">
            <v>0.25</v>
          </cell>
          <cell r="AO2185">
            <v>0.25</v>
          </cell>
          <cell r="AP2185">
            <v>0.25</v>
          </cell>
          <cell r="AQ2185">
            <v>0.25</v>
          </cell>
          <cell r="AR2185">
            <v>0.25</v>
          </cell>
          <cell r="AS2185">
            <v>0.25</v>
          </cell>
          <cell r="AT2185">
            <v>-0.04</v>
          </cell>
          <cell r="AU2185">
            <v>0.92</v>
          </cell>
          <cell r="AV2185">
            <v>20</v>
          </cell>
          <cell r="AY2185" t="str">
            <v/>
          </cell>
          <cell r="AZ2185">
            <v>0.25</v>
          </cell>
          <cell r="BA2185">
            <v>0.25</v>
          </cell>
        </row>
        <row r="2186">
          <cell r="A2186" t="str">
            <v>SCAFI PARMA</v>
          </cell>
          <cell r="B2186" t="str">
            <v>DOTT. ALESSANDRO ANDREI</v>
          </cell>
          <cell r="D2186" t="str">
            <v>VIA SICURI, 13 A</v>
          </cell>
          <cell r="E2186">
            <v>43124</v>
          </cell>
          <cell r="F2186" t="str">
            <v>PARMA</v>
          </cell>
          <cell r="G2186" t="str">
            <v>PR</v>
          </cell>
          <cell r="H2186" t="str">
            <v>ITALIA</v>
          </cell>
          <cell r="I2186" t="str">
            <v>00471290346</v>
          </cell>
          <cell r="J2186" t="str">
            <v>00471290346</v>
          </cell>
          <cell r="M2186" t="str">
            <v>UFFICIO ACQUISTI</v>
          </cell>
          <cell r="N2186" t="str">
            <v>0521 482298</v>
          </cell>
          <cell r="P2186" t="str">
            <v>alessandro@scafiparma.com</v>
          </cell>
          <cell r="R2186" t="str">
            <v>BONIFICO BANCARIO, ALLA DATA DELLA NOSTRA CONFERMA D'ORDINE</v>
          </cell>
          <cell r="X2186">
            <v>0.25</v>
          </cell>
          <cell r="Y2186">
            <v>-0.04</v>
          </cell>
          <cell r="AB2186">
            <v>0.25</v>
          </cell>
          <cell r="AC2186">
            <v>0.25</v>
          </cell>
          <cell r="AD2186">
            <v>0.25</v>
          </cell>
          <cell r="AE2186">
            <v>0.25</v>
          </cell>
          <cell r="AF2186">
            <v>0.25</v>
          </cell>
          <cell r="AG2186">
            <v>0.25</v>
          </cell>
          <cell r="AH2186">
            <v>0.25</v>
          </cell>
          <cell r="AI2186">
            <v>0.25</v>
          </cell>
          <cell r="AJ2186">
            <v>0.25</v>
          </cell>
          <cell r="AK2186">
            <v>0.25</v>
          </cell>
          <cell r="AL2186">
            <v>0.25</v>
          </cell>
          <cell r="AM2186">
            <v>0.25</v>
          </cell>
          <cell r="AN2186">
            <v>0.25</v>
          </cell>
          <cell r="AO2186">
            <v>0.25</v>
          </cell>
          <cell r="AP2186">
            <v>0.25</v>
          </cell>
          <cell r="AQ2186">
            <v>0.25</v>
          </cell>
          <cell r="AR2186">
            <v>0.25</v>
          </cell>
          <cell r="AS2186">
            <v>0.25</v>
          </cell>
          <cell r="AT2186">
            <v>-0.04</v>
          </cell>
          <cell r="AU2186">
            <v>0.92</v>
          </cell>
          <cell r="AV2186">
            <v>20</v>
          </cell>
          <cell r="AZ2186">
            <v>0.25</v>
          </cell>
          <cell r="BA2186">
            <v>0.25</v>
          </cell>
        </row>
        <row r="2187">
          <cell r="A2187" t="str">
            <v>SCAME EDILIZIA DI SCHINTU MAURIZIO</v>
          </cell>
          <cell r="D2187" t="str">
            <v>Z.I. PREDDA NIEDDA STR, 40</v>
          </cell>
          <cell r="E2187" t="str">
            <v>07100</v>
          </cell>
          <cell r="F2187" t="str">
            <v>SASSARI</v>
          </cell>
          <cell r="G2187" t="str">
            <v>SS</v>
          </cell>
          <cell r="H2187" t="str">
            <v>ITALIA</v>
          </cell>
          <cell r="I2187" t="str">
            <v>SCHMRZ92C24I452M</v>
          </cell>
          <cell r="J2187" t="str">
            <v>02589510904</v>
          </cell>
          <cell r="K2187" t="str">
            <v>KRRH6B9</v>
          </cell>
          <cell r="M2187" t="str">
            <v>UFFICIO ACQUISTI</v>
          </cell>
          <cell r="N2187" t="str">
            <v>079 262491</v>
          </cell>
          <cell r="P2187" t="str">
            <v>scamedilizia@gmail.com</v>
          </cell>
          <cell r="R2187" t="str">
            <v>BONIFICO BANCARIO, ALLA DATA DELLA NOSTRA CONFERMA D'ORDINE</v>
          </cell>
          <cell r="X2187">
            <v>0.25</v>
          </cell>
          <cell r="Y2187">
            <v>-0.04</v>
          </cell>
          <cell r="AB2187">
            <v>0.25</v>
          </cell>
          <cell r="AC2187">
            <v>0.25</v>
          </cell>
          <cell r="AD2187">
            <v>0.25</v>
          </cell>
          <cell r="AE2187">
            <v>0.25</v>
          </cell>
          <cell r="AF2187">
            <v>0.25</v>
          </cell>
          <cell r="AG2187">
            <v>0.25</v>
          </cell>
          <cell r="AH2187">
            <v>0.25</v>
          </cell>
          <cell r="AI2187">
            <v>0.25</v>
          </cell>
          <cell r="AJ2187">
            <v>0.25</v>
          </cell>
          <cell r="AK2187">
            <v>0.25</v>
          </cell>
          <cell r="AL2187">
            <v>0.25</v>
          </cell>
          <cell r="AM2187">
            <v>0.25</v>
          </cell>
          <cell r="AN2187">
            <v>0.25</v>
          </cell>
          <cell r="AO2187">
            <v>0.25</v>
          </cell>
          <cell r="AP2187">
            <v>0.25</v>
          </cell>
          <cell r="AQ2187">
            <v>0.25</v>
          </cell>
          <cell r="AR2187">
            <v>0.25</v>
          </cell>
          <cell r="AS2187">
            <v>0.25</v>
          </cell>
          <cell r="AT2187">
            <v>-0.04</v>
          </cell>
          <cell r="AU2187">
            <v>0.92</v>
          </cell>
          <cell r="AV2187">
            <v>20</v>
          </cell>
          <cell r="AZ2187">
            <v>0.25</v>
          </cell>
          <cell r="BA2187">
            <v>0.25</v>
          </cell>
        </row>
        <row r="2188">
          <cell r="A2188" t="str">
            <v>SCANDIUZZI WINDOWS SYSTEM DI LIVIO E WALTER &amp; C SAS</v>
          </cell>
          <cell r="D2188" t="str">
            <v>VIA POSTUMIA 60</v>
          </cell>
          <cell r="E2188" t="str">
            <v>31050</v>
          </cell>
          <cell r="F2188" t="str">
            <v>PONZANO VENETO</v>
          </cell>
          <cell r="G2188" t="str">
            <v>TV</v>
          </cell>
          <cell r="H2188" t="str">
            <v>ITALIA</v>
          </cell>
          <cell r="J2188" t="str">
            <v>02361420264</v>
          </cell>
          <cell r="M2188" t="str">
            <v>UFFICIO ACQUISTI</v>
          </cell>
          <cell r="N2188" t="str">
            <v>0422 440714</v>
          </cell>
          <cell r="P2188" t="str">
            <v>sws@scandiuzzi-ws.it</v>
          </cell>
          <cell r="R2188" t="str">
            <v>BONIFICO BANCARIO, ALLA DATA DELLA NOSTRA CONFERMA D'ORDINE</v>
          </cell>
          <cell r="X2188">
            <v>0.25</v>
          </cell>
          <cell r="Y2188">
            <v>-0.04</v>
          </cell>
          <cell r="AB2188">
            <v>0.25</v>
          </cell>
          <cell r="AC2188">
            <v>0.25</v>
          </cell>
          <cell r="AD2188">
            <v>0.25</v>
          </cell>
          <cell r="AE2188">
            <v>0.25</v>
          </cell>
          <cell r="AF2188">
            <v>0.25</v>
          </cell>
          <cell r="AG2188">
            <v>0.25</v>
          </cell>
          <cell r="AH2188">
            <v>0.25</v>
          </cell>
          <cell r="AI2188">
            <v>0.25</v>
          </cell>
          <cell r="AJ2188">
            <v>0.25</v>
          </cell>
          <cell r="AK2188">
            <v>0.25</v>
          </cell>
          <cell r="AL2188">
            <v>0.25</v>
          </cell>
          <cell r="AM2188">
            <v>0.25</v>
          </cell>
          <cell r="AN2188">
            <v>0.25</v>
          </cell>
          <cell r="AO2188">
            <v>0.25</v>
          </cell>
          <cell r="AP2188">
            <v>0.25</v>
          </cell>
          <cell r="AQ2188">
            <v>0.25</v>
          </cell>
          <cell r="AR2188">
            <v>0.25</v>
          </cell>
          <cell r="AS2188">
            <v>0.25</v>
          </cell>
          <cell r="AT2188">
            <v>-0.04</v>
          </cell>
          <cell r="AU2188">
            <v>0.92</v>
          </cell>
          <cell r="AV2188">
            <v>20</v>
          </cell>
          <cell r="AZ2188">
            <v>0.25</v>
          </cell>
          <cell r="BA2188">
            <v>0.25</v>
          </cell>
        </row>
        <row r="2189">
          <cell r="A2189" t="str">
            <v>SCAPOLAN MICHELE</v>
          </cell>
          <cell r="D2189" t="str">
            <v>VIALE TREVISO 7</v>
          </cell>
          <cell r="E2189" t="str">
            <v>33170</v>
          </cell>
          <cell r="F2189" t="str">
            <v>PORDENONE</v>
          </cell>
          <cell r="G2189" t="str">
            <v>PN</v>
          </cell>
          <cell r="H2189" t="str">
            <v>ITALIA</v>
          </cell>
          <cell r="M2189" t="str">
            <v>UFFICIO ACQUISTI</v>
          </cell>
          <cell r="N2189" t="str">
            <v>0434 571361</v>
          </cell>
          <cell r="P2189" t="str">
            <v>info@scapolanmichele.it</v>
          </cell>
          <cell r="R2189" t="str">
            <v>BONIFICO BANCARIO, ALLA DATA DELLA NOSTRA CONFERMA D'ORDINE</v>
          </cell>
          <cell r="X2189">
            <v>0.25</v>
          </cell>
          <cell r="Y2189">
            <v>-0.04</v>
          </cell>
          <cell r="AB2189">
            <v>0.25</v>
          </cell>
          <cell r="AC2189">
            <v>0.25</v>
          </cell>
          <cell r="AD2189">
            <v>0.25</v>
          </cell>
          <cell r="AE2189">
            <v>0.25</v>
          </cell>
          <cell r="AF2189">
            <v>0.25</v>
          </cell>
          <cell r="AG2189">
            <v>0.25</v>
          </cell>
          <cell r="AH2189">
            <v>0.25</v>
          </cell>
          <cell r="AI2189">
            <v>0.25</v>
          </cell>
          <cell r="AJ2189">
            <v>0.25</v>
          </cell>
          <cell r="AK2189">
            <v>0.25</v>
          </cell>
          <cell r="AL2189">
            <v>0.25</v>
          </cell>
          <cell r="AM2189">
            <v>0.25</v>
          </cell>
          <cell r="AN2189">
            <v>0.25</v>
          </cell>
          <cell r="AO2189">
            <v>0.25</v>
          </cell>
          <cell r="AP2189">
            <v>0.25</v>
          </cell>
          <cell r="AQ2189">
            <v>0.25</v>
          </cell>
          <cell r="AR2189">
            <v>0.25</v>
          </cell>
          <cell r="AS2189">
            <v>0.25</v>
          </cell>
          <cell r="AT2189">
            <v>-0.04</v>
          </cell>
          <cell r="AU2189">
            <v>0.92</v>
          </cell>
          <cell r="AV2189">
            <v>20</v>
          </cell>
          <cell r="AZ2189">
            <v>0.25</v>
          </cell>
          <cell r="BA2189">
            <v>0.25</v>
          </cell>
        </row>
        <row r="2190">
          <cell r="A2190" t="str">
            <v>SCARPA MAURIZIO</v>
          </cell>
          <cell r="D2190" t="str">
            <v>VIA MADONNA MARINA 158/A</v>
          </cell>
          <cell r="E2190" t="str">
            <v>30015</v>
          </cell>
          <cell r="F2190" t="str">
            <v>CHIOGGIA</v>
          </cell>
          <cell r="G2190" t="str">
            <v>VE</v>
          </cell>
          <cell r="H2190" t="str">
            <v>ITALIA</v>
          </cell>
          <cell r="J2190" t="str">
            <v>02685590271</v>
          </cell>
          <cell r="M2190" t="str">
            <v>UFFICIO ACQUISTI</v>
          </cell>
          <cell r="N2190" t="str">
            <v>338 7263673</v>
          </cell>
          <cell r="P2190" t="str">
            <v>smserramenti@hotmail.it</v>
          </cell>
          <cell r="R2190" t="str">
            <v>BONIFICO BANCARIO, ALLA DATA DELLA NOSTRA CONFERMA D'ORDINE</v>
          </cell>
          <cell r="X2190">
            <v>0.25</v>
          </cell>
          <cell r="Y2190">
            <v>-0.04</v>
          </cell>
          <cell r="AB2190">
            <v>0.25</v>
          </cell>
          <cell r="AC2190">
            <v>0.25</v>
          </cell>
          <cell r="AD2190">
            <v>0.25</v>
          </cell>
          <cell r="AE2190">
            <v>0.25</v>
          </cell>
          <cell r="AF2190">
            <v>0.25</v>
          </cell>
          <cell r="AG2190">
            <v>0.25</v>
          </cell>
          <cell r="AH2190">
            <v>0.25</v>
          </cell>
          <cell r="AI2190">
            <v>0.25</v>
          </cell>
          <cell r="AJ2190">
            <v>0.25</v>
          </cell>
          <cell r="AK2190">
            <v>0.25</v>
          </cell>
          <cell r="AL2190">
            <v>0.25</v>
          </cell>
          <cell r="AM2190">
            <v>0.25</v>
          </cell>
          <cell r="AN2190">
            <v>0.25</v>
          </cell>
          <cell r="AO2190">
            <v>0.25</v>
          </cell>
          <cell r="AP2190">
            <v>0.25</v>
          </cell>
          <cell r="AQ2190">
            <v>0.25</v>
          </cell>
          <cell r="AR2190">
            <v>0.25</v>
          </cell>
          <cell r="AS2190">
            <v>0.25</v>
          </cell>
          <cell r="AT2190">
            <v>-0.04</v>
          </cell>
          <cell r="AU2190">
            <v>0.92</v>
          </cell>
          <cell r="AV2190">
            <v>20</v>
          </cell>
          <cell r="AZ2190">
            <v>0.25</v>
          </cell>
          <cell r="BA2190">
            <v>0.25</v>
          </cell>
        </row>
        <row r="2191">
          <cell r="A2191" t="str">
            <v>SCARPANTONI LIVING SRLS</v>
          </cell>
          <cell r="B2191" t="str">
            <v>RENATO SCARPANTONI</v>
          </cell>
          <cell r="D2191" t="str">
            <v xml:space="preserve">VIA ROMA,10 </v>
          </cell>
          <cell r="E2191" t="str">
            <v>64014</v>
          </cell>
          <cell r="F2191" t="str">
            <v>MARTINSICURO</v>
          </cell>
          <cell r="G2191" t="str">
            <v>TE</v>
          </cell>
          <cell r="H2191" t="str">
            <v>ITALIA</v>
          </cell>
          <cell r="J2191" t="str">
            <v>01987710673</v>
          </cell>
          <cell r="M2191" t="str">
            <v>UFFICIO ACQUISTI</v>
          </cell>
          <cell r="N2191" t="str">
            <v>0861 750923</v>
          </cell>
          <cell r="O2191" t="str">
            <v>335 5754992 RENATO SCARPANTONI</v>
          </cell>
          <cell r="P2191" t="str">
            <v>info@scarpantoniliving.it</v>
          </cell>
          <cell r="R2191" t="str">
            <v>BONIFICO BANCARIO, ALLA DATA DELLA NOSTRA CONFERMA D'ORDINE</v>
          </cell>
          <cell r="X2191">
            <v>0.2</v>
          </cell>
          <cell r="Y2191">
            <v>-0.04</v>
          </cell>
          <cell r="AB2191">
            <v>0.2</v>
          </cell>
          <cell r="AC2191">
            <v>0.2</v>
          </cell>
          <cell r="AD2191">
            <v>0.2</v>
          </cell>
          <cell r="AE2191">
            <v>0.2</v>
          </cell>
          <cell r="AF2191">
            <v>0.2</v>
          </cell>
          <cell r="AG2191">
            <v>0.2</v>
          </cell>
          <cell r="AH2191">
            <v>0.2</v>
          </cell>
          <cell r="AI2191">
            <v>0.2</v>
          </cell>
          <cell r="AJ2191">
            <v>0.2</v>
          </cell>
          <cell r="AK2191">
            <v>0.2</v>
          </cell>
          <cell r="AL2191">
            <v>0.2</v>
          </cell>
          <cell r="AM2191">
            <v>0.2</v>
          </cell>
          <cell r="AN2191">
            <v>0.2</v>
          </cell>
          <cell r="AO2191">
            <v>0.2</v>
          </cell>
          <cell r="AP2191">
            <v>0.2</v>
          </cell>
          <cell r="AQ2191">
            <v>0.2</v>
          </cell>
          <cell r="AR2191">
            <v>0.2</v>
          </cell>
          <cell r="AS2191">
            <v>0.2</v>
          </cell>
          <cell r="AT2191">
            <v>-0.04</v>
          </cell>
          <cell r="AU2191">
            <v>0.92</v>
          </cell>
          <cell r="AV2191">
            <v>20</v>
          </cell>
          <cell r="AZ2191">
            <v>0.2</v>
          </cell>
          <cell r="BA2191">
            <v>0.2</v>
          </cell>
        </row>
        <row r="2192">
          <cell r="A2192" t="str">
            <v>SCARPIETTA INFISSI</v>
          </cell>
          <cell r="B2192" t="str">
            <v>QUESTO ERA INDECISO, ANDATO PER CAMPIONE E NON HA PIU' RICHIESTE</v>
          </cell>
          <cell r="D2192" t="str">
            <v>VIA MADONNA DELLA ROCCA, 12</v>
          </cell>
          <cell r="E2192" t="str">
            <v>92019</v>
          </cell>
          <cell r="F2192" t="str">
            <v>SCIACCA</v>
          </cell>
          <cell r="G2192" t="str">
            <v>AG</v>
          </cell>
          <cell r="H2192" t="str">
            <v>ITALIA</v>
          </cell>
          <cell r="J2192" t="str">
            <v>02439280849</v>
          </cell>
          <cell r="M2192" t="str">
            <v>UFFICIO ACQUISTI</v>
          </cell>
          <cell r="O2192" t="str">
            <v>340 3357464</v>
          </cell>
          <cell r="P2192" t="str">
            <v>scarpittainfissi@libero.it</v>
          </cell>
          <cell r="R2192" t="str">
            <v>BONIFICO BANCARIO, ALLA DATA DELLA NOSTRA CONFERMA D'ORDINE</v>
          </cell>
          <cell r="X2192">
            <v>0.25</v>
          </cell>
          <cell r="Y2192">
            <v>-0.04</v>
          </cell>
          <cell r="AB2192">
            <v>0.25</v>
          </cell>
          <cell r="AC2192">
            <v>0.25</v>
          </cell>
          <cell r="AD2192">
            <v>0.25</v>
          </cell>
          <cell r="AE2192">
            <v>0.25</v>
          </cell>
          <cell r="AF2192">
            <v>0.25</v>
          </cell>
          <cell r="AG2192">
            <v>0.25</v>
          </cell>
          <cell r="AH2192">
            <v>0.25</v>
          </cell>
          <cell r="AI2192">
            <v>0.25</v>
          </cell>
          <cell r="AJ2192">
            <v>0.25</v>
          </cell>
          <cell r="AK2192">
            <v>0.25</v>
          </cell>
          <cell r="AL2192">
            <v>0.25</v>
          </cell>
          <cell r="AM2192">
            <v>0.25</v>
          </cell>
          <cell r="AN2192">
            <v>0.25</v>
          </cell>
          <cell r="AO2192">
            <v>0.25</v>
          </cell>
          <cell r="AP2192">
            <v>0.25</v>
          </cell>
          <cell r="AQ2192">
            <v>0.25</v>
          </cell>
          <cell r="AR2192">
            <v>0.25</v>
          </cell>
          <cell r="AS2192">
            <v>0.25</v>
          </cell>
          <cell r="AT2192">
            <v>-0.04</v>
          </cell>
          <cell r="AU2192">
            <v>0.92</v>
          </cell>
          <cell r="AV2192">
            <v>20</v>
          </cell>
          <cell r="AZ2192">
            <v>0.25</v>
          </cell>
          <cell r="BA2192">
            <v>0.25</v>
          </cell>
        </row>
        <row r="2193">
          <cell r="A2193" t="str">
            <v>SCARSI F.LLI</v>
          </cell>
          <cell r="D2193" t="str">
            <v>VIA GENOVA 318</v>
          </cell>
          <cell r="E2193" t="str">
            <v>15122</v>
          </cell>
          <cell r="F2193" t="str">
            <v>SPINETTA MARENGO</v>
          </cell>
          <cell r="G2193" t="str">
            <v>AL</v>
          </cell>
          <cell r="H2193" t="str">
            <v>ITALIA</v>
          </cell>
          <cell r="J2193" t="str">
            <v>01632560064</v>
          </cell>
          <cell r="M2193" t="str">
            <v>UFFICIO ACQUISTI</v>
          </cell>
          <cell r="N2193" t="str">
            <v>338 8118253</v>
          </cell>
          <cell r="R2193" t="str">
            <v>BONIFICO BANCARIO, ALLA DATA DELLA NOSTRA CONFERMA D'ORDINE</v>
          </cell>
          <cell r="X2193">
            <v>0.25</v>
          </cell>
          <cell r="Y2193">
            <v>-0.04</v>
          </cell>
          <cell r="AB2193">
            <v>0.25</v>
          </cell>
          <cell r="AC2193">
            <v>0.25</v>
          </cell>
          <cell r="AD2193">
            <v>0.25</v>
          </cell>
          <cell r="AE2193">
            <v>0.25</v>
          </cell>
          <cell r="AF2193">
            <v>0.25</v>
          </cell>
          <cell r="AG2193">
            <v>0.25</v>
          </cell>
          <cell r="AH2193">
            <v>0.25</v>
          </cell>
          <cell r="AI2193">
            <v>0.25</v>
          </cell>
          <cell r="AJ2193">
            <v>0.25</v>
          </cell>
          <cell r="AK2193">
            <v>0.25</v>
          </cell>
          <cell r="AL2193">
            <v>0.25</v>
          </cell>
          <cell r="AM2193">
            <v>0.25</v>
          </cell>
          <cell r="AN2193">
            <v>0.25</v>
          </cell>
          <cell r="AO2193">
            <v>0.25</v>
          </cell>
          <cell r="AP2193">
            <v>0.25</v>
          </cell>
          <cell r="AQ2193">
            <v>0.25</v>
          </cell>
          <cell r="AR2193">
            <v>0.25</v>
          </cell>
          <cell r="AS2193">
            <v>0.25</v>
          </cell>
          <cell r="AT2193">
            <v>-0.04</v>
          </cell>
          <cell r="AU2193">
            <v>0.92</v>
          </cell>
          <cell r="AV2193">
            <v>20</v>
          </cell>
          <cell r="AZ2193">
            <v>0.25</v>
          </cell>
          <cell r="BA2193">
            <v>0.25</v>
          </cell>
        </row>
        <row r="2194">
          <cell r="A2194" t="str">
            <v>SCAVINO E SCAVINO SRL</v>
          </cell>
          <cell r="D2194" t="str">
            <v>BORGATA MOLINO, 26</v>
          </cell>
          <cell r="E2194">
            <v>12060</v>
          </cell>
          <cell r="F2194" t="str">
            <v>VERDUNO</v>
          </cell>
          <cell r="G2194" t="str">
            <v>CN</v>
          </cell>
          <cell r="H2194" t="str">
            <v>ITALIA</v>
          </cell>
          <cell r="M2194" t="str">
            <v>UFFICIO ACQUISTI</v>
          </cell>
          <cell r="N2194" t="str">
            <v>0172 470160</v>
          </cell>
          <cell r="P2194" t="str">
            <v>info@scavinoescavino.com</v>
          </cell>
          <cell r="R2194" t="str">
            <v>BONIFICO BANCARIO, ALLA DATA DELLA NOSTRA CONFERMA D'ORDINE</v>
          </cell>
          <cell r="X2194">
            <v>0.25</v>
          </cell>
          <cell r="Y2194">
            <v>-0.04</v>
          </cell>
          <cell r="AB2194">
            <v>0.25</v>
          </cell>
          <cell r="AC2194">
            <v>0.25</v>
          </cell>
          <cell r="AD2194">
            <v>0.25</v>
          </cell>
          <cell r="AE2194">
            <v>0.25</v>
          </cell>
          <cell r="AF2194">
            <v>0.25</v>
          </cell>
          <cell r="AG2194">
            <v>0.25</v>
          </cell>
          <cell r="AH2194">
            <v>0.25</v>
          </cell>
          <cell r="AI2194">
            <v>0.25</v>
          </cell>
          <cell r="AJ2194">
            <v>0.25</v>
          </cell>
          <cell r="AK2194">
            <v>0.25</v>
          </cell>
          <cell r="AL2194">
            <v>0.25</v>
          </cell>
          <cell r="AM2194">
            <v>0.25</v>
          </cell>
          <cell r="AN2194">
            <v>0.25</v>
          </cell>
          <cell r="AO2194">
            <v>0.25</v>
          </cell>
          <cell r="AP2194">
            <v>0.25</v>
          </cell>
          <cell r="AQ2194">
            <v>0.25</v>
          </cell>
          <cell r="AR2194">
            <v>0.25</v>
          </cell>
          <cell r="AS2194">
            <v>0.25</v>
          </cell>
          <cell r="AT2194">
            <v>-0.04</v>
          </cell>
          <cell r="AU2194">
            <v>0.92</v>
          </cell>
          <cell r="AV2194">
            <v>20</v>
          </cell>
          <cell r="AZ2194">
            <v>0.25</v>
          </cell>
          <cell r="BA2194">
            <v>0.25</v>
          </cell>
        </row>
        <row r="2195">
          <cell r="A2195" t="str">
            <v>SCHIERA GIOVANNI E C. SNC</v>
          </cell>
          <cell r="D2195" t="str">
            <v>VIA LEVRINI, 19/21</v>
          </cell>
          <cell r="E2195" t="str">
            <v>25080</v>
          </cell>
          <cell r="F2195" t="str">
            <v>SOIANO DEL LAGO</v>
          </cell>
          <cell r="G2195" t="str">
            <v>BS</v>
          </cell>
          <cell r="H2195" t="str">
            <v>ITALIA</v>
          </cell>
          <cell r="J2195" t="str">
            <v>02413250982</v>
          </cell>
          <cell r="M2195" t="str">
            <v>UFFICIO ACQUISTI</v>
          </cell>
          <cell r="N2195" t="str">
            <v>0365 503491</v>
          </cell>
          <cell r="P2195" t="str">
            <v>schierasimone@gmail.com</v>
          </cell>
          <cell r="R2195" t="str">
            <v>BONIFICO BANCARIO, ALLA DATA DELLA NOSTRA CONFERMA D'ORDINE</v>
          </cell>
          <cell r="X2195">
            <v>0.15</v>
          </cell>
          <cell r="Y2195">
            <v>-0.04</v>
          </cell>
          <cell r="AB2195">
            <v>0.15</v>
          </cell>
          <cell r="AC2195">
            <v>0.15</v>
          </cell>
          <cell r="AD2195">
            <v>0.15</v>
          </cell>
          <cell r="AE2195">
            <v>0.15</v>
          </cell>
          <cell r="AF2195">
            <v>0.15</v>
          </cell>
          <cell r="AG2195">
            <v>0.15</v>
          </cell>
          <cell r="AH2195">
            <v>0.15</v>
          </cell>
          <cell r="AI2195">
            <v>0.15</v>
          </cell>
          <cell r="AJ2195">
            <v>0.15</v>
          </cell>
          <cell r="AK2195">
            <v>0.15</v>
          </cell>
          <cell r="AL2195">
            <v>0.15</v>
          </cell>
          <cell r="AM2195">
            <v>0.15</v>
          </cell>
          <cell r="AN2195">
            <v>0.15</v>
          </cell>
          <cell r="AO2195">
            <v>0.15</v>
          </cell>
          <cell r="AP2195">
            <v>0.15</v>
          </cell>
          <cell r="AQ2195">
            <v>0.15</v>
          </cell>
          <cell r="AR2195">
            <v>0.15</v>
          </cell>
          <cell r="AS2195">
            <v>0.15</v>
          </cell>
          <cell r="AT2195">
            <v>-0.04</v>
          </cell>
          <cell r="AU2195">
            <v>0.92</v>
          </cell>
          <cell r="AV2195">
            <v>20</v>
          </cell>
          <cell r="AZ2195">
            <v>0.15</v>
          </cell>
          <cell r="BA2195">
            <v>0.15</v>
          </cell>
        </row>
        <row r="2196">
          <cell r="A2196" t="str">
            <v>SCHIESARO SERRAMENTI SRL</v>
          </cell>
          <cell r="D2196" t="str">
            <v>VIA COMBATTENTI ALLEATI D'EUROPA, 11</v>
          </cell>
          <cell r="E2196" t="str">
            <v>45100</v>
          </cell>
          <cell r="F2196" t="str">
            <v>BORSEA</v>
          </cell>
          <cell r="G2196" t="str">
            <v>RO</v>
          </cell>
          <cell r="H2196" t="str">
            <v>ITALIA</v>
          </cell>
          <cell r="J2196" t="str">
            <v>01306580299</v>
          </cell>
          <cell r="K2196" t="str">
            <v>M5UXCR1</v>
          </cell>
          <cell r="M2196" t="str">
            <v>UFFICIO ACQUISTI</v>
          </cell>
          <cell r="N2196" t="str">
            <v>0425 471008</v>
          </cell>
          <cell r="P2196" t="str">
            <v>info@schiesaroserramenti.it</v>
          </cell>
          <cell r="R2196" t="str">
            <v>BONIFICO BANCARIO, ALLA DATA DELLA NOSTRA CONFERMA D'ORDINE</v>
          </cell>
          <cell r="X2196">
            <v>0.25</v>
          </cell>
          <cell r="Y2196">
            <v>-0.04</v>
          </cell>
          <cell r="AB2196">
            <v>0.25</v>
          </cell>
          <cell r="AC2196">
            <v>0.25</v>
          </cell>
          <cell r="AD2196">
            <v>0.25</v>
          </cell>
          <cell r="AE2196">
            <v>0.25</v>
          </cell>
          <cell r="AF2196">
            <v>0.25</v>
          </cell>
          <cell r="AG2196">
            <v>0.25</v>
          </cell>
          <cell r="AH2196">
            <v>0.25</v>
          </cell>
          <cell r="AI2196">
            <v>0.25</v>
          </cell>
          <cell r="AJ2196">
            <v>0.25</v>
          </cell>
          <cell r="AK2196">
            <v>0.25</v>
          </cell>
          <cell r="AL2196">
            <v>0.25</v>
          </cell>
          <cell r="AM2196">
            <v>0.25</v>
          </cell>
          <cell r="AN2196">
            <v>0.25</v>
          </cell>
          <cell r="AO2196">
            <v>0.25</v>
          </cell>
          <cell r="AP2196">
            <v>0.25</v>
          </cell>
          <cell r="AQ2196">
            <v>0.25</v>
          </cell>
          <cell r="AR2196">
            <v>0.25</v>
          </cell>
          <cell r="AS2196">
            <v>0.25</v>
          </cell>
          <cell r="AT2196">
            <v>-0.04</v>
          </cell>
          <cell r="AU2196">
            <v>0.92</v>
          </cell>
          <cell r="AV2196">
            <v>20</v>
          </cell>
          <cell r="AZ2196">
            <v>0.25</v>
          </cell>
          <cell r="BA2196">
            <v>0.25</v>
          </cell>
        </row>
        <row r="2197">
          <cell r="A2197" t="str">
            <v>SCHIESARO SERRAMENTI SRL</v>
          </cell>
          <cell r="D2197" t="str">
            <v xml:space="preserve">VIA PRATI, 11  5 </v>
          </cell>
          <cell r="E2197">
            <v>36031</v>
          </cell>
          <cell r="F2197" t="str">
            <v>DUEVILLE</v>
          </cell>
          <cell r="G2197" t="str">
            <v>VI</v>
          </cell>
          <cell r="H2197" t="str">
            <v>ITALIA</v>
          </cell>
          <cell r="I2197" t="str">
            <v>SCHLRT71H30L840N</v>
          </cell>
          <cell r="J2197" t="str">
            <v>02520490240</v>
          </cell>
          <cell r="M2197" t="str">
            <v>UFFICIO ACQUISTI</v>
          </cell>
          <cell r="N2197" t="str">
            <v>0444 360628</v>
          </cell>
          <cell r="O2197" t="str">
            <v>338 2474197</v>
          </cell>
          <cell r="P2197" t="str">
            <v>albert.schiesaro@tiscali.it</v>
          </cell>
          <cell r="R2197" t="str">
            <v>BONIFICO BANCARIO, ALLA DATA DELLA NOSTRA CONFERMA D'ORDINE</v>
          </cell>
          <cell r="X2197">
            <v>0.25</v>
          </cell>
          <cell r="Y2197">
            <v>-0.04</v>
          </cell>
          <cell r="AB2197">
            <v>0.25</v>
          </cell>
          <cell r="AC2197">
            <v>0.25</v>
          </cell>
          <cell r="AD2197">
            <v>0.25</v>
          </cell>
          <cell r="AE2197">
            <v>0.25</v>
          </cell>
          <cell r="AF2197">
            <v>0.25</v>
          </cell>
          <cell r="AG2197">
            <v>0.25</v>
          </cell>
          <cell r="AH2197">
            <v>0.25</v>
          </cell>
          <cell r="AI2197">
            <v>0.25</v>
          </cell>
          <cell r="AJ2197">
            <v>0.25</v>
          </cell>
          <cell r="AK2197">
            <v>0.25</v>
          </cell>
          <cell r="AL2197">
            <v>0.25</v>
          </cell>
          <cell r="AM2197">
            <v>0.25</v>
          </cell>
          <cell r="AN2197">
            <v>0.25</v>
          </cell>
          <cell r="AO2197">
            <v>0.25</v>
          </cell>
          <cell r="AP2197">
            <v>0.25</v>
          </cell>
          <cell r="AQ2197">
            <v>0.25</v>
          </cell>
          <cell r="AR2197">
            <v>0.25</v>
          </cell>
          <cell r="AS2197">
            <v>0.25</v>
          </cell>
          <cell r="AT2197">
            <v>-0.04</v>
          </cell>
          <cell r="AU2197">
            <v>0.92</v>
          </cell>
          <cell r="AV2197">
            <v>20</v>
          </cell>
          <cell r="AZ2197">
            <v>0.25</v>
          </cell>
          <cell r="BA2197">
            <v>0.25</v>
          </cell>
        </row>
        <row r="2198">
          <cell r="A2198" t="str">
            <v>SCHLOSSEREI STEINHOFER MARKUS</v>
          </cell>
          <cell r="D2198" t="str">
            <v>RIESBACHSTRASSE, 765</v>
          </cell>
          <cell r="E2198" t="str">
            <v>5412</v>
          </cell>
          <cell r="F2198" t="str">
            <v>PUCH</v>
          </cell>
          <cell r="H2198" t="str">
            <v>AUSTRIA</v>
          </cell>
          <cell r="J2198" t="str">
            <v>ATU37010202</v>
          </cell>
          <cell r="K2198" t="str">
            <v>XXXXXXX</v>
          </cell>
          <cell r="M2198" t="str">
            <v>UFFICIO ACQUISTI</v>
          </cell>
          <cell r="N2198" t="str">
            <v>+43 6245 70033</v>
          </cell>
          <cell r="P2198" t="str">
            <v>info.steinhofer@sbg.at</v>
          </cell>
          <cell r="R2198" t="str">
            <v>BANKÜBERWEISUNG, AM DATUM UNSERER AUFTRAGSBESTÄTIGUNG</v>
          </cell>
          <cell r="X2198">
            <v>0.2</v>
          </cell>
          <cell r="AB2198">
            <v>0.2</v>
          </cell>
          <cell r="AC2198">
            <v>0.2</v>
          </cell>
          <cell r="AD2198">
            <v>0.2</v>
          </cell>
          <cell r="AE2198">
            <v>0.2</v>
          </cell>
          <cell r="AF2198">
            <v>0.2</v>
          </cell>
          <cell r="AG2198">
            <v>0.2</v>
          </cell>
          <cell r="AH2198">
            <v>0.2</v>
          </cell>
          <cell r="AI2198">
            <v>0.2</v>
          </cell>
          <cell r="AJ2198">
            <v>0.2</v>
          </cell>
          <cell r="AK2198">
            <v>0.2</v>
          </cell>
          <cell r="AL2198">
            <v>0.2</v>
          </cell>
          <cell r="AM2198">
            <v>0.2</v>
          </cell>
          <cell r="AN2198">
            <v>0.2</v>
          </cell>
          <cell r="AO2198">
            <v>0.2</v>
          </cell>
          <cell r="AP2198">
            <v>0.2</v>
          </cell>
          <cell r="AQ2198">
            <v>0.2</v>
          </cell>
          <cell r="AR2198">
            <v>0.2</v>
          </cell>
          <cell r="AS2198">
            <v>0.2</v>
          </cell>
          <cell r="AU2198">
            <v>0.84</v>
          </cell>
          <cell r="AV2198">
            <v>20</v>
          </cell>
          <cell r="AZ2198">
            <v>0.2</v>
          </cell>
          <cell r="BA2198">
            <v>0.2</v>
          </cell>
        </row>
        <row r="2199">
          <cell r="A2199" t="str">
            <v>SCHMIDT AS S.R.L.</v>
          </cell>
          <cell r="B2199" t="str">
            <v xml:space="preserve">LATTONIERE DI BOLZANO </v>
          </cell>
          <cell r="D2199" t="str">
            <v>VIA DEGLI ARTIGIANI 20</v>
          </cell>
          <cell r="E2199" t="str">
            <v>39100</v>
          </cell>
          <cell r="F2199" t="str">
            <v>BOLZANO</v>
          </cell>
          <cell r="G2199" t="str">
            <v>BZ</v>
          </cell>
          <cell r="H2199" t="str">
            <v>ITALIA</v>
          </cell>
          <cell r="I2199" t="str">
            <v>02651280212</v>
          </cell>
          <cell r="J2199" t="str">
            <v>02651280212</v>
          </cell>
          <cell r="K2199" t="str">
            <v>RWDS1D5</v>
          </cell>
          <cell r="M2199" t="str">
            <v>UFFICIO ACQUISTI</v>
          </cell>
          <cell r="N2199" t="str">
            <v>0471 974489</v>
          </cell>
          <cell r="O2199" t="str">
            <v>335 6023936</v>
          </cell>
          <cell r="P2199" t="str">
            <v>info@schmidt-as.com</v>
          </cell>
          <cell r="R2199" t="str">
            <v>BONIFICO BANCARIO, ALLA DATA DELLA NOSTRA CONFERMA D'ORDINE</v>
          </cell>
          <cell r="X2199">
            <v>0.25</v>
          </cell>
          <cell r="Y2199">
            <v>-0.04</v>
          </cell>
          <cell r="AB2199">
            <v>0.25</v>
          </cell>
          <cell r="AC2199">
            <v>0.25</v>
          </cell>
          <cell r="AD2199">
            <v>0.25</v>
          </cell>
          <cell r="AE2199">
            <v>0.25</v>
          </cell>
          <cell r="AF2199">
            <v>0.25</v>
          </cell>
          <cell r="AG2199">
            <v>0.25</v>
          </cell>
          <cell r="AH2199">
            <v>0.25</v>
          </cell>
          <cell r="AI2199">
            <v>0.25</v>
          </cell>
          <cell r="AJ2199">
            <v>0.25</v>
          </cell>
          <cell r="AK2199">
            <v>0.25</v>
          </cell>
          <cell r="AL2199">
            <v>0.25</v>
          </cell>
          <cell r="AM2199">
            <v>0.25</v>
          </cell>
          <cell r="AN2199">
            <v>0.25</v>
          </cell>
          <cell r="AO2199">
            <v>0.25</v>
          </cell>
          <cell r="AP2199">
            <v>0.25</v>
          </cell>
          <cell r="AQ2199">
            <v>0.25</v>
          </cell>
          <cell r="AR2199">
            <v>0.25</v>
          </cell>
          <cell r="AS2199">
            <v>0.25</v>
          </cell>
          <cell r="AT2199">
            <v>-0.04</v>
          </cell>
          <cell r="AU2199">
            <v>0.92</v>
          </cell>
          <cell r="AV2199">
            <v>20</v>
          </cell>
          <cell r="AZ2199">
            <v>0.25</v>
          </cell>
          <cell r="BA2199">
            <v>0.25</v>
          </cell>
          <cell r="BF2199" t="str">
            <v>CLICK RAPID con espositore 20/10/2021 - MODERNA con espositore 20/10/2021</v>
          </cell>
        </row>
        <row r="2200">
          <cell r="A2200" t="str">
            <v>SCIBILIA MAURIZIO</v>
          </cell>
          <cell r="B2200" t="str">
            <v>VISITATO MP 22/11/2022 15/01/23 VOLEVA CAPIRE SE C'ERA MERCATO E VOME PROCEDERE. DICE CHE NON HA AVUTO RISCONTRO POSITIVO. NON SE NE FA NULLA</v>
          </cell>
          <cell r="D2200" t="str">
            <v>C.DA BEVAIO MERLA, 48</v>
          </cell>
          <cell r="E2200">
            <v>91014</v>
          </cell>
          <cell r="F2200" t="str">
            <v>CASTELLAMMARE DEL GOLFO</v>
          </cell>
          <cell r="G2200" t="str">
            <v>TP</v>
          </cell>
          <cell r="H2200" t="str">
            <v>ITALIA</v>
          </cell>
          <cell r="I2200" t="str">
            <v>SCBMRZ70B01D423T</v>
          </cell>
          <cell r="J2200" t="str">
            <v>01527270811</v>
          </cell>
          <cell r="M2200" t="str">
            <v>UFFICIO ACQUISTI</v>
          </cell>
          <cell r="N2200" t="str">
            <v>0924 35035</v>
          </cell>
          <cell r="O2200" t="str">
            <v>348 7986782</v>
          </cell>
          <cell r="P2200" t="str">
            <v>scibiliainnovative@gmail.com</v>
          </cell>
          <cell r="R2200" t="str">
            <v>BONIFICO BANCARIO, ALLA DATA DELLA NOSTRA CONFERMA D'ORDINE</v>
          </cell>
          <cell r="X2200">
            <v>0.25</v>
          </cell>
          <cell r="Y2200">
            <v>-0.04</v>
          </cell>
          <cell r="AB2200">
            <v>0.25</v>
          </cell>
          <cell r="AC2200">
            <v>0.25</v>
          </cell>
          <cell r="AD2200">
            <v>0.25</v>
          </cell>
          <cell r="AE2200">
            <v>0.25</v>
          </cell>
          <cell r="AF2200">
            <v>0.25</v>
          </cell>
          <cell r="AG2200">
            <v>0.25</v>
          </cell>
          <cell r="AH2200">
            <v>0.25</v>
          </cell>
          <cell r="AI2200">
            <v>0.25</v>
          </cell>
          <cell r="AJ2200">
            <v>0.25</v>
          </cell>
          <cell r="AK2200">
            <v>0.25</v>
          </cell>
          <cell r="AL2200">
            <v>0.25</v>
          </cell>
          <cell r="AM2200">
            <v>0.25</v>
          </cell>
          <cell r="AN2200">
            <v>0.25</v>
          </cell>
          <cell r="AO2200">
            <v>0.25</v>
          </cell>
          <cell r="AP2200">
            <v>0.25</v>
          </cell>
          <cell r="AQ2200">
            <v>0.25</v>
          </cell>
          <cell r="AR2200">
            <v>0.25</v>
          </cell>
          <cell r="AS2200">
            <v>0.25</v>
          </cell>
          <cell r="AT2200">
            <v>-0.04</v>
          </cell>
          <cell r="AU2200">
            <v>0.87</v>
          </cell>
          <cell r="AV2200">
            <v>20</v>
          </cell>
          <cell r="AZ2200">
            <v>0.25</v>
          </cell>
          <cell r="BA2200">
            <v>0.25</v>
          </cell>
        </row>
        <row r="2201">
          <cell r="A2201" t="str">
            <v>SCOZIA INFISSI di SCOZIA CALOGERO</v>
          </cell>
          <cell r="D2201" t="str">
            <v>VIA GELA, 358</v>
          </cell>
          <cell r="E2201">
            <v>92027</v>
          </cell>
          <cell r="F2201" t="str">
            <v>LICATA</v>
          </cell>
          <cell r="G2201" t="str">
            <v>AG</v>
          </cell>
          <cell r="H2201" t="str">
            <v>ITALIA</v>
          </cell>
          <cell r="I2201" t="str">
            <v>SCZCGR81M30E573O</v>
          </cell>
          <cell r="J2201" t="str">
            <v>02818780849</v>
          </cell>
          <cell r="M2201" t="str">
            <v>UFFICIO ACQUISTI</v>
          </cell>
          <cell r="N2201" t="str">
            <v>0922 804153</v>
          </cell>
          <cell r="P2201" t="str">
            <v>scoziaangelo@hotmail.it</v>
          </cell>
          <cell r="R2201" t="str">
            <v>BONIFICO BANCARIO, ALLA DATA DELLA NOSTRA CONFERMA D'ORDINE</v>
          </cell>
          <cell r="X2201">
            <v>0.25</v>
          </cell>
          <cell r="Y2201">
            <v>-0.04</v>
          </cell>
          <cell r="AB2201">
            <v>0.25</v>
          </cell>
          <cell r="AC2201">
            <v>0.25</v>
          </cell>
          <cell r="AD2201">
            <v>0.25</v>
          </cell>
          <cell r="AE2201">
            <v>0.25</v>
          </cell>
          <cell r="AF2201">
            <v>0.25</v>
          </cell>
          <cell r="AG2201">
            <v>0.25</v>
          </cell>
          <cell r="AH2201">
            <v>0.25</v>
          </cell>
          <cell r="AI2201">
            <v>0.25</v>
          </cell>
          <cell r="AJ2201">
            <v>0.25</v>
          </cell>
          <cell r="AK2201">
            <v>0.25</v>
          </cell>
          <cell r="AL2201">
            <v>0.25</v>
          </cell>
          <cell r="AM2201">
            <v>0.25</v>
          </cell>
          <cell r="AN2201">
            <v>0.25</v>
          </cell>
          <cell r="AO2201">
            <v>0.25</v>
          </cell>
          <cell r="AP2201">
            <v>0.25</v>
          </cell>
          <cell r="AQ2201">
            <v>0.25</v>
          </cell>
          <cell r="AR2201">
            <v>0.25</v>
          </cell>
          <cell r="AS2201">
            <v>0.25</v>
          </cell>
          <cell r="AT2201">
            <v>-0.04</v>
          </cell>
          <cell r="AU2201">
            <v>0.92</v>
          </cell>
          <cell r="AV2201">
            <v>20</v>
          </cell>
          <cell r="AZ2201">
            <v>0.25</v>
          </cell>
          <cell r="BA2201">
            <v>0.25</v>
          </cell>
        </row>
        <row r="2202">
          <cell r="A2202" t="str">
            <v>SCS DI SIGHINOLFI COVEZZOLI E C SNC</v>
          </cell>
          <cell r="D2202" t="str">
            <v>VIA COPERNICO, 23</v>
          </cell>
          <cell r="E2202" t="str">
            <v>41015</v>
          </cell>
          <cell r="F2202" t="str">
            <v>NONANTOLA</v>
          </cell>
          <cell r="G2202" t="str">
            <v>MO</v>
          </cell>
          <cell r="H2202" t="str">
            <v>ITALIA</v>
          </cell>
          <cell r="J2202" t="str">
            <v>0638950360</v>
          </cell>
          <cell r="M2202" t="str">
            <v>UFFICIO ACQUISTI</v>
          </cell>
          <cell r="N2202" t="str">
            <v>059 54 82 13</v>
          </cell>
          <cell r="O2202" t="str">
            <v>349 2424200 FABRIZIO</v>
          </cell>
          <cell r="P2202" t="str">
            <v>scs@costruzionilegno-mo.it</v>
          </cell>
          <cell r="R2202" t="str">
            <v>BONIFICO BANCARIO, ALLA DATA DELLA NOSTRA CONFERMA D'ORDINE</v>
          </cell>
          <cell r="X2202">
            <v>0.15</v>
          </cell>
          <cell r="Y2202">
            <v>-0.04</v>
          </cell>
          <cell r="AB2202">
            <v>0.15</v>
          </cell>
          <cell r="AC2202">
            <v>0.15</v>
          </cell>
          <cell r="AD2202">
            <v>0.15</v>
          </cell>
          <cell r="AE2202">
            <v>0.15</v>
          </cell>
          <cell r="AF2202">
            <v>0.15</v>
          </cell>
          <cell r="AG2202">
            <v>0.15</v>
          </cell>
          <cell r="AH2202">
            <v>0.15</v>
          </cell>
          <cell r="AI2202">
            <v>0.15</v>
          </cell>
          <cell r="AJ2202">
            <v>0.15</v>
          </cell>
          <cell r="AK2202">
            <v>0.15</v>
          </cell>
          <cell r="AL2202">
            <v>0.15</v>
          </cell>
          <cell r="AM2202">
            <v>0.15</v>
          </cell>
          <cell r="AN2202">
            <v>0.15</v>
          </cell>
          <cell r="AO2202">
            <v>0.15</v>
          </cell>
          <cell r="AP2202">
            <v>0.15</v>
          </cell>
          <cell r="AQ2202">
            <v>0.15</v>
          </cell>
          <cell r="AR2202">
            <v>0.15</v>
          </cell>
          <cell r="AS2202">
            <v>0.15</v>
          </cell>
          <cell r="AT2202">
            <v>-0.04</v>
          </cell>
          <cell r="AU2202">
            <v>0.92</v>
          </cell>
          <cell r="AV2202">
            <v>20</v>
          </cell>
          <cell r="AZ2202">
            <v>0.15</v>
          </cell>
          <cell r="BA2202">
            <v>0.15</v>
          </cell>
        </row>
        <row r="2203">
          <cell r="A2203" t="str">
            <v>SD SERRAMENTI DEIURI</v>
          </cell>
          <cell r="B2203" t="str">
            <v>JESSICA, DAVIDE E ANDREA TITOLARE</v>
          </cell>
          <cell r="D2203" t="str">
            <v>VIA IV NOVEMBRE, 5 F</v>
          </cell>
          <cell r="F2203" t="str">
            <v>GORIZIA</v>
          </cell>
          <cell r="G2203" t="str">
            <v>GO</v>
          </cell>
          <cell r="H2203" t="str">
            <v>ITALIA</v>
          </cell>
          <cell r="M2203" t="str">
            <v>UFFICIO ACQUISTI</v>
          </cell>
          <cell r="N2203" t="str">
            <v>0481 392185</v>
          </cell>
          <cell r="O2203" t="str">
            <v>347 5146116</v>
          </cell>
          <cell r="P2203" t="str">
            <v>tecnico@deiuri@gmail.com</v>
          </cell>
          <cell r="R2203" t="str">
            <v>BONIFICO BANCARIO, ALLA DATA DELLA NOSTRA CONFERMA D'ORDINE</v>
          </cell>
          <cell r="X2203">
            <v>0.25</v>
          </cell>
          <cell r="Y2203">
            <v>-0.04</v>
          </cell>
          <cell r="AB2203">
            <v>0.25</v>
          </cell>
          <cell r="AC2203">
            <v>0.25</v>
          </cell>
          <cell r="AD2203">
            <v>0.25</v>
          </cell>
          <cell r="AE2203">
            <v>0.25</v>
          </cell>
          <cell r="AF2203">
            <v>0.25</v>
          </cell>
          <cell r="AG2203">
            <v>0.25</v>
          </cell>
          <cell r="AH2203">
            <v>0.25</v>
          </cell>
          <cell r="AI2203">
            <v>0.25</v>
          </cell>
          <cell r="AJ2203">
            <v>0.25</v>
          </cell>
          <cell r="AK2203">
            <v>0.25</v>
          </cell>
          <cell r="AL2203">
            <v>0.25</v>
          </cell>
          <cell r="AM2203">
            <v>0.25</v>
          </cell>
          <cell r="AN2203">
            <v>0.25</v>
          </cell>
          <cell r="AO2203">
            <v>0.25</v>
          </cell>
          <cell r="AP2203">
            <v>0.25</v>
          </cell>
          <cell r="AQ2203">
            <v>0.25</v>
          </cell>
          <cell r="AR2203">
            <v>0.25</v>
          </cell>
          <cell r="AS2203">
            <v>0.25</v>
          </cell>
          <cell r="AT2203">
            <v>-0.04</v>
          </cell>
          <cell r="AU2203">
            <v>0.92</v>
          </cell>
          <cell r="AV2203">
            <v>20</v>
          </cell>
          <cell r="AZ2203">
            <v>0.25</v>
          </cell>
          <cell r="BA2203">
            <v>0.25</v>
          </cell>
        </row>
        <row r="2204">
          <cell r="A2204" t="str">
            <v>SDS FERRAMENTA DI STELLA STEFANO</v>
          </cell>
          <cell r="B2204" t="str">
            <v>ABBASTANZA INTERESSATO</v>
          </cell>
          <cell r="D2204" t="str">
            <v>VIA ROMAGNA, 97</v>
          </cell>
          <cell r="E2204" t="str">
            <v>05100</v>
          </cell>
          <cell r="F2204" t="str">
            <v>TERNI</v>
          </cell>
          <cell r="G2204" t="str">
            <v>TR</v>
          </cell>
          <cell r="H2204" t="str">
            <v>ITALIA</v>
          </cell>
          <cell r="J2204" t="str">
            <v>01533530554</v>
          </cell>
          <cell r="M2204" t="str">
            <v>UFFICIO ACQUISTI</v>
          </cell>
          <cell r="N2204" t="str">
            <v>0744 081561</v>
          </cell>
          <cell r="O2204" t="str">
            <v>339 3766970</v>
          </cell>
          <cell r="P2204" t="str">
            <v>sdsferramenta@libero.it</v>
          </cell>
          <cell r="R2204" t="str">
            <v>BONIFICO BANCARIO, ALLA DATA DELLA NOSTRA CONFERMA D'ORDINE</v>
          </cell>
          <cell r="Y2204">
            <v>-0.04</v>
          </cell>
          <cell r="AT2204">
            <v>-0.04</v>
          </cell>
          <cell r="AV2204">
            <v>20</v>
          </cell>
          <cell r="AZ2204">
            <v>0</v>
          </cell>
          <cell r="BA2204">
            <v>0</v>
          </cell>
        </row>
        <row r="2205">
          <cell r="A2205" t="str">
            <v>SE AL F.LLI BACCHI SNC</v>
          </cell>
          <cell r="D2205" t="str">
            <v>LARGO VETERANI DELLO SPORT 7</v>
          </cell>
          <cell r="F2205" t="str">
            <v>PIETRA LIGURE</v>
          </cell>
          <cell r="G2205" t="str">
            <v>SV</v>
          </cell>
          <cell r="H2205" t="str">
            <v>ITALIA</v>
          </cell>
          <cell r="J2205" t="str">
            <v>01355450097</v>
          </cell>
          <cell r="M2205" t="str">
            <v>UFFICIO ACQUISTI</v>
          </cell>
          <cell r="N2205" t="str">
            <v>019 626626</v>
          </cell>
          <cell r="O2205" t="str">
            <v xml:space="preserve">329 4224314 GINO </v>
          </cell>
          <cell r="R2205" t="str">
            <v>BONIFICO BANCARIO, ALLA DATA DELLA NOSTRA CONFERMA D'ORDINE</v>
          </cell>
          <cell r="X2205">
            <v>0.25</v>
          </cell>
          <cell r="Y2205">
            <v>-0.04</v>
          </cell>
          <cell r="AB2205">
            <v>0.25</v>
          </cell>
          <cell r="AC2205">
            <v>0.25</v>
          </cell>
          <cell r="AD2205">
            <v>0.25</v>
          </cell>
          <cell r="AE2205">
            <v>0.25</v>
          </cell>
          <cell r="AF2205">
            <v>0.25</v>
          </cell>
          <cell r="AG2205">
            <v>0.25</v>
          </cell>
          <cell r="AH2205">
            <v>0.25</v>
          </cell>
          <cell r="AI2205">
            <v>0.25</v>
          </cell>
          <cell r="AJ2205">
            <v>0.25</v>
          </cell>
          <cell r="AK2205">
            <v>0.25</v>
          </cell>
          <cell r="AL2205">
            <v>0.25</v>
          </cell>
          <cell r="AM2205">
            <v>0.25</v>
          </cell>
          <cell r="AN2205">
            <v>0.25</v>
          </cell>
          <cell r="AO2205">
            <v>0.25</v>
          </cell>
          <cell r="AP2205">
            <v>0.25</v>
          </cell>
          <cell r="AQ2205">
            <v>0.25</v>
          </cell>
          <cell r="AR2205">
            <v>0.25</v>
          </cell>
          <cell r="AS2205">
            <v>0.25</v>
          </cell>
          <cell r="AT2205">
            <v>-0.04</v>
          </cell>
          <cell r="AU2205">
            <v>0.92</v>
          </cell>
          <cell r="AV2205">
            <v>20</v>
          </cell>
          <cell r="AZ2205">
            <v>0.25</v>
          </cell>
          <cell r="BA2205">
            <v>0.25</v>
          </cell>
        </row>
        <row r="2206">
          <cell r="A2206" t="str">
            <v>SE.AL SRL</v>
          </cell>
          <cell r="D2206" t="str">
            <v>VIA ANWAR SADAT, 138</v>
          </cell>
          <cell r="E2206">
            <v>90142</v>
          </cell>
          <cell r="F2206" t="str">
            <v>PALERMO</v>
          </cell>
          <cell r="G2206" t="str">
            <v>PA</v>
          </cell>
          <cell r="H2206" t="str">
            <v>ITALIA</v>
          </cell>
          <cell r="J2206" t="str">
            <v>06764440829</v>
          </cell>
          <cell r="K2206" t="str">
            <v>M5UXCR1</v>
          </cell>
          <cell r="M2206" t="str">
            <v>UFFICIO ACQUISTI</v>
          </cell>
          <cell r="N2206" t="str">
            <v>091 545567</v>
          </cell>
          <cell r="O2206" t="str">
            <v>348 4711262</v>
          </cell>
          <cell r="P2206" t="str">
            <v>greconatale@seal-serramenti.it</v>
          </cell>
          <cell r="R2206" t="str">
            <v>BONIFICO BANCARIO, ALLA DATA DELLA NOSTRA CONFERMA D'ORDINE</v>
          </cell>
          <cell r="X2206">
            <v>0.25</v>
          </cell>
          <cell r="Y2206">
            <v>-0.04</v>
          </cell>
          <cell r="AB2206">
            <v>0.25</v>
          </cell>
          <cell r="AC2206">
            <v>0.25</v>
          </cell>
          <cell r="AD2206">
            <v>0.25</v>
          </cell>
          <cell r="AE2206">
            <v>0.25</v>
          </cell>
          <cell r="AF2206">
            <v>0.25</v>
          </cell>
          <cell r="AG2206">
            <v>0.25</v>
          </cell>
          <cell r="AH2206">
            <v>0.25</v>
          </cell>
          <cell r="AI2206">
            <v>0.25</v>
          </cell>
          <cell r="AJ2206">
            <v>0.25</v>
          </cell>
          <cell r="AK2206">
            <v>0.25</v>
          </cell>
          <cell r="AL2206">
            <v>0.25</v>
          </cell>
          <cell r="AM2206">
            <v>0.25</v>
          </cell>
          <cell r="AN2206">
            <v>0.25</v>
          </cell>
          <cell r="AO2206">
            <v>0.25</v>
          </cell>
          <cell r="AP2206">
            <v>0.25</v>
          </cell>
          <cell r="AQ2206">
            <v>0.25</v>
          </cell>
          <cell r="AR2206">
            <v>0.25</v>
          </cell>
          <cell r="AS2206">
            <v>0.25</v>
          </cell>
          <cell r="AT2206">
            <v>-0.04</v>
          </cell>
          <cell r="AU2206">
            <v>0.92</v>
          </cell>
          <cell r="AV2206">
            <v>20</v>
          </cell>
          <cell r="AZ2206">
            <v>0.25</v>
          </cell>
          <cell r="BA2206">
            <v>0.25</v>
          </cell>
        </row>
        <row r="2207">
          <cell r="A2207" t="str">
            <v>SE.FIN</v>
          </cell>
          <cell r="D2207" t="str">
            <v>VIA MANTOVA, 15</v>
          </cell>
          <cell r="E2207" t="str">
            <v>37045</v>
          </cell>
          <cell r="F2207" t="str">
            <v>LEGNANO</v>
          </cell>
          <cell r="G2207" t="str">
            <v>VR</v>
          </cell>
          <cell r="H2207" t="str">
            <v>ITALIA</v>
          </cell>
          <cell r="M2207" t="str">
            <v>UFFICIO ACQUISTI</v>
          </cell>
          <cell r="N2207" t="str">
            <v>0442 601660</v>
          </cell>
          <cell r="P2207" t="str">
            <v>info@se-fin.it</v>
          </cell>
          <cell r="R2207" t="str">
            <v>BONIFICO BANCARIO, ALLA DATA DELLA NOSTRA CONFERMA D'ORDINE</v>
          </cell>
          <cell r="X2207">
            <v>0.25</v>
          </cell>
          <cell r="Y2207">
            <v>-0.04</v>
          </cell>
          <cell r="AB2207">
            <v>0.25</v>
          </cell>
          <cell r="AC2207">
            <v>0.25</v>
          </cell>
          <cell r="AD2207">
            <v>0.25</v>
          </cell>
          <cell r="AE2207">
            <v>0.25</v>
          </cell>
          <cell r="AF2207">
            <v>0.25</v>
          </cell>
          <cell r="AG2207">
            <v>0.25</v>
          </cell>
          <cell r="AH2207">
            <v>0.25</v>
          </cell>
          <cell r="AI2207">
            <v>0.25</v>
          </cell>
          <cell r="AJ2207">
            <v>0.25</v>
          </cell>
          <cell r="AK2207">
            <v>0.25</v>
          </cell>
          <cell r="AL2207">
            <v>0.25</v>
          </cell>
          <cell r="AM2207">
            <v>0.25</v>
          </cell>
          <cell r="AN2207">
            <v>0.25</v>
          </cell>
          <cell r="AO2207">
            <v>0.25</v>
          </cell>
          <cell r="AP2207">
            <v>0.25</v>
          </cell>
          <cell r="AQ2207">
            <v>0.25</v>
          </cell>
          <cell r="AR2207">
            <v>0.25</v>
          </cell>
          <cell r="AS2207">
            <v>0.25</v>
          </cell>
          <cell r="AT2207">
            <v>-0.04</v>
          </cell>
          <cell r="AU2207">
            <v>0.92</v>
          </cell>
          <cell r="AV2207">
            <v>20</v>
          </cell>
          <cell r="AZ2207">
            <v>0.25</v>
          </cell>
          <cell r="BA2207">
            <v>0.25</v>
          </cell>
        </row>
        <row r="2208">
          <cell r="A2208" t="str">
            <v>SE.MA. DI ADRIANI MAURIZIO &amp; SERGIO SNC</v>
          </cell>
          <cell r="B2208" t="str">
            <v>ROBERTO ADRIANI RESPONSABILE OFFICINA</v>
          </cell>
          <cell r="D2208" t="str">
            <v>VIA CUPA SNC</v>
          </cell>
          <cell r="F2208" t="str">
            <v>GIULIANOVA</v>
          </cell>
          <cell r="G2208" t="str">
            <v>TE</v>
          </cell>
          <cell r="H2208" t="str">
            <v>ITALIA</v>
          </cell>
          <cell r="J2208" t="str">
            <v>00750950677</v>
          </cell>
          <cell r="M2208" t="str">
            <v>UFFICIO ACQUISTI</v>
          </cell>
          <cell r="N2208" t="str">
            <v>085 8005900</v>
          </cell>
          <cell r="O2208" t="str">
            <v>339 4356386</v>
          </cell>
          <cell r="P2208" t="str">
            <v>info@se-ma.com - adriani.roberto@se-ma.com</v>
          </cell>
          <cell r="R2208" t="str">
            <v>BONIFICO BANCARIO, ALLA DATA DELLA NOSTRA CONFERMA D'ORDINE</v>
          </cell>
          <cell r="X2208">
            <v>0.25</v>
          </cell>
          <cell r="Y2208">
            <v>-0.04</v>
          </cell>
          <cell r="AB2208">
            <v>0.25</v>
          </cell>
          <cell r="AC2208">
            <v>0.25</v>
          </cell>
          <cell r="AD2208">
            <v>0.25</v>
          </cell>
          <cell r="AE2208">
            <v>0.25</v>
          </cell>
          <cell r="AF2208">
            <v>0.25</v>
          </cell>
          <cell r="AG2208">
            <v>0.25</v>
          </cell>
          <cell r="AH2208">
            <v>0.25</v>
          </cell>
          <cell r="AI2208">
            <v>0.25</v>
          </cell>
          <cell r="AJ2208">
            <v>0.25</v>
          </cell>
          <cell r="AK2208">
            <v>0.25</v>
          </cell>
          <cell r="AL2208">
            <v>0.25</v>
          </cell>
          <cell r="AM2208">
            <v>0.25</v>
          </cell>
          <cell r="AN2208">
            <v>0.25</v>
          </cell>
          <cell r="AO2208">
            <v>0.25</v>
          </cell>
          <cell r="AP2208">
            <v>0.25</v>
          </cell>
          <cell r="AQ2208">
            <v>0.25</v>
          </cell>
          <cell r="AR2208">
            <v>0.25</v>
          </cell>
          <cell r="AS2208">
            <v>0.25</v>
          </cell>
          <cell r="AT2208">
            <v>-0.04</v>
          </cell>
          <cell r="AU2208">
            <v>0.92</v>
          </cell>
          <cell r="AV2208">
            <v>20</v>
          </cell>
          <cell r="AZ2208">
            <v>0.25</v>
          </cell>
          <cell r="BA2208">
            <v>0.25</v>
          </cell>
        </row>
        <row r="2209">
          <cell r="A2209" t="str">
            <v>SEA INFISSI SRL</v>
          </cell>
          <cell r="D2209" t="str">
            <v>VIA PAPIRIA, 61</v>
          </cell>
          <cell r="E2209">
            <v>61032</v>
          </cell>
          <cell r="F2209" t="str">
            <v>FANO</v>
          </cell>
          <cell r="G2209" t="str">
            <v>PU</v>
          </cell>
          <cell r="H2209" t="str">
            <v>ITALIA</v>
          </cell>
          <cell r="J2209" t="str">
            <v>01005880412</v>
          </cell>
          <cell r="K2209" t="str">
            <v>J6URRTW</v>
          </cell>
          <cell r="M2209" t="str">
            <v>UFFICIO ACQUISTI</v>
          </cell>
          <cell r="N2209" t="str">
            <v>0721 855623</v>
          </cell>
          <cell r="P2209" t="str">
            <v>sea@seainfissi.it</v>
          </cell>
          <cell r="R2209" t="str">
            <v>BONIFICO BANCARIO, ALLA DATA DELLA NOSTRA CONFERMA D'ORDINE</v>
          </cell>
          <cell r="X2209">
            <v>0.25</v>
          </cell>
          <cell r="Y2209">
            <v>-0.04</v>
          </cell>
          <cell r="AB2209">
            <v>0.25</v>
          </cell>
          <cell r="AC2209">
            <v>0.25</v>
          </cell>
          <cell r="AD2209">
            <v>0.25</v>
          </cell>
          <cell r="AE2209">
            <v>0.25</v>
          </cell>
          <cell r="AF2209">
            <v>0.25</v>
          </cell>
          <cell r="AG2209">
            <v>0.25</v>
          </cell>
          <cell r="AH2209">
            <v>0.25</v>
          </cell>
          <cell r="AI2209">
            <v>0.25</v>
          </cell>
          <cell r="AJ2209">
            <v>0.25</v>
          </cell>
          <cell r="AK2209">
            <v>0.25</v>
          </cell>
          <cell r="AL2209">
            <v>0.25</v>
          </cell>
          <cell r="AM2209">
            <v>0.25</v>
          </cell>
          <cell r="AN2209">
            <v>0.25</v>
          </cell>
          <cell r="AO2209">
            <v>0.25</v>
          </cell>
          <cell r="AP2209">
            <v>0.25</v>
          </cell>
          <cell r="AQ2209">
            <v>0.25</v>
          </cell>
          <cell r="AR2209">
            <v>0.25</v>
          </cell>
          <cell r="AS2209">
            <v>0.25</v>
          </cell>
          <cell r="AT2209">
            <v>-0.04</v>
          </cell>
          <cell r="AU2209">
            <v>0.92</v>
          </cell>
          <cell r="AV2209">
            <v>20</v>
          </cell>
          <cell r="AZ2209">
            <v>0.25</v>
          </cell>
          <cell r="BA2209">
            <v>0.25</v>
          </cell>
        </row>
        <row r="2210">
          <cell r="A2210" t="str">
            <v>SEA SAS DI GIORGIO CAPELLO &amp; C</v>
          </cell>
          <cell r="D2210" t="str">
            <v>VIA PONTIDA 6</v>
          </cell>
          <cell r="E2210" t="str">
            <v>15121</v>
          </cell>
          <cell r="F2210" t="str">
            <v>ALESSANDRIA</v>
          </cell>
          <cell r="G2210" t="str">
            <v>AL</v>
          </cell>
          <cell r="H2210" t="str">
            <v>ITALIA</v>
          </cell>
          <cell r="J2210" t="str">
            <v>02562800066</v>
          </cell>
          <cell r="M2210" t="str">
            <v>UFFICIO ACQUISTI</v>
          </cell>
          <cell r="N2210" t="str">
            <v>347 1332903</v>
          </cell>
          <cell r="P2210" t="str">
            <v>giorgiocapello61@gmail.com</v>
          </cell>
          <cell r="R2210" t="str">
            <v>BONIFICO BANCARIO, ALLA DATA DELLA NOSTRA CONFERMA D'ORDINE</v>
          </cell>
          <cell r="X2210">
            <v>0.25</v>
          </cell>
          <cell r="Y2210">
            <v>-0.04</v>
          </cell>
          <cell r="AB2210">
            <v>0.25</v>
          </cell>
          <cell r="AC2210">
            <v>0.25</v>
          </cell>
          <cell r="AD2210">
            <v>0.25</v>
          </cell>
          <cell r="AE2210">
            <v>0.25</v>
          </cell>
          <cell r="AF2210">
            <v>0.25</v>
          </cell>
          <cell r="AG2210">
            <v>0.25</v>
          </cell>
          <cell r="AH2210">
            <v>0.25</v>
          </cell>
          <cell r="AI2210">
            <v>0.25</v>
          </cell>
          <cell r="AJ2210">
            <v>0.25</v>
          </cell>
          <cell r="AK2210">
            <v>0.25</v>
          </cell>
          <cell r="AL2210">
            <v>0.25</v>
          </cell>
          <cell r="AM2210">
            <v>0.25</v>
          </cell>
          <cell r="AN2210">
            <v>0.25</v>
          </cell>
          <cell r="AO2210">
            <v>0.25</v>
          </cell>
          <cell r="AP2210">
            <v>0.25</v>
          </cell>
          <cell r="AQ2210">
            <v>0.25</v>
          </cell>
          <cell r="AR2210">
            <v>0.25</v>
          </cell>
          <cell r="AS2210">
            <v>0.25</v>
          </cell>
          <cell r="AT2210">
            <v>-0.04</v>
          </cell>
          <cell r="AU2210">
            <v>0.92</v>
          </cell>
          <cell r="AV2210">
            <v>20</v>
          </cell>
          <cell r="AZ2210">
            <v>0.25</v>
          </cell>
          <cell r="BA2210">
            <v>0.25</v>
          </cell>
        </row>
        <row r="2211">
          <cell r="A2211" t="str">
            <v xml:space="preserve">SEAL SERRAMENTI </v>
          </cell>
          <cell r="B2211" t="str">
            <v xml:space="preserve">GABRIELLA  VINCENZO  </v>
          </cell>
          <cell r="D2211" t="str">
            <v>VIA ANWAR SADAT, 138</v>
          </cell>
          <cell r="E2211">
            <v>90133</v>
          </cell>
          <cell r="F2211" t="str">
            <v>PALERMO</v>
          </cell>
          <cell r="G2211" t="str">
            <v>PA</v>
          </cell>
          <cell r="H2211" t="str">
            <v>ITALIA</v>
          </cell>
          <cell r="J2211" t="str">
            <v>06764440829</v>
          </cell>
          <cell r="K2211" t="str">
            <v>M5UXCR1</v>
          </cell>
          <cell r="M2211" t="str">
            <v>UFFICIO ACQUISTI</v>
          </cell>
          <cell r="N2211" t="str">
            <v>091 545567</v>
          </cell>
          <cell r="O2211" t="str">
            <v>348 4711262</v>
          </cell>
          <cell r="P2211" t="str">
            <v>info@seal-serramenti.it</v>
          </cell>
          <cell r="R2211" t="str">
            <v>BONIFICO BANCARIO, ALLA DATA DELLA NOSTRA CONFERMA D'ORDINE</v>
          </cell>
          <cell r="X2211">
            <v>0.25</v>
          </cell>
          <cell r="Y2211">
            <v>-0.04</v>
          </cell>
          <cell r="AB2211">
            <v>0.25</v>
          </cell>
          <cell r="AC2211">
            <v>0.25</v>
          </cell>
          <cell r="AD2211">
            <v>0.25</v>
          </cell>
          <cell r="AE2211">
            <v>0.25</v>
          </cell>
          <cell r="AF2211">
            <v>0.25</v>
          </cell>
          <cell r="AG2211">
            <v>0.25</v>
          </cell>
          <cell r="AH2211">
            <v>0.25</v>
          </cell>
          <cell r="AI2211">
            <v>0.25</v>
          </cell>
          <cell r="AJ2211">
            <v>0.25</v>
          </cell>
          <cell r="AK2211">
            <v>0.25</v>
          </cell>
          <cell r="AL2211">
            <v>0.25</v>
          </cell>
          <cell r="AM2211">
            <v>0.25</v>
          </cell>
          <cell r="AN2211">
            <v>0.25</v>
          </cell>
          <cell r="AO2211">
            <v>0.25</v>
          </cell>
          <cell r="AP2211">
            <v>0.25</v>
          </cell>
          <cell r="AQ2211">
            <v>0.25</v>
          </cell>
          <cell r="AR2211">
            <v>0.25</v>
          </cell>
          <cell r="AS2211">
            <v>0.25</v>
          </cell>
          <cell r="AT2211">
            <v>-0.04</v>
          </cell>
          <cell r="AU2211">
            <v>0.92</v>
          </cell>
          <cell r="AV2211">
            <v>20</v>
          </cell>
          <cell r="AZ2211">
            <v>0.25</v>
          </cell>
          <cell r="BA2211">
            <v>0.25</v>
          </cell>
        </row>
        <row r="2212">
          <cell r="A2212" t="str">
            <v>SEAL VETRO CENTRO SERRAMENTI</v>
          </cell>
          <cell r="D2212" t="str">
            <v>VIA ARGINE SINISTRO, 90</v>
          </cell>
          <cell r="E2212">
            <v>18100</v>
          </cell>
          <cell r="F2212" t="str">
            <v>IMPERIA</v>
          </cell>
          <cell r="G2212" t="str">
            <v>IM</v>
          </cell>
          <cell r="H2212" t="str">
            <v>ITALIA</v>
          </cell>
          <cell r="M2212" t="str">
            <v>UFFICIO ACQUISTI</v>
          </cell>
          <cell r="N2212" t="str">
            <v>0183 293270</v>
          </cell>
          <cell r="R2212" t="str">
            <v>BONIFICO BANCARIO, ALLA DATA DELLA NOSTRA CONFERMA D'ORDINE</v>
          </cell>
          <cell r="X2212">
            <v>0.25</v>
          </cell>
          <cell r="Y2212">
            <v>-0.04</v>
          </cell>
          <cell r="AB2212">
            <v>0.25</v>
          </cell>
          <cell r="AC2212">
            <v>0.25</v>
          </cell>
          <cell r="AD2212">
            <v>0.25</v>
          </cell>
          <cell r="AE2212">
            <v>0.25</v>
          </cell>
          <cell r="AF2212">
            <v>0.25</v>
          </cell>
          <cell r="AG2212">
            <v>0.25</v>
          </cell>
          <cell r="AH2212">
            <v>0.25</v>
          </cell>
          <cell r="AI2212">
            <v>0.25</v>
          </cell>
          <cell r="AJ2212">
            <v>0.25</v>
          </cell>
          <cell r="AK2212">
            <v>0.25</v>
          </cell>
          <cell r="AL2212">
            <v>0.25</v>
          </cell>
          <cell r="AM2212">
            <v>0.25</v>
          </cell>
          <cell r="AN2212">
            <v>0.25</v>
          </cell>
          <cell r="AO2212">
            <v>0.25</v>
          </cell>
          <cell r="AP2212">
            <v>0.25</v>
          </cell>
          <cell r="AQ2212">
            <v>0.25</v>
          </cell>
          <cell r="AR2212">
            <v>0.25</v>
          </cell>
          <cell r="AS2212">
            <v>0.25</v>
          </cell>
          <cell r="AT2212">
            <v>-0.04</v>
          </cell>
          <cell r="AU2212">
            <v>0.92</v>
          </cell>
          <cell r="AV2212">
            <v>20</v>
          </cell>
          <cell r="AZ2212">
            <v>0.25</v>
          </cell>
          <cell r="BA2212">
            <v>0.25</v>
          </cell>
        </row>
        <row r="2213">
          <cell r="A2213" t="str">
            <v>SEALPO SNC DI SERRENTA E PORCEDDA</v>
          </cell>
          <cell r="D2213" t="str">
            <v>VIA G.VERDI, 34</v>
          </cell>
          <cell r="E2213" t="str">
            <v>09025</v>
          </cell>
          <cell r="F2213" t="str">
            <v>SANLURI</v>
          </cell>
          <cell r="G2213" t="str">
            <v>CA</v>
          </cell>
          <cell r="H2213" t="str">
            <v>ITALIA</v>
          </cell>
          <cell r="J2213" t="str">
            <v>02077540926</v>
          </cell>
          <cell r="M2213" t="str">
            <v>UFFICIO ACQUISTI</v>
          </cell>
          <cell r="O2213" t="str">
            <v>328 9222359 SERRENTI A.  349 2361467 PORCEDDA L.</v>
          </cell>
          <cell r="P2213" t="str">
            <v>se.al.po@tiscali.it</v>
          </cell>
          <cell r="R2213" t="str">
            <v>BONIFICO BANCARIO, ALLA DATA DELLA NOSTRA CONFERMA D'ORDINE</v>
          </cell>
          <cell r="X2213">
            <v>0.15</v>
          </cell>
          <cell r="Y2213">
            <v>-0.04</v>
          </cell>
          <cell r="AB2213">
            <v>0.15</v>
          </cell>
          <cell r="AC2213">
            <v>0.15</v>
          </cell>
          <cell r="AD2213">
            <v>0.15</v>
          </cell>
          <cell r="AE2213">
            <v>0.15</v>
          </cell>
          <cell r="AF2213">
            <v>0.15</v>
          </cell>
          <cell r="AG2213">
            <v>0.15</v>
          </cell>
          <cell r="AH2213">
            <v>0.15</v>
          </cell>
          <cell r="AI2213">
            <v>0.15</v>
          </cell>
          <cell r="AJ2213">
            <v>0.15</v>
          </cell>
          <cell r="AK2213">
            <v>0.15</v>
          </cell>
          <cell r="AL2213">
            <v>0.15</v>
          </cell>
          <cell r="AM2213">
            <v>0.15</v>
          </cell>
          <cell r="AN2213">
            <v>0.15</v>
          </cell>
          <cell r="AO2213">
            <v>0.15</v>
          </cell>
          <cell r="AP2213">
            <v>0.15</v>
          </cell>
          <cell r="AQ2213">
            <v>0.15</v>
          </cell>
          <cell r="AR2213">
            <v>0.15</v>
          </cell>
          <cell r="AS2213">
            <v>0.15</v>
          </cell>
          <cell r="AT2213">
            <v>-0.04</v>
          </cell>
          <cell r="AU2213">
            <v>0.92</v>
          </cell>
          <cell r="AV2213">
            <v>20</v>
          </cell>
          <cell r="AZ2213">
            <v>0.15</v>
          </cell>
          <cell r="BA2213">
            <v>0.15</v>
          </cell>
        </row>
        <row r="2214">
          <cell r="A2214" t="str">
            <v>SEAM DI MARTINELLI G. E C. SNC</v>
          </cell>
          <cell r="B2214" t="str">
            <v>20/04/23 VISITA RIZZOLI. PARLATO CON BARBARA. ERA RIVENDITORE ACQUASTOP. NON VOGLIONO PIU' SENTIRNE PARLARE. PASSATI PER CASO E NE SONO STATI MOLTO FELICI. A BREVE MANDERANNO UNA RICHIESTA DI PREVENTIVO.</v>
          </cell>
          <cell r="D2214" t="str">
            <v>VIA TONANI 7/9</v>
          </cell>
          <cell r="E2214" t="str">
            <v>26030</v>
          </cell>
          <cell r="F2214" t="str">
            <v>MALAGNINO</v>
          </cell>
          <cell r="G2214" t="str">
            <v>CR</v>
          </cell>
          <cell r="H2214" t="str">
            <v>ITALIA</v>
          </cell>
          <cell r="J2214" t="str">
            <v>00831530191</v>
          </cell>
          <cell r="K2214" t="str">
            <v>M5UXCR1</v>
          </cell>
          <cell r="M2214" t="str">
            <v>UFFICIO ACQUISTI</v>
          </cell>
          <cell r="N2214" t="str">
            <v>0372496537</v>
          </cell>
          <cell r="P2214" t="str">
            <v>seamitalia@fastpiu.it</v>
          </cell>
          <cell r="R2214" t="str">
            <v>BONIFICO BANCARIO, ALLA DATA DELLA NOSTRA CONFERMA D'ORDINE</v>
          </cell>
          <cell r="X2214">
            <v>0.25</v>
          </cell>
          <cell r="Y2214">
            <v>-0.04</v>
          </cell>
          <cell r="AB2214">
            <v>0.25</v>
          </cell>
          <cell r="AC2214">
            <v>0.25</v>
          </cell>
          <cell r="AD2214">
            <v>0.25</v>
          </cell>
          <cell r="AE2214">
            <v>0.25</v>
          </cell>
          <cell r="AF2214">
            <v>0.25</v>
          </cell>
          <cell r="AG2214">
            <v>0.25</v>
          </cell>
          <cell r="AH2214">
            <v>0.25</v>
          </cell>
          <cell r="AI2214">
            <v>0.25</v>
          </cell>
          <cell r="AJ2214">
            <v>0.25</v>
          </cell>
          <cell r="AK2214">
            <v>0.25</v>
          </cell>
          <cell r="AL2214">
            <v>0.25</v>
          </cell>
          <cell r="AM2214">
            <v>0.25</v>
          </cell>
          <cell r="AN2214">
            <v>0.25</v>
          </cell>
          <cell r="AO2214">
            <v>0.25</v>
          </cell>
          <cell r="AP2214">
            <v>0.25</v>
          </cell>
          <cell r="AQ2214">
            <v>0.25</v>
          </cell>
          <cell r="AR2214">
            <v>0.25</v>
          </cell>
          <cell r="AS2214">
            <v>0.25</v>
          </cell>
          <cell r="AT2214">
            <v>-0.04</v>
          </cell>
          <cell r="AU2214">
            <v>0.92</v>
          </cell>
          <cell r="AV2214">
            <v>20</v>
          </cell>
          <cell r="AZ2214">
            <v>0.25</v>
          </cell>
          <cell r="BA2214">
            <v>0.25</v>
          </cell>
        </row>
        <row r="2215">
          <cell r="A2215" t="str">
            <v>SEAM ITALIA</v>
          </cell>
          <cell r="D2215" t="str">
            <v>VIA TONANI,  7 9</v>
          </cell>
          <cell r="E2215">
            <v>28030</v>
          </cell>
          <cell r="F2215" t="str">
            <v>S. GIACOMO LOVARA</v>
          </cell>
          <cell r="G2215" t="str">
            <v>CR</v>
          </cell>
          <cell r="H2215" t="str">
            <v>ITALIA</v>
          </cell>
          <cell r="M2215" t="str">
            <v>UFFICIO ACQUISTI</v>
          </cell>
          <cell r="N2215" t="str">
            <v>0372 496537</v>
          </cell>
          <cell r="P2215" t="str">
            <v>seamitalia@libero.it</v>
          </cell>
          <cell r="R2215" t="str">
            <v>BONIFICO BANCARIO, ALLA DATA DELLA NOSTRA CONFERMA D'ORDINE</v>
          </cell>
          <cell r="X2215">
            <v>0.25</v>
          </cell>
          <cell r="Y2215">
            <v>-0.04</v>
          </cell>
          <cell r="AB2215">
            <v>0.25</v>
          </cell>
          <cell r="AC2215">
            <v>0.25</v>
          </cell>
          <cell r="AD2215">
            <v>0.25</v>
          </cell>
          <cell r="AE2215">
            <v>0.25</v>
          </cell>
          <cell r="AF2215">
            <v>0.25</v>
          </cell>
          <cell r="AG2215">
            <v>0.25</v>
          </cell>
          <cell r="AH2215">
            <v>0.25</v>
          </cell>
          <cell r="AI2215">
            <v>0.25</v>
          </cell>
          <cell r="AJ2215">
            <v>0.25</v>
          </cell>
          <cell r="AK2215">
            <v>0.25</v>
          </cell>
          <cell r="AL2215">
            <v>0.25</v>
          </cell>
          <cell r="AM2215">
            <v>0.25</v>
          </cell>
          <cell r="AN2215">
            <v>0.25</v>
          </cell>
          <cell r="AO2215">
            <v>0.25</v>
          </cell>
          <cell r="AP2215">
            <v>0.25</v>
          </cell>
          <cell r="AQ2215">
            <v>0.25</v>
          </cell>
          <cell r="AR2215">
            <v>0.25</v>
          </cell>
          <cell r="AS2215">
            <v>0.25</v>
          </cell>
          <cell r="AT2215">
            <v>-0.04</v>
          </cell>
          <cell r="AU2215">
            <v>0.92</v>
          </cell>
          <cell r="AV2215">
            <v>20</v>
          </cell>
          <cell r="AZ2215">
            <v>0.25</v>
          </cell>
          <cell r="BA2215">
            <v>0.25</v>
          </cell>
        </row>
        <row r="2216">
          <cell r="A2216" t="str">
            <v>SEBASTIANO INFISSI DI SEBASTIANO D'ALESSANDRO</v>
          </cell>
          <cell r="D2216" t="str">
            <v>ZONA ARTIGIANALE, D2</v>
          </cell>
          <cell r="E2216" t="str">
            <v>75025</v>
          </cell>
          <cell r="F2216" t="str">
            <v>POLICORO</v>
          </cell>
          <cell r="G2216" t="str">
            <v>MT</v>
          </cell>
          <cell r="H2216" t="str">
            <v>ITALIA</v>
          </cell>
          <cell r="I2216" t="str">
            <v>DLSSST76L09G786R</v>
          </cell>
          <cell r="J2216" t="str">
            <v>01078280771</v>
          </cell>
          <cell r="K2216" t="str">
            <v>M5UXCR1</v>
          </cell>
          <cell r="M2216" t="str">
            <v>UFFICIO ACQUISTI</v>
          </cell>
          <cell r="N2216" t="str">
            <v>0835 980339</v>
          </cell>
          <cell r="O2216" t="str">
            <v>392 0136822</v>
          </cell>
          <cell r="P2216" t="str">
            <v>info@sebastianoinfissi.com</v>
          </cell>
          <cell r="R2216" t="str">
            <v>BONIFICO BANCARIO, ALLA DATA DELLA NOSTRA CONFERMA D'ORDINE</v>
          </cell>
          <cell r="X2216">
            <v>0.25</v>
          </cell>
          <cell r="Y2216">
            <v>-0.04</v>
          </cell>
          <cell r="AB2216">
            <v>0.25</v>
          </cell>
          <cell r="AC2216">
            <v>0.25</v>
          </cell>
          <cell r="AD2216">
            <v>0.25</v>
          </cell>
          <cell r="AE2216">
            <v>0.25</v>
          </cell>
          <cell r="AF2216">
            <v>0.25</v>
          </cell>
          <cell r="AG2216">
            <v>0.25</v>
          </cell>
          <cell r="AH2216">
            <v>0.25</v>
          </cell>
          <cell r="AI2216">
            <v>0.25</v>
          </cell>
          <cell r="AJ2216">
            <v>0.25</v>
          </cell>
          <cell r="AK2216">
            <v>0.25</v>
          </cell>
          <cell r="AL2216">
            <v>0.25</v>
          </cell>
          <cell r="AM2216">
            <v>0.25</v>
          </cell>
          <cell r="AN2216">
            <v>0.25</v>
          </cell>
          <cell r="AO2216">
            <v>0.25</v>
          </cell>
          <cell r="AP2216">
            <v>0.25</v>
          </cell>
          <cell r="AQ2216">
            <v>0.25</v>
          </cell>
          <cell r="AR2216">
            <v>0.25</v>
          </cell>
          <cell r="AS2216">
            <v>0.25</v>
          </cell>
          <cell r="AT2216">
            <v>-0.04</v>
          </cell>
          <cell r="AU2216">
            <v>0.92</v>
          </cell>
          <cell r="AV2216">
            <v>20</v>
          </cell>
          <cell r="AW2216" t="str">
            <v>PIETRO OLIVADOTI</v>
          </cell>
          <cell r="AX2216">
            <v>0.95</v>
          </cell>
          <cell r="AZ2216">
            <v>0.25</v>
          </cell>
          <cell r="BA2216">
            <v>0.25</v>
          </cell>
        </row>
        <row r="2217">
          <cell r="A2217" t="str">
            <v>SEC SERRAMENTI</v>
          </cell>
          <cell r="B2217" t="str">
            <v>LASCIATO DEPLIAN -MP</v>
          </cell>
          <cell r="D2217" t="str">
            <v>VIA AURELIA LEVANTE, 53</v>
          </cell>
          <cell r="E2217">
            <v>18010</v>
          </cell>
          <cell r="F2217" t="str">
            <v>S.STEFANO AL MARE</v>
          </cell>
          <cell r="G2217" t="str">
            <v>IM</v>
          </cell>
          <cell r="H2217" t="str">
            <v>ITALIA</v>
          </cell>
          <cell r="M2217" t="str">
            <v>UFFICIO ACQUISTI</v>
          </cell>
          <cell r="N2217" t="str">
            <v>0184 484924</v>
          </cell>
          <cell r="O2217" t="str">
            <v>335 207625</v>
          </cell>
          <cell r="P2217" t="str">
            <v>secserramenti@alice.it</v>
          </cell>
          <cell r="R2217" t="str">
            <v>BONIFICO BANCARIO, ALLA DATA DELLA NOSTRA CONFERMA D'ORDINE</v>
          </cell>
          <cell r="X2217">
            <v>0.25</v>
          </cell>
          <cell r="Y2217">
            <v>-0.04</v>
          </cell>
          <cell r="AB2217">
            <v>0.25</v>
          </cell>
          <cell r="AC2217">
            <v>0.25</v>
          </cell>
          <cell r="AD2217">
            <v>0.25</v>
          </cell>
          <cell r="AE2217">
            <v>0.25</v>
          </cell>
          <cell r="AF2217">
            <v>0.25</v>
          </cell>
          <cell r="AG2217">
            <v>0.25</v>
          </cell>
          <cell r="AH2217">
            <v>0.25</v>
          </cell>
          <cell r="AI2217">
            <v>0.25</v>
          </cell>
          <cell r="AJ2217">
            <v>0.25</v>
          </cell>
          <cell r="AK2217">
            <v>0.25</v>
          </cell>
          <cell r="AL2217">
            <v>0.25</v>
          </cell>
          <cell r="AM2217">
            <v>0.25</v>
          </cell>
          <cell r="AN2217">
            <v>0.25</v>
          </cell>
          <cell r="AO2217">
            <v>0.25</v>
          </cell>
          <cell r="AP2217">
            <v>0.25</v>
          </cell>
          <cell r="AQ2217">
            <v>0.25</v>
          </cell>
          <cell r="AR2217">
            <v>0.25</v>
          </cell>
          <cell r="AS2217">
            <v>0.25</v>
          </cell>
          <cell r="AT2217">
            <v>-0.04</v>
          </cell>
          <cell r="AU2217">
            <v>0.92</v>
          </cell>
          <cell r="AV2217">
            <v>20</v>
          </cell>
          <cell r="AZ2217">
            <v>0.25</v>
          </cell>
          <cell r="BA2217">
            <v>0.25</v>
          </cell>
        </row>
        <row r="2218">
          <cell r="A2218" t="str">
            <v>SECCI ZANZARIERE SRL</v>
          </cell>
          <cell r="B2218" t="str">
            <v>SOLO BIGLIETTO DA VISITA</v>
          </cell>
          <cell r="D2218" t="str">
            <v>VIALE MONASTIR, KM 10 EX 131</v>
          </cell>
          <cell r="E2218" t="str">
            <v>09028</v>
          </cell>
          <cell r="F2218" t="str">
            <v>SESTU</v>
          </cell>
          <cell r="G2218" t="str">
            <v>CA</v>
          </cell>
          <cell r="H2218" t="str">
            <v>ITALIA</v>
          </cell>
          <cell r="J2218" t="str">
            <v>02041590924</v>
          </cell>
          <cell r="M2218" t="str">
            <v>UFFICIO ACQUISTI</v>
          </cell>
          <cell r="N2218" t="str">
            <v>070 22240</v>
          </cell>
          <cell r="P2218" t="str">
            <v>seccizan@tiscali.it</v>
          </cell>
          <cell r="R2218" t="str">
            <v>BONIFICO BANCARIO, ALLA DATA DELLA NOSTRA CONFERMA D'ORDINE</v>
          </cell>
          <cell r="X2218">
            <v>0.25</v>
          </cell>
          <cell r="Y2218">
            <v>-0.04</v>
          </cell>
          <cell r="AB2218">
            <v>0.25</v>
          </cell>
          <cell r="AC2218">
            <v>0.25</v>
          </cell>
          <cell r="AD2218">
            <v>0.25</v>
          </cell>
          <cell r="AE2218">
            <v>0.25</v>
          </cell>
          <cell r="AF2218">
            <v>0.25</v>
          </cell>
          <cell r="AG2218">
            <v>0.25</v>
          </cell>
          <cell r="AH2218">
            <v>0.25</v>
          </cell>
          <cell r="AI2218">
            <v>0.25</v>
          </cell>
          <cell r="AJ2218">
            <v>0.25</v>
          </cell>
          <cell r="AK2218">
            <v>0.25</v>
          </cell>
          <cell r="AL2218">
            <v>0.25</v>
          </cell>
          <cell r="AM2218">
            <v>0.25</v>
          </cell>
          <cell r="AN2218">
            <v>0.25</v>
          </cell>
          <cell r="AO2218">
            <v>0.25</v>
          </cell>
          <cell r="AP2218">
            <v>0.25</v>
          </cell>
          <cell r="AQ2218">
            <v>0.25</v>
          </cell>
          <cell r="AR2218">
            <v>0.25</v>
          </cell>
          <cell r="AS2218">
            <v>0.25</v>
          </cell>
          <cell r="AT2218">
            <v>-0.04</v>
          </cell>
          <cell r="AU2218">
            <v>0.92</v>
          </cell>
          <cell r="AV2218">
            <v>20</v>
          </cell>
          <cell r="AZ2218">
            <v>0.25</v>
          </cell>
          <cell r="BA2218">
            <v>0.25</v>
          </cell>
        </row>
        <row r="2219">
          <cell r="A2219" t="str">
            <v>SECHI SEBASTIANO &amp; C. SAS</v>
          </cell>
          <cell r="D2219" t="str">
            <v>VIA LAMARMORA, 6</v>
          </cell>
          <cell r="E2219" t="str">
            <v>08013</v>
          </cell>
          <cell r="F2219" t="str">
            <v>BOSA</v>
          </cell>
          <cell r="G2219" t="str">
            <v>NU</v>
          </cell>
          <cell r="H2219" t="str">
            <v>ITALIA</v>
          </cell>
          <cell r="J2219" t="str">
            <v>00957290919</v>
          </cell>
          <cell r="M2219" t="str">
            <v>UFFICIO ACQUISTI</v>
          </cell>
          <cell r="N2219" t="str">
            <v>0785 373385</v>
          </cell>
          <cell r="R2219" t="str">
            <v>BONIFICO BANCARIO, ALLA DATA DELLA NOSTRA CONFERMA D'ORDINE</v>
          </cell>
          <cell r="X2219">
            <v>0.2</v>
          </cell>
          <cell r="Y2219">
            <v>-0.04</v>
          </cell>
          <cell r="AB2219">
            <v>0.2</v>
          </cell>
          <cell r="AC2219">
            <v>0.2</v>
          </cell>
          <cell r="AD2219">
            <v>0.2</v>
          </cell>
          <cell r="AE2219">
            <v>0.2</v>
          </cell>
          <cell r="AF2219">
            <v>0.2</v>
          </cell>
          <cell r="AG2219">
            <v>0.2</v>
          </cell>
          <cell r="AH2219">
            <v>0.2</v>
          </cell>
          <cell r="AI2219">
            <v>0.2</v>
          </cell>
          <cell r="AJ2219">
            <v>0.2</v>
          </cell>
          <cell r="AK2219">
            <v>0.2</v>
          </cell>
          <cell r="AL2219">
            <v>0.2</v>
          </cell>
          <cell r="AM2219">
            <v>0.2</v>
          </cell>
          <cell r="AN2219">
            <v>0.2</v>
          </cell>
          <cell r="AO2219">
            <v>0.2</v>
          </cell>
          <cell r="AP2219">
            <v>0.2</v>
          </cell>
          <cell r="AQ2219">
            <v>0.2</v>
          </cell>
          <cell r="AR2219">
            <v>0.2</v>
          </cell>
          <cell r="AS2219">
            <v>0.2</v>
          </cell>
          <cell r="AT2219">
            <v>-0.04</v>
          </cell>
          <cell r="AU2219">
            <v>0.92</v>
          </cell>
          <cell r="AV2219">
            <v>20</v>
          </cell>
          <cell r="AZ2219">
            <v>0.2</v>
          </cell>
          <cell r="BA2219">
            <v>0.2</v>
          </cell>
        </row>
        <row r="2220">
          <cell r="A2220" t="str">
            <v>SECURITY S.r.l.</v>
          </cell>
          <cell r="B2220" t="str">
            <v>LASCIATO DEPLIAN -MP</v>
          </cell>
          <cell r="D2220" t="str">
            <v>VIA MANDORLETTA, 1</v>
          </cell>
          <cell r="E2220">
            <v>17100</v>
          </cell>
          <cell r="F2220" t="str">
            <v>SAVONA</v>
          </cell>
          <cell r="G2220" t="str">
            <v>SV</v>
          </cell>
          <cell r="H2220" t="str">
            <v>ITALIA</v>
          </cell>
          <cell r="M2220" t="str">
            <v>UFFICIO ACQUISTI</v>
          </cell>
          <cell r="N2220" t="str">
            <v>019 8485238</v>
          </cell>
          <cell r="O2220" t="str">
            <v>347 1442044</v>
          </cell>
          <cell r="P2220" t="str">
            <v>stefano@securitysrl.net</v>
          </cell>
          <cell r="R2220" t="str">
            <v>BONIFICO BANCARIO, ALLA DATA DELLA NOSTRA CONFERMA D'ORDINE</v>
          </cell>
          <cell r="X2220">
            <v>0.25</v>
          </cell>
          <cell r="Y2220">
            <v>-0.04</v>
          </cell>
          <cell r="AB2220">
            <v>0.25</v>
          </cell>
          <cell r="AC2220">
            <v>0.25</v>
          </cell>
          <cell r="AD2220">
            <v>0.25</v>
          </cell>
          <cell r="AE2220">
            <v>0.25</v>
          </cell>
          <cell r="AF2220">
            <v>0.25</v>
          </cell>
          <cell r="AG2220">
            <v>0.25</v>
          </cell>
          <cell r="AH2220">
            <v>0.25</v>
          </cell>
          <cell r="AI2220">
            <v>0.25</v>
          </cell>
          <cell r="AJ2220">
            <v>0.25</v>
          </cell>
          <cell r="AK2220">
            <v>0.25</v>
          </cell>
          <cell r="AL2220">
            <v>0.25</v>
          </cell>
          <cell r="AM2220">
            <v>0.25</v>
          </cell>
          <cell r="AN2220">
            <v>0.25</v>
          </cell>
          <cell r="AO2220">
            <v>0.25</v>
          </cell>
          <cell r="AP2220">
            <v>0.25</v>
          </cell>
          <cell r="AQ2220">
            <v>0.25</v>
          </cell>
          <cell r="AR2220">
            <v>0.25</v>
          </cell>
          <cell r="AS2220">
            <v>0.25</v>
          </cell>
          <cell r="AT2220">
            <v>-0.04</v>
          </cell>
          <cell r="AU2220">
            <v>0.92</v>
          </cell>
          <cell r="AV2220">
            <v>20</v>
          </cell>
          <cell r="AZ2220">
            <v>0.25</v>
          </cell>
          <cell r="BA2220">
            <v>0.25</v>
          </cell>
        </row>
        <row r="2221">
          <cell r="A2221" t="str">
            <v>SECURSYSTEM</v>
          </cell>
          <cell r="D2221" t="str">
            <v>VIA DECORATI AL VALOR CIVILE 201</v>
          </cell>
          <cell r="E2221">
            <v>35142</v>
          </cell>
          <cell r="F2221" t="str">
            <v>PADOVA</v>
          </cell>
          <cell r="G2221" t="str">
            <v>PD</v>
          </cell>
          <cell r="H2221" t="str">
            <v>ITALIA</v>
          </cell>
          <cell r="J2221" t="str">
            <v>03235510280</v>
          </cell>
          <cell r="M2221" t="str">
            <v>UFFICIO ACQUISTI</v>
          </cell>
          <cell r="N2221" t="str">
            <v>049 690088</v>
          </cell>
          <cell r="P2221" t="str">
            <v>amministrazione@secur-system.com</v>
          </cell>
          <cell r="R2221" t="str">
            <v>BONIFICO BANCARIO, ALLA DATA DELLA NOSTRA CONFERMA D'ORDINE</v>
          </cell>
          <cell r="X2221">
            <v>0.25</v>
          </cell>
          <cell r="Y2221">
            <v>-0.04</v>
          </cell>
          <cell r="AB2221">
            <v>0.25</v>
          </cell>
          <cell r="AC2221">
            <v>0.25</v>
          </cell>
          <cell r="AD2221">
            <v>0.25</v>
          </cell>
          <cell r="AE2221">
            <v>0.25</v>
          </cell>
          <cell r="AF2221">
            <v>0.25</v>
          </cell>
          <cell r="AG2221">
            <v>0.25</v>
          </cell>
          <cell r="AH2221">
            <v>0.25</v>
          </cell>
          <cell r="AI2221">
            <v>0.25</v>
          </cell>
          <cell r="AJ2221">
            <v>0.25</v>
          </cell>
          <cell r="AK2221">
            <v>0.25</v>
          </cell>
          <cell r="AL2221">
            <v>0.25</v>
          </cell>
          <cell r="AM2221">
            <v>0.25</v>
          </cell>
          <cell r="AN2221">
            <v>0.25</v>
          </cell>
          <cell r="AO2221">
            <v>0.25</v>
          </cell>
          <cell r="AP2221">
            <v>0.25</v>
          </cell>
          <cell r="AQ2221">
            <v>0.25</v>
          </cell>
          <cell r="AR2221">
            <v>0.25</v>
          </cell>
          <cell r="AS2221">
            <v>0.25</v>
          </cell>
          <cell r="AT2221">
            <v>-0.04</v>
          </cell>
          <cell r="AU2221">
            <v>0.92</v>
          </cell>
          <cell r="AV2221">
            <v>20</v>
          </cell>
          <cell r="AZ2221">
            <v>0.25</v>
          </cell>
          <cell r="BA2221">
            <v>0.25</v>
          </cell>
        </row>
        <row r="2222">
          <cell r="A2222" t="str">
            <v>SELE SISTEM SNC</v>
          </cell>
          <cell r="B2222" t="str">
            <v>BUONO</v>
          </cell>
          <cell r="D2222" t="str">
            <v xml:space="preserve">VIALE DELLA PACE, 37 A </v>
          </cell>
          <cell r="E2222">
            <v>45100</v>
          </cell>
          <cell r="F2222" t="str">
            <v>ROVIGO</v>
          </cell>
          <cell r="G2222" t="str">
            <v>RO</v>
          </cell>
          <cell r="H2222" t="str">
            <v>ITALIA</v>
          </cell>
          <cell r="M2222" t="str">
            <v>UFFICIO ACQUISTI</v>
          </cell>
          <cell r="N2222" t="str">
            <v>0425 31104</v>
          </cell>
          <cell r="P2222" t="str">
            <v>selesistem@gmail.com - selesistem@live.it</v>
          </cell>
          <cell r="R2222" t="str">
            <v>BONIFICO BANCARIO, ALLA DATA DELLA NOSTRA CONFERMA D'ORDINE</v>
          </cell>
          <cell r="X2222">
            <v>0.25</v>
          </cell>
          <cell r="Y2222">
            <v>-0.04</v>
          </cell>
          <cell r="AB2222">
            <v>0.25</v>
          </cell>
          <cell r="AC2222">
            <v>0.25</v>
          </cell>
          <cell r="AD2222">
            <v>0.25</v>
          </cell>
          <cell r="AE2222">
            <v>0.25</v>
          </cell>
          <cell r="AF2222">
            <v>0.25</v>
          </cell>
          <cell r="AG2222">
            <v>0.25</v>
          </cell>
          <cell r="AH2222">
            <v>0.25</v>
          </cell>
          <cell r="AI2222">
            <v>0.25</v>
          </cell>
          <cell r="AJ2222">
            <v>0.25</v>
          </cell>
          <cell r="AK2222">
            <v>0.25</v>
          </cell>
          <cell r="AL2222">
            <v>0.25</v>
          </cell>
          <cell r="AM2222">
            <v>0.25</v>
          </cell>
          <cell r="AN2222">
            <v>0.25</v>
          </cell>
          <cell r="AO2222">
            <v>0.25</v>
          </cell>
          <cell r="AP2222">
            <v>0.25</v>
          </cell>
          <cell r="AQ2222">
            <v>0.25</v>
          </cell>
          <cell r="AR2222">
            <v>0.25</v>
          </cell>
          <cell r="AS2222">
            <v>0.25</v>
          </cell>
          <cell r="AT2222">
            <v>-0.04</v>
          </cell>
          <cell r="AU2222">
            <v>0.92</v>
          </cell>
          <cell r="AV2222">
            <v>20</v>
          </cell>
          <cell r="AZ2222">
            <v>0.25</v>
          </cell>
          <cell r="BA2222">
            <v>0.25</v>
          </cell>
        </row>
        <row r="2223">
          <cell r="A2223" t="str">
            <v>SEMAS SRL</v>
          </cell>
          <cell r="D2223" t="str">
            <v>VIALE DELLE SCIENZE LOTTO 2</v>
          </cell>
          <cell r="F2223" t="str">
            <v>TARQUINIA</v>
          </cell>
          <cell r="G2223" t="str">
            <v>VT</v>
          </cell>
          <cell r="H2223" t="str">
            <v>ITALIA</v>
          </cell>
          <cell r="M2223" t="str">
            <v>UFFICIO ACQUISTI</v>
          </cell>
          <cell r="N2223" t="str">
            <v>0766 840344</v>
          </cell>
          <cell r="O2223" t="str">
            <v>329 2635290</v>
          </cell>
          <cell r="P2223" t="str">
            <v>commerciale@semassrl.it</v>
          </cell>
          <cell r="R2223" t="str">
            <v>BONIFICO BANCARIO, ALLA DATA DELLA NOSTRA CONFERMA D'ORDINE</v>
          </cell>
          <cell r="X2223">
            <v>0.25</v>
          </cell>
          <cell r="Y2223">
            <v>-0.04</v>
          </cell>
          <cell r="AB2223">
            <v>0.25</v>
          </cell>
          <cell r="AC2223">
            <v>0.25</v>
          </cell>
          <cell r="AD2223">
            <v>0.25</v>
          </cell>
          <cell r="AE2223">
            <v>0.25</v>
          </cell>
          <cell r="AF2223">
            <v>0.25</v>
          </cell>
          <cell r="AG2223">
            <v>0.25</v>
          </cell>
          <cell r="AH2223">
            <v>0.25</v>
          </cell>
          <cell r="AI2223">
            <v>0.25</v>
          </cell>
          <cell r="AJ2223">
            <v>0.25</v>
          </cell>
          <cell r="AK2223">
            <v>0.25</v>
          </cell>
          <cell r="AL2223">
            <v>0.25</v>
          </cell>
          <cell r="AM2223">
            <v>0.25</v>
          </cell>
          <cell r="AN2223">
            <v>0.25</v>
          </cell>
          <cell r="AO2223">
            <v>0.25</v>
          </cell>
          <cell r="AP2223">
            <v>0.25</v>
          </cell>
          <cell r="AQ2223">
            <v>0.25</v>
          </cell>
          <cell r="AR2223">
            <v>0.25</v>
          </cell>
          <cell r="AS2223">
            <v>0.25</v>
          </cell>
          <cell r="AT2223">
            <v>-0.04</v>
          </cell>
          <cell r="AU2223">
            <v>0.92</v>
          </cell>
          <cell r="AV2223">
            <v>20</v>
          </cell>
          <cell r="AZ2223">
            <v>0.25</v>
          </cell>
          <cell r="BA2223">
            <v>0.25</v>
          </cell>
        </row>
        <row r="2224">
          <cell r="A2224" t="str">
            <v>SEPA S.R.L.</v>
          </cell>
          <cell r="D2224" t="str">
            <v>VIA NAZARIO SAUNO, 4</v>
          </cell>
          <cell r="E2224">
            <v>25034</v>
          </cell>
          <cell r="F2224" t="str">
            <v>ORZINUOVI</v>
          </cell>
          <cell r="G2224" t="str">
            <v>BS</v>
          </cell>
          <cell r="H2224" t="str">
            <v>ITALIA</v>
          </cell>
          <cell r="I2224" t="str">
            <v>03338220985</v>
          </cell>
          <cell r="J2224" t="str">
            <v>03338220985</v>
          </cell>
          <cell r="M2224" t="str">
            <v>UFFICIO ACQUISTI</v>
          </cell>
          <cell r="N2224" t="str">
            <v>030 9941480</v>
          </cell>
          <cell r="P2224" t="str">
            <v>info@sepasrl.net</v>
          </cell>
          <cell r="R2224" t="str">
            <v>BONIFICO BANCARIO, ALLA DATA DELLA NOSTRA CONFERMA D'ORDINE</v>
          </cell>
          <cell r="X2224">
            <v>0.25</v>
          </cell>
          <cell r="Y2224">
            <v>-0.04</v>
          </cell>
          <cell r="AB2224">
            <v>0.25</v>
          </cell>
          <cell r="AC2224">
            <v>0.25</v>
          </cell>
          <cell r="AD2224">
            <v>0.25</v>
          </cell>
          <cell r="AE2224">
            <v>0.25</v>
          </cell>
          <cell r="AF2224">
            <v>0.25</v>
          </cell>
          <cell r="AG2224">
            <v>0.25</v>
          </cell>
          <cell r="AH2224">
            <v>0.25</v>
          </cell>
          <cell r="AI2224">
            <v>0.25</v>
          </cell>
          <cell r="AJ2224">
            <v>0.25</v>
          </cell>
          <cell r="AK2224">
            <v>0.25</v>
          </cell>
          <cell r="AL2224">
            <v>0.25</v>
          </cell>
          <cell r="AM2224">
            <v>0.25</v>
          </cell>
          <cell r="AN2224">
            <v>0.25</v>
          </cell>
          <cell r="AO2224">
            <v>0.25</v>
          </cell>
          <cell r="AP2224">
            <v>0.25</v>
          </cell>
          <cell r="AQ2224">
            <v>0.25</v>
          </cell>
          <cell r="AR2224">
            <v>0.25</v>
          </cell>
          <cell r="AS2224">
            <v>0.25</v>
          </cell>
          <cell r="AT2224">
            <v>-0.04</v>
          </cell>
          <cell r="AU2224">
            <v>0.92</v>
          </cell>
          <cell r="AV2224">
            <v>20</v>
          </cell>
          <cell r="AZ2224">
            <v>0.25</v>
          </cell>
          <cell r="BA2224">
            <v>0.25</v>
          </cell>
        </row>
        <row r="2225">
          <cell r="A2225" t="str">
            <v>SER DELTA SRL</v>
          </cell>
          <cell r="D2225" t="str">
            <v>S.S ROMEA 14/G</v>
          </cell>
          <cell r="E2225" t="str">
            <v>45014</v>
          </cell>
          <cell r="F2225" t="str">
            <v>PORTO VIRO</v>
          </cell>
          <cell r="G2225" t="str">
            <v>RO</v>
          </cell>
          <cell r="H2225" t="str">
            <v>ITALIA</v>
          </cell>
          <cell r="J2225" t="str">
            <v>01393020290</v>
          </cell>
          <cell r="M2225" t="str">
            <v>UFFICIO ACQUISTI</v>
          </cell>
          <cell r="N2225" t="str">
            <v>0426 320285</v>
          </cell>
          <cell r="O2225" t="str">
            <v>0426 365021</v>
          </cell>
          <cell r="P2225" t="str">
            <v>info@serdelta.it</v>
          </cell>
          <cell r="R2225" t="str">
            <v>BONIFICO BANCARIO, ALLA DATA DELLA NOSTRA CONFERMA D'ORDINE</v>
          </cell>
          <cell r="X2225">
            <v>0.25</v>
          </cell>
          <cell r="Y2225">
            <v>-0.04</v>
          </cell>
          <cell r="AB2225">
            <v>0.25</v>
          </cell>
          <cell r="AC2225">
            <v>0.25</v>
          </cell>
          <cell r="AD2225">
            <v>0.25</v>
          </cell>
          <cell r="AE2225">
            <v>0.25</v>
          </cell>
          <cell r="AF2225">
            <v>0.25</v>
          </cell>
          <cell r="AG2225">
            <v>0.25</v>
          </cell>
          <cell r="AH2225">
            <v>0.25</v>
          </cell>
          <cell r="AI2225">
            <v>0.25</v>
          </cell>
          <cell r="AJ2225">
            <v>0.25</v>
          </cell>
          <cell r="AK2225">
            <v>0.25</v>
          </cell>
          <cell r="AL2225">
            <v>0.25</v>
          </cell>
          <cell r="AM2225">
            <v>0.25</v>
          </cell>
          <cell r="AN2225">
            <v>0.25</v>
          </cell>
          <cell r="AO2225">
            <v>0.25</v>
          </cell>
          <cell r="AP2225">
            <v>0.25</v>
          </cell>
          <cell r="AQ2225">
            <v>0.25</v>
          </cell>
          <cell r="AR2225">
            <v>0.25</v>
          </cell>
          <cell r="AS2225">
            <v>0.25</v>
          </cell>
          <cell r="AT2225">
            <v>-0.04</v>
          </cell>
          <cell r="AU2225">
            <v>0.92</v>
          </cell>
          <cell r="AV2225">
            <v>20</v>
          </cell>
          <cell r="AZ2225">
            <v>0.25</v>
          </cell>
          <cell r="BA2225">
            <v>0.25</v>
          </cell>
        </row>
        <row r="2226">
          <cell r="A2226" t="str">
            <v>SER DESIGN SRL</v>
          </cell>
          <cell r="D2226" t="str">
            <v>VIA FORNACI HOFFMAN, 6 D</v>
          </cell>
          <cell r="E2226" t="str">
            <v>06034</v>
          </cell>
          <cell r="F2226" t="str">
            <v>FOLIGNO</v>
          </cell>
          <cell r="G2226" t="str">
            <v>PG</v>
          </cell>
          <cell r="H2226" t="str">
            <v>ITALIA</v>
          </cell>
          <cell r="M2226" t="str">
            <v>UFFICIO ACQUISTI</v>
          </cell>
          <cell r="N2226" t="str">
            <v>0742 22003</v>
          </cell>
          <cell r="P2226" t="str">
            <v>info@serrdesign.it</v>
          </cell>
          <cell r="R2226" t="str">
            <v>BONIFICO BANCARIO, ALLA DATA DELLA NOSTRA CONFERMA D'ORDINE</v>
          </cell>
          <cell r="Y2226">
            <v>-0.04</v>
          </cell>
          <cell r="AT2226">
            <v>-0.04</v>
          </cell>
          <cell r="AV2226">
            <v>20</v>
          </cell>
          <cell r="AZ2226">
            <v>0</v>
          </cell>
          <cell r="BA2226">
            <v>0</v>
          </cell>
        </row>
        <row r="2227">
          <cell r="A2227" t="str">
            <v>SER DOMUS SERRAMENTI</v>
          </cell>
          <cell r="D2227" t="str">
            <v xml:space="preserve">VIA VASCO DE GAMA, 2 A B </v>
          </cell>
          <cell r="E2227">
            <v>41012</v>
          </cell>
          <cell r="F2227" t="str">
            <v>CARPI</v>
          </cell>
          <cell r="G2227" t="str">
            <v>MO</v>
          </cell>
          <cell r="H2227" t="str">
            <v>ITALIA</v>
          </cell>
          <cell r="J2227" t="str">
            <v>03664760364</v>
          </cell>
          <cell r="M2227" t="str">
            <v>UFFICIO ACQUISTI</v>
          </cell>
          <cell r="N2227" t="str">
            <v>059 645151</v>
          </cell>
          <cell r="O2227" t="str">
            <v>347 8754628 - 348 7651733</v>
          </cell>
          <cell r="P2227" t="str">
            <v>serdomus.serramenti@gmail.com - serdomus@pec.it</v>
          </cell>
          <cell r="R2227" t="str">
            <v>BONIFICO BANCARIO, ALLA DATA DELLA NOSTRA CONFERMA D'ORDINE</v>
          </cell>
          <cell r="X2227">
            <v>0.25</v>
          </cell>
          <cell r="Y2227">
            <v>-0.04</v>
          </cell>
          <cell r="AB2227">
            <v>0.25</v>
          </cell>
          <cell r="AC2227">
            <v>0.25</v>
          </cell>
          <cell r="AD2227">
            <v>0.25</v>
          </cell>
          <cell r="AE2227">
            <v>0.25</v>
          </cell>
          <cell r="AF2227">
            <v>0.25</v>
          </cell>
          <cell r="AG2227">
            <v>0.25</v>
          </cell>
          <cell r="AH2227">
            <v>0.25</v>
          </cell>
          <cell r="AI2227">
            <v>0.25</v>
          </cell>
          <cell r="AJ2227">
            <v>0.25</v>
          </cell>
          <cell r="AK2227">
            <v>0.25</v>
          </cell>
          <cell r="AL2227">
            <v>0.25</v>
          </cell>
          <cell r="AM2227">
            <v>0.25</v>
          </cell>
          <cell r="AN2227">
            <v>0.25</v>
          </cell>
          <cell r="AO2227">
            <v>0.25</v>
          </cell>
          <cell r="AP2227">
            <v>0.25</v>
          </cell>
          <cell r="AQ2227">
            <v>0.25</v>
          </cell>
          <cell r="AR2227">
            <v>0.25</v>
          </cell>
          <cell r="AS2227">
            <v>0.25</v>
          </cell>
          <cell r="AT2227">
            <v>-0.04</v>
          </cell>
          <cell r="AU2227">
            <v>0.92</v>
          </cell>
          <cell r="AV2227">
            <v>20</v>
          </cell>
          <cell r="AZ2227">
            <v>0.25</v>
          </cell>
          <cell r="BA2227">
            <v>0.25</v>
          </cell>
        </row>
        <row r="2228">
          <cell r="A2228" t="str">
            <v>SER METAL DI VESCHI MARIO EMILIO &amp; C. SAS</v>
          </cell>
          <cell r="D2228" t="str">
            <v>VIA F.MICHELI, 13</v>
          </cell>
          <cell r="E2228">
            <v>26845</v>
          </cell>
          <cell r="F2228" t="str">
            <v>CODOGNO</v>
          </cell>
          <cell r="G2228" t="str">
            <v>LO</v>
          </cell>
          <cell r="H2228" t="str">
            <v>ITALIA</v>
          </cell>
          <cell r="I2228" t="str">
            <v>03595160155</v>
          </cell>
          <cell r="J2228" t="str">
            <v>03595160155</v>
          </cell>
          <cell r="M2228" t="str">
            <v>UFFICIO ACQUISTI</v>
          </cell>
          <cell r="N2228" t="str">
            <v>0377 30030</v>
          </cell>
          <cell r="P2228" t="str">
            <v>sermetalsas@virgilio.it</v>
          </cell>
          <cell r="R2228" t="str">
            <v>BONIFICO BANCARIO, ALLA DATA DELLA NOSTRA CONFERMA D'ORDINE</v>
          </cell>
          <cell r="X2228">
            <v>0.25</v>
          </cell>
          <cell r="Y2228">
            <v>-0.04</v>
          </cell>
          <cell r="AB2228">
            <v>0.25</v>
          </cell>
          <cell r="AC2228">
            <v>0.25</v>
          </cell>
          <cell r="AD2228">
            <v>0.25</v>
          </cell>
          <cell r="AE2228">
            <v>0.25</v>
          </cell>
          <cell r="AF2228">
            <v>0.25</v>
          </cell>
          <cell r="AG2228">
            <v>0.25</v>
          </cell>
          <cell r="AH2228">
            <v>0.25</v>
          </cell>
          <cell r="AI2228">
            <v>0.25</v>
          </cell>
          <cell r="AJ2228">
            <v>0.25</v>
          </cell>
          <cell r="AK2228">
            <v>0.25</v>
          </cell>
          <cell r="AL2228">
            <v>0.25</v>
          </cell>
          <cell r="AM2228">
            <v>0.25</v>
          </cell>
          <cell r="AN2228">
            <v>0.25</v>
          </cell>
          <cell r="AO2228">
            <v>0.25</v>
          </cell>
          <cell r="AP2228">
            <v>0.25</v>
          </cell>
          <cell r="AQ2228">
            <v>0.25</v>
          </cell>
          <cell r="AR2228">
            <v>0.25</v>
          </cell>
          <cell r="AS2228">
            <v>0.25</v>
          </cell>
          <cell r="AT2228">
            <v>-0.04</v>
          </cell>
          <cell r="AU2228">
            <v>0.92</v>
          </cell>
          <cell r="AV2228">
            <v>20</v>
          </cell>
          <cell r="AZ2228">
            <v>0.25</v>
          </cell>
          <cell r="BA2228">
            <v>0.25</v>
          </cell>
        </row>
        <row r="2229">
          <cell r="A2229" t="str">
            <v>SER.CA.ME SRL</v>
          </cell>
          <cell r="D2229" t="str">
            <v>VIA S.ELENA, 3</v>
          </cell>
          <cell r="E2229">
            <v>88100</v>
          </cell>
          <cell r="F2229" t="str">
            <v>CATANZARO LIDO</v>
          </cell>
          <cell r="G2229" t="str">
            <v>CZ</v>
          </cell>
          <cell r="H2229" t="str">
            <v>ITALIA</v>
          </cell>
          <cell r="J2229" t="str">
            <v>02825840792</v>
          </cell>
          <cell r="M2229" t="str">
            <v>UFFICIO ACQUISTI</v>
          </cell>
          <cell r="N2229" t="str">
            <v>0961 31592</v>
          </cell>
          <cell r="O2229" t="str">
            <v>Ant. 327 0146321 - Moreno 327 0146320</v>
          </cell>
          <cell r="P2229" t="str">
            <v>sercame@sercame.it</v>
          </cell>
          <cell r="R2229" t="str">
            <v>BONIFICO BANCARIO, ALLA DATA DELLA NOSTRA CONFERMA D'ORDINE</v>
          </cell>
          <cell r="X2229">
            <v>0.25</v>
          </cell>
          <cell r="Y2229">
            <v>-0.04</v>
          </cell>
          <cell r="AB2229">
            <v>0.25</v>
          </cell>
          <cell r="AC2229">
            <v>0.25</v>
          </cell>
          <cell r="AD2229">
            <v>0.25</v>
          </cell>
          <cell r="AE2229">
            <v>0.25</v>
          </cell>
          <cell r="AF2229">
            <v>0.25</v>
          </cell>
          <cell r="AG2229">
            <v>0.25</v>
          </cell>
          <cell r="AH2229">
            <v>0.25</v>
          </cell>
          <cell r="AI2229">
            <v>0.25</v>
          </cell>
          <cell r="AJ2229">
            <v>0.25</v>
          </cell>
          <cell r="AK2229">
            <v>0.25</v>
          </cell>
          <cell r="AL2229">
            <v>0.25</v>
          </cell>
          <cell r="AM2229">
            <v>0.25</v>
          </cell>
          <cell r="AN2229">
            <v>0.25</v>
          </cell>
          <cell r="AO2229">
            <v>0.25</v>
          </cell>
          <cell r="AP2229">
            <v>0.25</v>
          </cell>
          <cell r="AQ2229">
            <v>0.25</v>
          </cell>
          <cell r="AR2229">
            <v>0.25</v>
          </cell>
          <cell r="AS2229">
            <v>0.25</v>
          </cell>
          <cell r="AT2229">
            <v>-0.04</v>
          </cell>
          <cell r="AU2229">
            <v>0.92</v>
          </cell>
          <cell r="AV2229">
            <v>20</v>
          </cell>
          <cell r="AW2229" t="str">
            <v>PIETRO OLIVADOTI</v>
          </cell>
          <cell r="AX2229">
            <v>0.95</v>
          </cell>
          <cell r="AZ2229">
            <v>0.25</v>
          </cell>
          <cell r="BA2229">
            <v>0.25</v>
          </cell>
        </row>
        <row r="2230">
          <cell r="A2230" t="str">
            <v>SER.CON.ITALIA</v>
          </cell>
          <cell r="D2230" t="str">
            <v>VIALE P.D. PESCE, 7</v>
          </cell>
          <cell r="E2230">
            <v>70042</v>
          </cell>
          <cell r="F2230" t="str">
            <v>MOLA DI BARI</v>
          </cell>
          <cell r="G2230" t="str">
            <v>BA</v>
          </cell>
          <cell r="H2230" t="str">
            <v>ITALIA</v>
          </cell>
          <cell r="M2230" t="str">
            <v>UFFICIO ACQUISTI</v>
          </cell>
          <cell r="N2230" t="str">
            <v>080 4713120</v>
          </cell>
          <cell r="O2230" t="str">
            <v>Nicola  340 4652641</v>
          </cell>
          <cell r="P2230" t="str">
            <v>serconitalia2014@libero.it</v>
          </cell>
          <cell r="R2230" t="str">
            <v>BONIFICO BANCARIO, ALLA DATA DELLA NOSTRA CONFERMA D'ORDINE</v>
          </cell>
          <cell r="X2230">
            <v>0.25</v>
          </cell>
          <cell r="Y2230">
            <v>-0.04</v>
          </cell>
          <cell r="AB2230">
            <v>0.25</v>
          </cell>
          <cell r="AC2230">
            <v>0.25</v>
          </cell>
          <cell r="AD2230">
            <v>0.25</v>
          </cell>
          <cell r="AE2230">
            <v>0.25</v>
          </cell>
          <cell r="AF2230">
            <v>0.25</v>
          </cell>
          <cell r="AG2230">
            <v>0.25</v>
          </cell>
          <cell r="AH2230">
            <v>0.25</v>
          </cell>
          <cell r="AI2230">
            <v>0.25</v>
          </cell>
          <cell r="AJ2230">
            <v>0.25</v>
          </cell>
          <cell r="AK2230">
            <v>0.25</v>
          </cell>
          <cell r="AL2230">
            <v>0.25</v>
          </cell>
          <cell r="AM2230">
            <v>0.25</v>
          </cell>
          <cell r="AN2230">
            <v>0.25</v>
          </cell>
          <cell r="AO2230">
            <v>0.25</v>
          </cell>
          <cell r="AP2230">
            <v>0.25</v>
          </cell>
          <cell r="AQ2230">
            <v>0.25</v>
          </cell>
          <cell r="AR2230">
            <v>0.25</v>
          </cell>
          <cell r="AS2230">
            <v>0.25</v>
          </cell>
          <cell r="AT2230">
            <v>-0.04</v>
          </cell>
          <cell r="AU2230">
            <v>0.92</v>
          </cell>
          <cell r="AV2230">
            <v>20</v>
          </cell>
          <cell r="AZ2230">
            <v>0.25</v>
          </cell>
          <cell r="BA2230">
            <v>0.25</v>
          </cell>
        </row>
        <row r="2231">
          <cell r="A2231" t="str">
            <v>SER.RO INFISSI DI ROTONDI ROBERTO</v>
          </cell>
          <cell r="D2231" t="str">
            <v>VIA NETTUNO, 244 OLMOBELLO</v>
          </cell>
          <cell r="E2231" t="str">
            <v xml:space="preserve">04012 </v>
          </cell>
          <cell r="F2231" t="str">
            <v>CISTERNA DI LATINA</v>
          </cell>
          <cell r="G2231" t="str">
            <v>LT</v>
          </cell>
          <cell r="H2231" t="str">
            <v>ITALIA</v>
          </cell>
          <cell r="I2231" t="str">
            <v>RTNRRT62T07C740H</v>
          </cell>
          <cell r="J2231" t="str">
            <v>01233550597</v>
          </cell>
          <cell r="M2231" t="str">
            <v>UFFICIO ACQUISTI</v>
          </cell>
          <cell r="N2231" t="str">
            <v>06 9692300</v>
          </cell>
          <cell r="R2231" t="str">
            <v>BONIFICO BANCARIO, ALLA DATA DELLA NOSTRA CONFERMA D'ORDINE</v>
          </cell>
          <cell r="X2231">
            <v>0.2</v>
          </cell>
          <cell r="Y2231">
            <v>-0.04</v>
          </cell>
          <cell r="AB2231">
            <v>0.2</v>
          </cell>
          <cell r="AC2231">
            <v>0.2</v>
          </cell>
          <cell r="AD2231">
            <v>0.2</v>
          </cell>
          <cell r="AE2231">
            <v>0.2</v>
          </cell>
          <cell r="AF2231">
            <v>0.2</v>
          </cell>
          <cell r="AG2231">
            <v>0.2</v>
          </cell>
          <cell r="AH2231">
            <v>0.2</v>
          </cell>
          <cell r="AI2231">
            <v>0.2</v>
          </cell>
          <cell r="AJ2231">
            <v>0.2</v>
          </cell>
          <cell r="AK2231">
            <v>0.2</v>
          </cell>
          <cell r="AL2231">
            <v>0.2</v>
          </cell>
          <cell r="AM2231">
            <v>0.2</v>
          </cell>
          <cell r="AN2231">
            <v>0.2</v>
          </cell>
          <cell r="AO2231">
            <v>0.2</v>
          </cell>
          <cell r="AP2231">
            <v>0.2</v>
          </cell>
          <cell r="AQ2231">
            <v>0.2</v>
          </cell>
          <cell r="AR2231">
            <v>0.2</v>
          </cell>
          <cell r="AS2231">
            <v>0.2</v>
          </cell>
          <cell r="AT2231">
            <v>-0.04</v>
          </cell>
          <cell r="AU2231">
            <v>0.92</v>
          </cell>
          <cell r="AV2231">
            <v>20</v>
          </cell>
          <cell r="AZ2231">
            <v>0.2</v>
          </cell>
          <cell r="BA2231">
            <v>0.2</v>
          </cell>
        </row>
        <row r="2232">
          <cell r="A2232" t="str">
            <v>SERACOM DI CARASSALE RINALDO</v>
          </cell>
          <cell r="B2232" t="str">
            <v>NON VUOLE PAGARE PRIMA</v>
          </cell>
          <cell r="D2232" t="str">
            <v>VIA OVADA, 67</v>
          </cell>
          <cell r="E2232" t="str">
            <v>15067</v>
          </cell>
          <cell r="F2232" t="str">
            <v>NOVI LIGURE</v>
          </cell>
          <cell r="G2232" t="str">
            <v>AL</v>
          </cell>
          <cell r="H2232" t="str">
            <v>ITALIA</v>
          </cell>
          <cell r="J2232" t="str">
            <v>01568960064</v>
          </cell>
          <cell r="M2232" t="str">
            <v>UFFICIO ACQUISTI</v>
          </cell>
          <cell r="N2232" t="str">
            <v>0143 322450</v>
          </cell>
          <cell r="P2232" t="str">
            <v>seracom@seracom.it</v>
          </cell>
          <cell r="R2232" t="str">
            <v>CONTRASSEGNO</v>
          </cell>
          <cell r="X2232">
            <v>0.25</v>
          </cell>
          <cell r="Y2232">
            <v>-0.04</v>
          </cell>
          <cell r="AB2232">
            <v>0.25</v>
          </cell>
          <cell r="AC2232">
            <v>0.25</v>
          </cell>
          <cell r="AD2232">
            <v>0.25</v>
          </cell>
          <cell r="AE2232">
            <v>0.25</v>
          </cell>
          <cell r="AF2232">
            <v>0.25</v>
          </cell>
          <cell r="AG2232">
            <v>0.25</v>
          </cell>
          <cell r="AH2232">
            <v>0.25</v>
          </cell>
          <cell r="AI2232">
            <v>0.25</v>
          </cell>
          <cell r="AJ2232">
            <v>0.25</v>
          </cell>
          <cell r="AK2232">
            <v>0.25</v>
          </cell>
          <cell r="AL2232">
            <v>0.25</v>
          </cell>
          <cell r="AM2232">
            <v>0.25</v>
          </cell>
          <cell r="AN2232">
            <v>0.25</v>
          </cell>
          <cell r="AO2232">
            <v>0.25</v>
          </cell>
          <cell r="AP2232">
            <v>0.25</v>
          </cell>
          <cell r="AQ2232">
            <v>0.25</v>
          </cell>
          <cell r="AR2232">
            <v>0.25</v>
          </cell>
          <cell r="AS2232">
            <v>0.25</v>
          </cell>
          <cell r="AT2232">
            <v>-0.04</v>
          </cell>
          <cell r="AU2232">
            <v>0.92</v>
          </cell>
          <cell r="AV2232">
            <v>20</v>
          </cell>
          <cell r="AZ2232">
            <v>0.25</v>
          </cell>
          <cell r="BA2232">
            <v>0.25</v>
          </cell>
        </row>
        <row r="2233">
          <cell r="A2233" t="str">
            <v>SERAFIC SNC (SER.A.FI.C.)</v>
          </cell>
          <cell r="D2233" t="str">
            <v>VIA PRENESTINA 239</v>
          </cell>
          <cell r="E2233" t="str">
            <v xml:space="preserve">00177 </v>
          </cell>
          <cell r="F2233" t="str">
            <v>ROMA</v>
          </cell>
          <cell r="G2233" t="str">
            <v>RM</v>
          </cell>
          <cell r="H2233" t="str">
            <v xml:space="preserve">ITALIA </v>
          </cell>
          <cell r="J2233" t="str">
            <v>05409491007</v>
          </cell>
          <cell r="M2233" t="str">
            <v>UFFICIO ACQUISTI</v>
          </cell>
          <cell r="N2233" t="str">
            <v>06 21729966</v>
          </cell>
          <cell r="O2233" t="str">
            <v>MASSIMO 349 5804128</v>
          </cell>
          <cell r="P2233" t="str">
            <v>seraficporte@libero.it</v>
          </cell>
          <cell r="R2233" t="str">
            <v>BONIFICO BANCARIO, ALLA DATA DELLA NOSTRA CONFERMA D'ORDINE</v>
          </cell>
          <cell r="X2233">
            <v>0.25</v>
          </cell>
          <cell r="Y2233">
            <v>-0.04</v>
          </cell>
          <cell r="AB2233">
            <v>0.25</v>
          </cell>
          <cell r="AC2233">
            <v>0.25</v>
          </cell>
          <cell r="AD2233">
            <v>0.25</v>
          </cell>
          <cell r="AE2233">
            <v>0.25</v>
          </cell>
          <cell r="AF2233">
            <v>0.25</v>
          </cell>
          <cell r="AG2233">
            <v>0.25</v>
          </cell>
          <cell r="AH2233">
            <v>0.25</v>
          </cell>
          <cell r="AI2233">
            <v>0.25</v>
          </cell>
          <cell r="AJ2233">
            <v>0.25</v>
          </cell>
          <cell r="AK2233">
            <v>0.25</v>
          </cell>
          <cell r="AL2233">
            <v>0.25</v>
          </cell>
          <cell r="AM2233">
            <v>0.25</v>
          </cell>
          <cell r="AN2233">
            <v>0.25</v>
          </cell>
          <cell r="AO2233">
            <v>0.25</v>
          </cell>
          <cell r="AP2233">
            <v>0.25</v>
          </cell>
          <cell r="AQ2233">
            <v>0.25</v>
          </cell>
          <cell r="AR2233">
            <v>0.25</v>
          </cell>
          <cell r="AS2233">
            <v>0.25</v>
          </cell>
          <cell r="AT2233">
            <v>-0.04</v>
          </cell>
          <cell r="AU2233">
            <v>0.92</v>
          </cell>
          <cell r="AV2233">
            <v>20</v>
          </cell>
          <cell r="AZ2233">
            <v>0.25</v>
          </cell>
          <cell r="BA2233">
            <v>0.25</v>
          </cell>
        </row>
        <row r="2234">
          <cell r="A2234" t="str">
            <v>SERAL TECNO SRL</v>
          </cell>
          <cell r="B2234" t="str">
            <v>ALESSANDRO COMOTTI</v>
          </cell>
          <cell r="D2234" t="str">
            <v>VIA LIBERO GRASSI, 23</v>
          </cell>
          <cell r="E2234" t="str">
            <v>20056</v>
          </cell>
          <cell r="F2234" t="str">
            <v>TREZZO SULL'ADDA</v>
          </cell>
          <cell r="G2234" t="str">
            <v>MI</v>
          </cell>
          <cell r="H2234" t="str">
            <v>ITALIA</v>
          </cell>
          <cell r="M2234" t="str">
            <v>UFFICIO ACQUISTI</v>
          </cell>
          <cell r="N2234" t="str">
            <v>02 90964102</v>
          </cell>
          <cell r="P2234" t="str">
            <v>comotti.alessandro@seraltecno.com</v>
          </cell>
          <cell r="R2234" t="str">
            <v>BONIFICO BANCARIO, ALLA DATA DELLA NOSTRA CONFERMA D'ORDINE</v>
          </cell>
          <cell r="X2234">
            <v>0.2</v>
          </cell>
          <cell r="Y2234">
            <v>-0.04</v>
          </cell>
          <cell r="AB2234">
            <v>0.2</v>
          </cell>
          <cell r="AC2234">
            <v>0.2</v>
          </cell>
          <cell r="AD2234">
            <v>0.2</v>
          </cell>
          <cell r="AE2234">
            <v>0.2</v>
          </cell>
          <cell r="AF2234">
            <v>0.2</v>
          </cell>
          <cell r="AG2234">
            <v>0.2</v>
          </cell>
          <cell r="AH2234">
            <v>0.2</v>
          </cell>
          <cell r="AI2234">
            <v>0.2</v>
          </cell>
          <cell r="AJ2234">
            <v>0.2</v>
          </cell>
          <cell r="AK2234">
            <v>0.2</v>
          </cell>
          <cell r="AL2234">
            <v>0.2</v>
          </cell>
          <cell r="AM2234">
            <v>0.2</v>
          </cell>
          <cell r="AN2234">
            <v>0.2</v>
          </cell>
          <cell r="AO2234">
            <v>0.2</v>
          </cell>
          <cell r="AP2234">
            <v>0.2</v>
          </cell>
          <cell r="AQ2234">
            <v>0.2</v>
          </cell>
          <cell r="AR2234">
            <v>0.2</v>
          </cell>
          <cell r="AS2234">
            <v>0.2</v>
          </cell>
          <cell r="AT2234">
            <v>-0.04</v>
          </cell>
          <cell r="AU2234">
            <v>0.92</v>
          </cell>
          <cell r="AV2234">
            <v>20</v>
          </cell>
          <cell r="AZ2234">
            <v>0.2</v>
          </cell>
          <cell r="BA2234">
            <v>0.2</v>
          </cell>
        </row>
        <row r="2235">
          <cell r="A2235" t="str">
            <v>SERALL SERRAMENTI</v>
          </cell>
          <cell r="B2235" t="str">
            <v>DA FERRAMENTA COMPRA LE ACQUASTOP 05/12/2022 SIG. MINAZZO, TITOLARE. LO TROVO DOPO LE 18.30. INTANTO MANDATA MAIL. LA SEGRETARIA MI HA DETTO CHE ACQUISTANO DA UN FORNITORE ALTRO E NE HANNO INSTALLATE AD OGGI TRE</v>
          </cell>
          <cell r="D2235" t="str">
            <v>LOC.ISOLA S. LUCIA</v>
          </cell>
          <cell r="E2235">
            <v>18027</v>
          </cell>
          <cell r="F2235" t="str">
            <v>PONTEDASSIO</v>
          </cell>
          <cell r="G2235" t="str">
            <v>IM</v>
          </cell>
          <cell r="H2235" t="str">
            <v>ITALIA</v>
          </cell>
          <cell r="M2235" t="str">
            <v>UFFICIO ACQUISTI</v>
          </cell>
          <cell r="N2235" t="str">
            <v>0183 279733</v>
          </cell>
          <cell r="R2235" t="str">
            <v>BONIFICO BANCARIO, ALLA DATA DELLA NOSTRA CONFERMA D'ORDINE</v>
          </cell>
          <cell r="X2235">
            <v>0.25</v>
          </cell>
          <cell r="Y2235">
            <v>-0.04</v>
          </cell>
          <cell r="AB2235">
            <v>0.25</v>
          </cell>
          <cell r="AC2235">
            <v>0.25</v>
          </cell>
          <cell r="AD2235">
            <v>0.25</v>
          </cell>
          <cell r="AE2235">
            <v>0.25</v>
          </cell>
          <cell r="AF2235">
            <v>0.25</v>
          </cell>
          <cell r="AG2235">
            <v>0.25</v>
          </cell>
          <cell r="AH2235">
            <v>0.25</v>
          </cell>
          <cell r="AI2235">
            <v>0.25</v>
          </cell>
          <cell r="AJ2235">
            <v>0.25</v>
          </cell>
          <cell r="AK2235">
            <v>0.25</v>
          </cell>
          <cell r="AL2235">
            <v>0.25</v>
          </cell>
          <cell r="AM2235">
            <v>0.25</v>
          </cell>
          <cell r="AN2235">
            <v>0.25</v>
          </cell>
          <cell r="AO2235">
            <v>0.25</v>
          </cell>
          <cell r="AP2235">
            <v>0.25</v>
          </cell>
          <cell r="AQ2235">
            <v>0.25</v>
          </cell>
          <cell r="AR2235">
            <v>0.25</v>
          </cell>
          <cell r="AS2235">
            <v>0.25</v>
          </cell>
          <cell r="AT2235">
            <v>-0.04</v>
          </cell>
          <cell r="AU2235">
            <v>0.92</v>
          </cell>
          <cell r="AV2235">
            <v>20</v>
          </cell>
          <cell r="AZ2235">
            <v>0.25</v>
          </cell>
          <cell r="BA2235">
            <v>0.25</v>
          </cell>
        </row>
        <row r="2236">
          <cell r="A2236" t="str">
            <v>SERCOR &amp; C. SRL</v>
          </cell>
          <cell r="D2236" t="str">
            <v>STRADA MANARA, 58</v>
          </cell>
          <cell r="E2236">
            <v>43126</v>
          </cell>
          <cell r="F2236" t="str">
            <v>PARMA</v>
          </cell>
          <cell r="G2236" t="str">
            <v>PR</v>
          </cell>
          <cell r="H2236" t="str">
            <v>ITALIA</v>
          </cell>
          <cell r="J2236" t="str">
            <v>02467040347</v>
          </cell>
          <cell r="M2236" t="str">
            <v>UFFICIO ACQUISTI</v>
          </cell>
          <cell r="O2236" t="str">
            <v>328 7234391</v>
          </cell>
          <cell r="R2236" t="str">
            <v>BONIFICO BANCARIO, ALLA DATA DELLA NOSTRA CONFERMA D'ORDINE</v>
          </cell>
          <cell r="X2236">
            <v>0.25</v>
          </cell>
          <cell r="Y2236">
            <v>-0.04</v>
          </cell>
          <cell r="AB2236">
            <v>0.25</v>
          </cell>
          <cell r="AC2236">
            <v>0.25</v>
          </cell>
          <cell r="AD2236">
            <v>0.25</v>
          </cell>
          <cell r="AE2236">
            <v>0.25</v>
          </cell>
          <cell r="AF2236">
            <v>0.25</v>
          </cell>
          <cell r="AG2236">
            <v>0.25</v>
          </cell>
          <cell r="AH2236">
            <v>0.25</v>
          </cell>
          <cell r="AI2236">
            <v>0.25</v>
          </cell>
          <cell r="AJ2236">
            <v>0.25</v>
          </cell>
          <cell r="AK2236">
            <v>0.25</v>
          </cell>
          <cell r="AL2236">
            <v>0.25</v>
          </cell>
          <cell r="AM2236">
            <v>0.25</v>
          </cell>
          <cell r="AN2236">
            <v>0.25</v>
          </cell>
          <cell r="AO2236">
            <v>0.25</v>
          </cell>
          <cell r="AP2236">
            <v>0.25</v>
          </cell>
          <cell r="AQ2236">
            <v>0.25</v>
          </cell>
          <cell r="AR2236">
            <v>0.25</v>
          </cell>
          <cell r="AS2236">
            <v>0.25</v>
          </cell>
          <cell r="AT2236">
            <v>-0.04</v>
          </cell>
          <cell r="AU2236">
            <v>0.92</v>
          </cell>
          <cell r="AV2236">
            <v>20</v>
          </cell>
          <cell r="AZ2236">
            <v>0.25</v>
          </cell>
          <cell r="BA2236">
            <v>0.25</v>
          </cell>
        </row>
        <row r="2237">
          <cell r="A2237" t="str">
            <v>SERGI SERRAMENTI</v>
          </cell>
          <cell r="D2237" t="str">
            <v>VIA NAZIONALE, 240</v>
          </cell>
          <cell r="E2237">
            <v>54011</v>
          </cell>
          <cell r="F2237" t="str">
            <v>AULLA</v>
          </cell>
          <cell r="G2237" t="str">
            <v>MS</v>
          </cell>
          <cell r="H2237" t="str">
            <v>ITALIA</v>
          </cell>
          <cell r="J2237" t="str">
            <v>01305560458</v>
          </cell>
          <cell r="M2237" t="str">
            <v>UFFICIO ACQUISTI</v>
          </cell>
          <cell r="N2237" t="str">
            <v>0187 409235</v>
          </cell>
          <cell r="O2237" t="str">
            <v>320 5639602 - 339 4042773</v>
          </cell>
          <cell r="P2237" t="str">
            <v>info@sergiserramenti.it</v>
          </cell>
          <cell r="R2237" t="str">
            <v>BONIFICO BANCARIO, ALLA DATA DELLA NOSTRA CONFERMA D'ORDINE</v>
          </cell>
          <cell r="X2237">
            <v>0.25</v>
          </cell>
          <cell r="Y2237">
            <v>-0.04</v>
          </cell>
          <cell r="AB2237">
            <v>0.25</v>
          </cell>
          <cell r="AC2237">
            <v>0.25</v>
          </cell>
          <cell r="AD2237">
            <v>0.25</v>
          </cell>
          <cell r="AE2237">
            <v>0.25</v>
          </cell>
          <cell r="AF2237">
            <v>0.25</v>
          </cell>
          <cell r="AG2237">
            <v>0.25</v>
          </cell>
          <cell r="AH2237">
            <v>0.25</v>
          </cell>
          <cell r="AI2237">
            <v>0.25</v>
          </cell>
          <cell r="AJ2237">
            <v>0.25</v>
          </cell>
          <cell r="AK2237">
            <v>0.25</v>
          </cell>
          <cell r="AL2237">
            <v>0.25</v>
          </cell>
          <cell r="AM2237">
            <v>0.25</v>
          </cell>
          <cell r="AN2237">
            <v>0.25</v>
          </cell>
          <cell r="AO2237">
            <v>0.25</v>
          </cell>
          <cell r="AP2237">
            <v>0.25</v>
          </cell>
          <cell r="AQ2237">
            <v>0.25</v>
          </cell>
          <cell r="AR2237">
            <v>0.25</v>
          </cell>
          <cell r="AS2237">
            <v>0.25</v>
          </cell>
          <cell r="AT2237">
            <v>-0.04</v>
          </cell>
          <cell r="AU2237">
            <v>0.92</v>
          </cell>
          <cell r="AV2237">
            <v>20</v>
          </cell>
          <cell r="AZ2237">
            <v>0.25</v>
          </cell>
          <cell r="BA2237">
            <v>0.25</v>
          </cell>
        </row>
        <row r="2238">
          <cell r="A2238" t="str">
            <v>SERMETAL DI MARTINO CLAUDIO</v>
          </cell>
          <cell r="F2238" t="str">
            <v xml:space="preserve">ACQUI TERME </v>
          </cell>
          <cell r="G2238" t="str">
            <v>AL</v>
          </cell>
          <cell r="H2238" t="str">
            <v>ITALIA</v>
          </cell>
          <cell r="M2238" t="str">
            <v>UFFICIO ACQUISTI</v>
          </cell>
          <cell r="N2238" t="str">
            <v>0144 325559</v>
          </cell>
          <cell r="O2238" t="str">
            <v>338 4282596</v>
          </cell>
          <cell r="R2238" t="str">
            <v>BONIFICO BANCARIO, ALLA DATA DELLA NOSTRA CONFERMA D'ORDINE</v>
          </cell>
          <cell r="X2238">
            <v>0.25</v>
          </cell>
          <cell r="Y2238">
            <v>-0.04</v>
          </cell>
          <cell r="AB2238">
            <v>0.25</v>
          </cell>
          <cell r="AC2238">
            <v>0.25</v>
          </cell>
          <cell r="AD2238">
            <v>0.25</v>
          </cell>
          <cell r="AE2238">
            <v>0.25</v>
          </cell>
          <cell r="AF2238">
            <v>0.25</v>
          </cell>
          <cell r="AG2238">
            <v>0.25</v>
          </cell>
          <cell r="AH2238">
            <v>0.25</v>
          </cell>
          <cell r="AI2238">
            <v>0.25</v>
          </cell>
          <cell r="AJ2238">
            <v>0.25</v>
          </cell>
          <cell r="AK2238">
            <v>0.25</v>
          </cell>
          <cell r="AL2238">
            <v>0.25</v>
          </cell>
          <cell r="AM2238">
            <v>0.25</v>
          </cell>
          <cell r="AN2238">
            <v>0.25</v>
          </cell>
          <cell r="AO2238">
            <v>0.25</v>
          </cell>
          <cell r="AP2238">
            <v>0.25</v>
          </cell>
          <cell r="AQ2238">
            <v>0.25</v>
          </cell>
          <cell r="AR2238">
            <v>0.25</v>
          </cell>
          <cell r="AS2238">
            <v>0.25</v>
          </cell>
          <cell r="AT2238">
            <v>-0.04</v>
          </cell>
          <cell r="AU2238">
            <v>0.92</v>
          </cell>
          <cell r="AV2238">
            <v>20</v>
          </cell>
          <cell r="AZ2238">
            <v>0.25</v>
          </cell>
          <cell r="BA2238">
            <v>0.25</v>
          </cell>
        </row>
        <row r="2239">
          <cell r="A2239" t="str">
            <v>SERPAUL VETRI E C. SNC</v>
          </cell>
          <cell r="D2239" t="str">
            <v>VIA ROMA, 281</v>
          </cell>
          <cell r="E2239" t="str">
            <v>09043</v>
          </cell>
          <cell r="F2239" t="str">
            <v>MURAVERA</v>
          </cell>
          <cell r="G2239" t="str">
            <v>CA</v>
          </cell>
          <cell r="H2239" t="str">
            <v>ITALIA</v>
          </cell>
          <cell r="M2239" t="str">
            <v>UFFICIO ACQUISTI</v>
          </cell>
          <cell r="N2239" t="str">
            <v>070 993 0277</v>
          </cell>
          <cell r="O2239" t="str">
            <v>345 6975359 PISANO PIERGIORGIO</v>
          </cell>
          <cell r="P2239" t="str">
            <v>piergiorgio.pisano67@gmail.com</v>
          </cell>
          <cell r="R2239" t="str">
            <v>BONIFICO BANCARIO, ALLA DATA DELLA NOSTRA CONFERMA D'ORDINE</v>
          </cell>
          <cell r="X2239">
            <v>0.2</v>
          </cell>
          <cell r="Y2239">
            <v>-0.04</v>
          </cell>
          <cell r="AB2239">
            <v>0.2</v>
          </cell>
          <cell r="AC2239">
            <v>0.2</v>
          </cell>
          <cell r="AD2239">
            <v>0.2</v>
          </cell>
          <cell r="AE2239">
            <v>0.2</v>
          </cell>
          <cell r="AF2239">
            <v>0.2</v>
          </cell>
          <cell r="AG2239">
            <v>0.2</v>
          </cell>
          <cell r="AH2239">
            <v>0.2</v>
          </cell>
          <cell r="AI2239">
            <v>0.2</v>
          </cell>
          <cell r="AJ2239">
            <v>0.2</v>
          </cell>
          <cell r="AK2239">
            <v>0.2</v>
          </cell>
          <cell r="AL2239">
            <v>0.2</v>
          </cell>
          <cell r="AM2239">
            <v>0.2</v>
          </cell>
          <cell r="AN2239">
            <v>0.2</v>
          </cell>
          <cell r="AO2239">
            <v>0.2</v>
          </cell>
          <cell r="AP2239">
            <v>0.2</v>
          </cell>
          <cell r="AQ2239">
            <v>0.2</v>
          </cell>
          <cell r="AR2239">
            <v>0.2</v>
          </cell>
          <cell r="AS2239">
            <v>0.2</v>
          </cell>
          <cell r="AT2239">
            <v>-0.04</v>
          </cell>
          <cell r="AU2239">
            <v>0.92</v>
          </cell>
          <cell r="AV2239">
            <v>20</v>
          </cell>
          <cell r="AZ2239">
            <v>0.2</v>
          </cell>
          <cell r="BA2239">
            <v>0.2</v>
          </cell>
        </row>
        <row r="2240">
          <cell r="A2240" t="str">
            <v>SERPOL SRLS</v>
          </cell>
          <cell r="B2240" t="str">
            <v>AGNESE</v>
          </cell>
          <cell r="D2240" t="str">
            <v>VIA POMPEO GIUSTINIANI, 56</v>
          </cell>
          <cell r="F2240" t="str">
            <v>GORIZIA</v>
          </cell>
          <cell r="G2240" t="str">
            <v>GO</v>
          </cell>
          <cell r="H2240" t="str">
            <v>ITALIA</v>
          </cell>
          <cell r="J2240" t="str">
            <v>01179220312</v>
          </cell>
          <cell r="M2240" t="str">
            <v>UFFICIO ACQUISTI</v>
          </cell>
          <cell r="O2240" t="str">
            <v>331 5341095</v>
          </cell>
          <cell r="P2240" t="str">
            <v>serpol.srls@gmail.com</v>
          </cell>
          <cell r="R2240" t="str">
            <v>BONIFICO BANCARIO, ALLA DATA DELLA NOSTRA CONFERMA D'ORDINE</v>
          </cell>
          <cell r="X2240">
            <v>0.25</v>
          </cell>
          <cell r="Y2240">
            <v>-0.04</v>
          </cell>
          <cell r="AB2240">
            <v>0.25</v>
          </cell>
          <cell r="AC2240">
            <v>0.25</v>
          </cell>
          <cell r="AD2240">
            <v>0.25</v>
          </cell>
          <cell r="AE2240">
            <v>0.25</v>
          </cell>
          <cell r="AF2240">
            <v>0.25</v>
          </cell>
          <cell r="AG2240">
            <v>0.25</v>
          </cell>
          <cell r="AH2240">
            <v>0.25</v>
          </cell>
          <cell r="AI2240">
            <v>0.25</v>
          </cell>
          <cell r="AJ2240">
            <v>0.25</v>
          </cell>
          <cell r="AK2240">
            <v>0.25</v>
          </cell>
          <cell r="AL2240">
            <v>0.25</v>
          </cell>
          <cell r="AM2240">
            <v>0.25</v>
          </cell>
          <cell r="AN2240">
            <v>0.25</v>
          </cell>
          <cell r="AO2240">
            <v>0.25</v>
          </cell>
          <cell r="AP2240">
            <v>0.25</v>
          </cell>
          <cell r="AQ2240">
            <v>0.25</v>
          </cell>
          <cell r="AR2240">
            <v>0.25</v>
          </cell>
          <cell r="AS2240">
            <v>0.25</v>
          </cell>
          <cell r="AT2240">
            <v>-0.04</v>
          </cell>
          <cell r="AU2240">
            <v>0.92</v>
          </cell>
          <cell r="AV2240">
            <v>20</v>
          </cell>
          <cell r="AZ2240">
            <v>0.25</v>
          </cell>
          <cell r="BA2240">
            <v>0.25</v>
          </cell>
        </row>
        <row r="2241">
          <cell r="A2241" t="str">
            <v>SERR CLASS di Claudio Cocco</v>
          </cell>
          <cell r="D2241" t="str">
            <v>VIA PIETRABRUNA, 134</v>
          </cell>
          <cell r="E2241">
            <v>18017</v>
          </cell>
          <cell r="F2241" t="str">
            <v xml:space="preserve">S.LORENZO AL MARE </v>
          </cell>
          <cell r="G2241" t="str">
            <v>IM</v>
          </cell>
          <cell r="H2241" t="str">
            <v>ITALIA</v>
          </cell>
          <cell r="M2241" t="str">
            <v>UFFICIO ACQUISTI</v>
          </cell>
          <cell r="N2241" t="str">
            <v>0183 91647</v>
          </cell>
          <cell r="O2241" t="str">
            <v>335 318762</v>
          </cell>
          <cell r="P2241" t="str">
            <v>serrclass@virgilio.it</v>
          </cell>
          <cell r="R2241" t="str">
            <v>BONIFICO BANCARIO, ALLA DATA DELLA NOSTRA CONFERMA D'ORDINE</v>
          </cell>
          <cell r="X2241">
            <v>0.25</v>
          </cell>
          <cell r="Y2241">
            <v>-0.04</v>
          </cell>
          <cell r="AB2241">
            <v>0.25</v>
          </cell>
          <cell r="AC2241">
            <v>0.25</v>
          </cell>
          <cell r="AD2241">
            <v>0.25</v>
          </cell>
          <cell r="AE2241">
            <v>0.25</v>
          </cell>
          <cell r="AF2241">
            <v>0.25</v>
          </cell>
          <cell r="AG2241">
            <v>0.25</v>
          </cell>
          <cell r="AH2241">
            <v>0.25</v>
          </cell>
          <cell r="AI2241">
            <v>0.25</v>
          </cell>
          <cell r="AJ2241">
            <v>0.25</v>
          </cell>
          <cell r="AK2241">
            <v>0.25</v>
          </cell>
          <cell r="AL2241">
            <v>0.25</v>
          </cell>
          <cell r="AM2241">
            <v>0.25</v>
          </cell>
          <cell r="AN2241">
            <v>0.25</v>
          </cell>
          <cell r="AO2241">
            <v>0.25</v>
          </cell>
          <cell r="AP2241">
            <v>0.25</v>
          </cell>
          <cell r="AQ2241">
            <v>0.25</v>
          </cell>
          <cell r="AR2241">
            <v>0.25</v>
          </cell>
          <cell r="AS2241">
            <v>0.25</v>
          </cell>
          <cell r="AT2241">
            <v>-0.04</v>
          </cell>
          <cell r="AU2241">
            <v>0.92</v>
          </cell>
          <cell r="AV2241">
            <v>20</v>
          </cell>
          <cell r="AZ2241">
            <v>0.25</v>
          </cell>
          <cell r="BA2241">
            <v>0.25</v>
          </cell>
        </row>
        <row r="2242">
          <cell r="A2242" t="str">
            <v xml:space="preserve">SERR. DESIGN SRL </v>
          </cell>
          <cell r="D2242" t="str">
            <v>VIA FORNACI HOFFMAN 6/D</v>
          </cell>
          <cell r="E2242" t="str">
            <v>06034</v>
          </cell>
          <cell r="F2242" t="str">
            <v>FOLIGNO</v>
          </cell>
          <cell r="G2242" t="str">
            <v>PG</v>
          </cell>
          <cell r="H2242" t="str">
            <v>ITALIA</v>
          </cell>
          <cell r="J2242" t="str">
            <v>02084410543</v>
          </cell>
          <cell r="M2242" t="str">
            <v>UFFICIO ACQUISTI</v>
          </cell>
          <cell r="N2242" t="str">
            <v>0742 22003</v>
          </cell>
          <cell r="P2242" t="str">
            <v>info@serrdesign.it</v>
          </cell>
          <cell r="R2242" t="str">
            <v>BONIFICO BANCARIO, ALLA DATA DELLA NOSTRA CONFERMA D'ORDINE</v>
          </cell>
          <cell r="X2242">
            <v>0.25</v>
          </cell>
          <cell r="Y2242">
            <v>-0.04</v>
          </cell>
          <cell r="AB2242">
            <v>0.25</v>
          </cell>
          <cell r="AC2242">
            <v>0.25</v>
          </cell>
          <cell r="AD2242">
            <v>0.25</v>
          </cell>
          <cell r="AE2242">
            <v>0.25</v>
          </cell>
          <cell r="AF2242">
            <v>0.25</v>
          </cell>
          <cell r="AG2242">
            <v>0.25</v>
          </cell>
          <cell r="AH2242">
            <v>0.25</v>
          </cell>
          <cell r="AI2242">
            <v>0.25</v>
          </cell>
          <cell r="AJ2242">
            <v>0.25</v>
          </cell>
          <cell r="AK2242">
            <v>0.25</v>
          </cell>
          <cell r="AL2242">
            <v>0.25</v>
          </cell>
          <cell r="AM2242">
            <v>0.25</v>
          </cell>
          <cell r="AN2242">
            <v>0.25</v>
          </cell>
          <cell r="AO2242">
            <v>0.25</v>
          </cell>
          <cell r="AP2242">
            <v>0.25</v>
          </cell>
          <cell r="AQ2242">
            <v>0.25</v>
          </cell>
          <cell r="AR2242">
            <v>0.25</v>
          </cell>
          <cell r="AS2242">
            <v>0.25</v>
          </cell>
          <cell r="AT2242">
            <v>-0.04</v>
          </cell>
          <cell r="AU2242">
            <v>0.92</v>
          </cell>
          <cell r="AV2242">
            <v>20</v>
          </cell>
          <cell r="AZ2242">
            <v>0.25</v>
          </cell>
          <cell r="BA2242">
            <v>0.25</v>
          </cell>
        </row>
        <row r="2243">
          <cell r="A2243" t="str">
            <v>SERR.GAMMA DI IVAN E MARCO ZANELLA</v>
          </cell>
          <cell r="D2243" t="str">
            <v>VIA G.B. MELI, 5</v>
          </cell>
          <cell r="E2243" t="str">
            <v>25013</v>
          </cell>
          <cell r="F2243" t="str">
            <v>CARPENEDOLO</v>
          </cell>
          <cell r="G2243" t="str">
            <v>BS</v>
          </cell>
          <cell r="H2243" t="str">
            <v>ITALIA</v>
          </cell>
          <cell r="M2243" t="str">
            <v>UFFICIO ACQUISTI</v>
          </cell>
          <cell r="N2243" t="str">
            <v>030 969385</v>
          </cell>
          <cell r="O2243" t="str">
            <v>333 5338575</v>
          </cell>
          <cell r="P2243" t="str">
            <v>zanzaro@inwind.it</v>
          </cell>
          <cell r="R2243" t="str">
            <v>BONIFICO BANCARIO, ALLA DATA DELLA NOSTRA CONFERMA D'ORDINE</v>
          </cell>
          <cell r="Y2243">
            <v>-0.04</v>
          </cell>
          <cell r="AT2243">
            <v>-0.04</v>
          </cell>
          <cell r="AV2243">
            <v>20</v>
          </cell>
          <cell r="AZ2243">
            <v>0</v>
          </cell>
          <cell r="BA2243">
            <v>0</v>
          </cell>
        </row>
        <row r="2244">
          <cell r="A2244" t="str">
            <v>SERRAIDEA SRL</v>
          </cell>
          <cell r="D2244" t="str">
            <v>VIA DEI CONCIATORI, 11</v>
          </cell>
          <cell r="E2244" t="str">
            <v>25032</v>
          </cell>
          <cell r="F2244" t="str">
            <v>CHIARI</v>
          </cell>
          <cell r="G2244" t="str">
            <v>BS</v>
          </cell>
          <cell r="H2244" t="str">
            <v>ITALIA</v>
          </cell>
          <cell r="J2244" t="str">
            <v>03015840980</v>
          </cell>
          <cell r="M2244" t="str">
            <v>UFFICIO ACQUISTI</v>
          </cell>
          <cell r="N2244" t="str">
            <v>030 7012078</v>
          </cell>
          <cell r="P2244" t="str">
            <v>info@serridea.it</v>
          </cell>
          <cell r="R2244" t="str">
            <v>BONIFICO BANCARIO, ALLA DATA DELLA NOSTRA CONFERMA D'ORDINE</v>
          </cell>
          <cell r="X2244">
            <v>0.2</v>
          </cell>
          <cell r="Y2244">
            <v>-0.04</v>
          </cell>
          <cell r="AB2244">
            <v>0.2</v>
          </cell>
          <cell r="AC2244">
            <v>0.2</v>
          </cell>
          <cell r="AD2244">
            <v>0.2</v>
          </cell>
          <cell r="AE2244">
            <v>0.2</v>
          </cell>
          <cell r="AF2244">
            <v>0.2</v>
          </cell>
          <cell r="AG2244">
            <v>0.2</v>
          </cell>
          <cell r="AH2244">
            <v>0.2</v>
          </cell>
          <cell r="AI2244">
            <v>0.2</v>
          </cell>
          <cell r="AJ2244">
            <v>0.2</v>
          </cell>
          <cell r="AK2244">
            <v>0.2</v>
          </cell>
          <cell r="AL2244">
            <v>0.2</v>
          </cell>
          <cell r="AM2244">
            <v>0.2</v>
          </cell>
          <cell r="AN2244">
            <v>0.2</v>
          </cell>
          <cell r="AO2244">
            <v>0.2</v>
          </cell>
          <cell r="AP2244">
            <v>0.2</v>
          </cell>
          <cell r="AQ2244">
            <v>0.2</v>
          </cell>
          <cell r="AR2244">
            <v>0.2</v>
          </cell>
          <cell r="AS2244">
            <v>0.2</v>
          </cell>
          <cell r="AT2244">
            <v>-0.04</v>
          </cell>
          <cell r="AU2244">
            <v>0.92</v>
          </cell>
          <cell r="AV2244">
            <v>20</v>
          </cell>
          <cell r="AZ2244">
            <v>0.2</v>
          </cell>
          <cell r="BA2244">
            <v>0.2</v>
          </cell>
        </row>
        <row r="2245">
          <cell r="A2245" t="str">
            <v>SERRAINO ANTONINO</v>
          </cell>
          <cell r="B2245" t="str">
            <v>inviare foto e video</v>
          </cell>
          <cell r="D2245" t="str">
            <v>VIA PANCALDO, 11</v>
          </cell>
          <cell r="E2245">
            <v>98066</v>
          </cell>
          <cell r="F2245" t="str">
            <v>PATTI</v>
          </cell>
          <cell r="G2245" t="str">
            <v>ME</v>
          </cell>
          <cell r="H2245" t="str">
            <v>ITALIA</v>
          </cell>
          <cell r="I2245" t="str">
            <v>SRRNNN84R11G377W</v>
          </cell>
          <cell r="J2245" t="str">
            <v>03185380833</v>
          </cell>
          <cell r="M2245" t="str">
            <v>UFFICIO ACQUISTI</v>
          </cell>
          <cell r="O2245" t="str">
            <v>333 4851582</v>
          </cell>
          <cell r="P2245" t="str">
            <v>serramentiserraino@gmail.com</v>
          </cell>
          <cell r="R2245" t="str">
            <v>BONIFICO BANCARIO, ALLA DATA DELLA NOSTRA CONFERMA D'ORDINE</v>
          </cell>
          <cell r="X2245">
            <v>0.25</v>
          </cell>
          <cell r="Y2245">
            <v>-0.04</v>
          </cell>
          <cell r="AB2245">
            <v>0.25</v>
          </cell>
          <cell r="AC2245">
            <v>0.25</v>
          </cell>
          <cell r="AD2245">
            <v>0.25</v>
          </cell>
          <cell r="AE2245">
            <v>0.25</v>
          </cell>
          <cell r="AF2245">
            <v>0.25</v>
          </cell>
          <cell r="AG2245">
            <v>0.25</v>
          </cell>
          <cell r="AH2245">
            <v>0.25</v>
          </cell>
          <cell r="AI2245">
            <v>0.25</v>
          </cell>
          <cell r="AJ2245">
            <v>0.25</v>
          </cell>
          <cell r="AK2245">
            <v>0.25</v>
          </cell>
          <cell r="AL2245">
            <v>0.25</v>
          </cell>
          <cell r="AM2245">
            <v>0.25</v>
          </cell>
          <cell r="AN2245">
            <v>0.25</v>
          </cell>
          <cell r="AO2245">
            <v>0.25</v>
          </cell>
          <cell r="AP2245">
            <v>0.25</v>
          </cell>
          <cell r="AQ2245">
            <v>0.25</v>
          </cell>
          <cell r="AR2245">
            <v>0.25</v>
          </cell>
          <cell r="AS2245">
            <v>0.25</v>
          </cell>
          <cell r="AT2245">
            <v>-0.04</v>
          </cell>
          <cell r="AU2245">
            <v>0.92</v>
          </cell>
          <cell r="AV2245">
            <v>20</v>
          </cell>
          <cell r="AZ2245">
            <v>0.25</v>
          </cell>
          <cell r="BA2245">
            <v>0.25</v>
          </cell>
        </row>
        <row r="2246">
          <cell r="A2246" t="str">
            <v>SERRALLUMINIO</v>
          </cell>
          <cell r="B2246" t="str">
            <v>FLAVIO, ALESSANDRO</v>
          </cell>
          <cell r="D2246" t="str">
            <v>VIA DEL MONTE SANTO 131/44B</v>
          </cell>
          <cell r="E2246">
            <v>34170</v>
          </cell>
          <cell r="F2246" t="str">
            <v>GORIZIA</v>
          </cell>
          <cell r="G2246" t="str">
            <v>GO</v>
          </cell>
          <cell r="H2246" t="str">
            <v>ITALIA</v>
          </cell>
          <cell r="J2246" t="str">
            <v>00183740315</v>
          </cell>
          <cell r="K2246" t="str">
            <v>P62QHVQ</v>
          </cell>
          <cell r="M2246" t="str">
            <v>UFFICIO ACQUISTI</v>
          </cell>
          <cell r="N2246" t="str">
            <v>0481 520775</v>
          </cell>
          <cell r="O2246" t="str">
            <v>349 6444269 ALESSANDRO ADRAGNA</v>
          </cell>
          <cell r="P2246" t="str">
            <v>serralluminio@libero.it</v>
          </cell>
          <cell r="R2246" t="str">
            <v>BONIFICO BANCARIO, ALLA DATA DELLA NOSTRA CONFERMA D'ORDINE</v>
          </cell>
          <cell r="X2246">
            <v>0.25</v>
          </cell>
          <cell r="Y2246">
            <v>-0.04</v>
          </cell>
          <cell r="AB2246">
            <v>0.25</v>
          </cell>
          <cell r="AC2246">
            <v>0.25</v>
          </cell>
          <cell r="AD2246">
            <v>0.25</v>
          </cell>
          <cell r="AE2246">
            <v>0.25</v>
          </cell>
          <cell r="AF2246">
            <v>0.25</v>
          </cell>
          <cell r="AG2246">
            <v>0.25</v>
          </cell>
          <cell r="AH2246">
            <v>0.25</v>
          </cell>
          <cell r="AI2246">
            <v>0.25</v>
          </cell>
          <cell r="AJ2246">
            <v>0.25</v>
          </cell>
          <cell r="AK2246">
            <v>0.25</v>
          </cell>
          <cell r="AL2246">
            <v>0.25</v>
          </cell>
          <cell r="AM2246">
            <v>0.25</v>
          </cell>
          <cell r="AN2246">
            <v>0.25</v>
          </cell>
          <cell r="AO2246">
            <v>0.25</v>
          </cell>
          <cell r="AP2246">
            <v>0.25</v>
          </cell>
          <cell r="AQ2246">
            <v>0.25</v>
          </cell>
          <cell r="AR2246">
            <v>0.25</v>
          </cell>
          <cell r="AS2246">
            <v>0.25</v>
          </cell>
          <cell r="AT2246">
            <v>-0.04</v>
          </cell>
          <cell r="AU2246">
            <v>0.92</v>
          </cell>
          <cell r="AV2246">
            <v>20</v>
          </cell>
          <cell r="AZ2246">
            <v>0.25</v>
          </cell>
          <cell r="BA2246">
            <v>0.25</v>
          </cell>
        </row>
        <row r="2247">
          <cell r="A2247" t="str">
            <v>SERRAMENTI &amp; CO DI VIAROLI DARIO</v>
          </cell>
          <cell r="D2247" t="str">
            <v>VIA STAZIONE, 3</v>
          </cell>
          <cell r="E2247">
            <v>29010</v>
          </cell>
          <cell r="F2247" t="str">
            <v>CASTELVETRO P.NO</v>
          </cell>
          <cell r="G2247" t="str">
            <v>PC</v>
          </cell>
          <cell r="H2247" t="str">
            <v>ITALIA</v>
          </cell>
          <cell r="J2247" t="str">
            <v>01452280330</v>
          </cell>
          <cell r="M2247" t="str">
            <v>UFFICIO ACQUISTI</v>
          </cell>
          <cell r="O2247" t="str">
            <v>348 3576614</v>
          </cell>
          <cell r="P2247" t="str">
            <v>viaroli.serramenti@gmail.com</v>
          </cell>
          <cell r="R2247" t="str">
            <v>BONIFICO BANCARIO, ALLA DATA DELLA NOSTRA CONFERMA D'ORDINE</v>
          </cell>
          <cell r="X2247">
            <v>0.25</v>
          </cell>
          <cell r="Y2247">
            <v>-0.04</v>
          </cell>
          <cell r="AB2247">
            <v>0.25</v>
          </cell>
          <cell r="AC2247">
            <v>0.25</v>
          </cell>
          <cell r="AD2247">
            <v>0.25</v>
          </cell>
          <cell r="AE2247">
            <v>0.25</v>
          </cell>
          <cell r="AF2247">
            <v>0.25</v>
          </cell>
          <cell r="AG2247">
            <v>0.25</v>
          </cell>
          <cell r="AH2247">
            <v>0.25</v>
          </cell>
          <cell r="AI2247">
            <v>0.25</v>
          </cell>
          <cell r="AJ2247">
            <v>0.25</v>
          </cell>
          <cell r="AK2247">
            <v>0.25</v>
          </cell>
          <cell r="AL2247">
            <v>0.25</v>
          </cell>
          <cell r="AM2247">
            <v>0.25</v>
          </cell>
          <cell r="AN2247">
            <v>0.25</v>
          </cell>
          <cell r="AO2247">
            <v>0.25</v>
          </cell>
          <cell r="AP2247">
            <v>0.25</v>
          </cell>
          <cell r="AQ2247">
            <v>0.25</v>
          </cell>
          <cell r="AR2247">
            <v>0.25</v>
          </cell>
          <cell r="AS2247">
            <v>0.25</v>
          </cell>
          <cell r="AT2247">
            <v>-0.04</v>
          </cell>
          <cell r="AU2247">
            <v>0.92</v>
          </cell>
          <cell r="AV2247">
            <v>20</v>
          </cell>
          <cell r="AZ2247">
            <v>0.25</v>
          </cell>
          <cell r="BA2247">
            <v>0.25</v>
          </cell>
        </row>
        <row r="2248">
          <cell r="A2248" t="str">
            <v>SERRAMENTI 2 C S.R.L.</v>
          </cell>
          <cell r="D2248" t="str">
            <v>I TRAV. MURILLO CARDITO, 10</v>
          </cell>
          <cell r="E2248" t="str">
            <v>80021</v>
          </cell>
          <cell r="F2248" t="str">
            <v>AFRAGOLA</v>
          </cell>
          <cell r="G2248" t="str">
            <v>NA</v>
          </cell>
          <cell r="H2248" t="str">
            <v>ITALIA</v>
          </cell>
          <cell r="M2248" t="str">
            <v>UFFICIO ACQUISTI</v>
          </cell>
          <cell r="N2248" t="str">
            <v>081 8525840</v>
          </cell>
          <cell r="O2248" t="str">
            <v>Nicola 335 1362891  Angelo 335 1362894</v>
          </cell>
          <cell r="P2248" t="str">
            <v>info@serramenti2c.it</v>
          </cell>
          <cell r="R2248" t="str">
            <v>BONIFICO BANCARIO, ALLA DATA DELLA NOSTRA CONFERMA D'ORDINE</v>
          </cell>
          <cell r="X2248">
            <v>0.25</v>
          </cell>
          <cell r="Y2248">
            <v>-0.04</v>
          </cell>
          <cell r="AB2248">
            <v>0.25</v>
          </cell>
          <cell r="AC2248">
            <v>0.25</v>
          </cell>
          <cell r="AD2248">
            <v>0.25</v>
          </cell>
          <cell r="AE2248">
            <v>0.25</v>
          </cell>
          <cell r="AF2248">
            <v>0.25</v>
          </cell>
          <cell r="AG2248">
            <v>0.25</v>
          </cell>
          <cell r="AH2248">
            <v>0.25</v>
          </cell>
          <cell r="AI2248">
            <v>0.25</v>
          </cell>
          <cell r="AJ2248">
            <v>0.25</v>
          </cell>
          <cell r="AK2248">
            <v>0.25</v>
          </cell>
          <cell r="AL2248">
            <v>0.25</v>
          </cell>
          <cell r="AM2248">
            <v>0.25</v>
          </cell>
          <cell r="AN2248">
            <v>0.25</v>
          </cell>
          <cell r="AO2248">
            <v>0.25</v>
          </cell>
          <cell r="AP2248">
            <v>0.25</v>
          </cell>
          <cell r="AQ2248">
            <v>0.25</v>
          </cell>
          <cell r="AR2248">
            <v>0.25</v>
          </cell>
          <cell r="AS2248">
            <v>0.25</v>
          </cell>
          <cell r="AT2248">
            <v>-0.04</v>
          </cell>
          <cell r="AU2248">
            <v>0.92</v>
          </cell>
          <cell r="AV2248">
            <v>20</v>
          </cell>
          <cell r="AZ2248">
            <v>0.25</v>
          </cell>
          <cell r="BA2248">
            <v>0.25</v>
          </cell>
        </row>
        <row r="2249">
          <cell r="A2249" t="str">
            <v>SERRAMENTI 2P</v>
          </cell>
          <cell r="D2249" t="str">
            <v>VIA TIRSO 2 B</v>
          </cell>
          <cell r="E2249">
            <v>73100</v>
          </cell>
          <cell r="F2249" t="str">
            <v>LECCE</v>
          </cell>
          <cell r="G2249" t="str">
            <v>LE</v>
          </cell>
          <cell r="H2249" t="str">
            <v>ITALIA</v>
          </cell>
          <cell r="J2249" t="str">
            <v>03900080759</v>
          </cell>
          <cell r="M2249" t="str">
            <v>UFFICIO ACQUISTI</v>
          </cell>
          <cell r="N2249" t="str">
            <v>0832 1797015</v>
          </cell>
          <cell r="O2249">
            <v>3891842544</v>
          </cell>
          <cell r="P2249" t="str">
            <v>info@serramenti2p.com</v>
          </cell>
          <cell r="R2249" t="str">
            <v>BONIFICO BANCARIO, ALLA DATA DELLA NOSTRA CONFERMA D'ORDINE</v>
          </cell>
          <cell r="X2249">
            <v>0.25</v>
          </cell>
          <cell r="Y2249">
            <v>-0.04</v>
          </cell>
          <cell r="AB2249">
            <v>0.25</v>
          </cell>
          <cell r="AC2249">
            <v>0.25</v>
          </cell>
          <cell r="AD2249">
            <v>0.25</v>
          </cell>
          <cell r="AE2249">
            <v>0.25</v>
          </cell>
          <cell r="AF2249">
            <v>0.25</v>
          </cell>
          <cell r="AG2249">
            <v>0.25</v>
          </cell>
          <cell r="AH2249">
            <v>0.25</v>
          </cell>
          <cell r="AI2249">
            <v>0.25</v>
          </cell>
          <cell r="AJ2249">
            <v>0.25</v>
          </cell>
          <cell r="AK2249">
            <v>0.25</v>
          </cell>
          <cell r="AL2249">
            <v>0.25</v>
          </cell>
          <cell r="AM2249">
            <v>0.25</v>
          </cell>
          <cell r="AN2249">
            <v>0.25</v>
          </cell>
          <cell r="AO2249">
            <v>0.25</v>
          </cell>
          <cell r="AP2249">
            <v>0.25</v>
          </cell>
          <cell r="AQ2249">
            <v>0.25</v>
          </cell>
          <cell r="AR2249">
            <v>0.25</v>
          </cell>
          <cell r="AS2249">
            <v>0.25</v>
          </cell>
          <cell r="AT2249">
            <v>-0.04</v>
          </cell>
          <cell r="AU2249">
            <v>0.92</v>
          </cell>
          <cell r="AV2249">
            <v>20</v>
          </cell>
          <cell r="AZ2249">
            <v>0.25</v>
          </cell>
          <cell r="BA2249">
            <v>0.25</v>
          </cell>
        </row>
        <row r="2250">
          <cell r="A2250" t="str">
            <v>SERRAMENTI ALBARESTAURI SRLS</v>
          </cell>
          <cell r="D2250" t="str">
            <v>VIA BRUNACCI 9/A</v>
          </cell>
          <cell r="E2250" t="str">
            <v>30175</v>
          </cell>
          <cell r="F2250" t="str">
            <v>MARGHERA</v>
          </cell>
          <cell r="G2250" t="str">
            <v>VE</v>
          </cell>
          <cell r="H2250" t="str">
            <v>ITALIA</v>
          </cell>
          <cell r="J2250" t="str">
            <v>04505680274</v>
          </cell>
          <cell r="M2250" t="str">
            <v>UFFICIO ACQUISTI</v>
          </cell>
          <cell r="N2250" t="str">
            <v>041 8012206</v>
          </cell>
          <cell r="O2250" t="str">
            <v>392 5971736</v>
          </cell>
          <cell r="P2250" t="str">
            <v>info@albarestauri.it</v>
          </cell>
          <cell r="R2250" t="str">
            <v>BONIFICO BANCARIO, ALLA DATA DELLA NOSTRA CONFERMA D'ORDINE</v>
          </cell>
          <cell r="X2250">
            <v>0.25</v>
          </cell>
          <cell r="Y2250">
            <v>-0.04</v>
          </cell>
          <cell r="AB2250">
            <v>0.25</v>
          </cell>
          <cell r="AC2250">
            <v>0.25</v>
          </cell>
          <cell r="AD2250">
            <v>0.25</v>
          </cell>
          <cell r="AE2250">
            <v>0.25</v>
          </cell>
          <cell r="AF2250">
            <v>0.25</v>
          </cell>
          <cell r="AG2250">
            <v>0.25</v>
          </cell>
          <cell r="AH2250">
            <v>0.25</v>
          </cell>
          <cell r="AI2250">
            <v>0.25</v>
          </cell>
          <cell r="AJ2250">
            <v>0.25</v>
          </cell>
          <cell r="AK2250">
            <v>0.25</v>
          </cell>
          <cell r="AL2250">
            <v>0.25</v>
          </cell>
          <cell r="AM2250">
            <v>0.25</v>
          </cell>
          <cell r="AN2250">
            <v>0.25</v>
          </cell>
          <cell r="AO2250">
            <v>0.25</v>
          </cell>
          <cell r="AP2250">
            <v>0.25</v>
          </cell>
          <cell r="AQ2250">
            <v>0.25</v>
          </cell>
          <cell r="AR2250">
            <v>0.25</v>
          </cell>
          <cell r="AS2250">
            <v>0.25</v>
          </cell>
          <cell r="AT2250">
            <v>-0.04</v>
          </cell>
          <cell r="AU2250">
            <v>0.92</v>
          </cell>
          <cell r="AV2250">
            <v>20</v>
          </cell>
          <cell r="AZ2250">
            <v>0.25</v>
          </cell>
          <cell r="BA2250">
            <v>0.25</v>
          </cell>
        </row>
        <row r="2251">
          <cell r="A2251" t="str">
            <v xml:space="preserve">SERRAMENTI ALLUMINIA </v>
          </cell>
          <cell r="B2251" t="str">
            <v>LASCIATO DEPLIAN -MP</v>
          </cell>
          <cell r="D2251" t="str">
            <v>VIA PASTEUR 311</v>
          </cell>
          <cell r="E2251">
            <v>18012</v>
          </cell>
          <cell r="F2251" t="str">
            <v>BORDIGHERA</v>
          </cell>
          <cell r="G2251" t="str">
            <v>IM</v>
          </cell>
          <cell r="H2251" t="str">
            <v>ITALIA</v>
          </cell>
          <cell r="I2251" t="str">
            <v>01092060084</v>
          </cell>
          <cell r="J2251" t="str">
            <v>01092060084</v>
          </cell>
          <cell r="M2251" t="str">
            <v>UFFICIO ACQUISTI</v>
          </cell>
          <cell r="N2251" t="str">
            <v>0184 253125</v>
          </cell>
          <cell r="P2251" t="str">
            <v>info@aserramenti.com</v>
          </cell>
          <cell r="R2251" t="str">
            <v>BONIFICO BANCARIO, ALLA DATA DELLA NOSTRA CONFERMA D'ORDINE</v>
          </cell>
          <cell r="X2251">
            <v>0.25</v>
          </cell>
          <cell r="Y2251">
            <v>-0.04</v>
          </cell>
          <cell r="AB2251">
            <v>0.25</v>
          </cell>
          <cell r="AC2251">
            <v>0.25</v>
          </cell>
          <cell r="AD2251">
            <v>0.25</v>
          </cell>
          <cell r="AE2251">
            <v>0.25</v>
          </cell>
          <cell r="AF2251">
            <v>0.25</v>
          </cell>
          <cell r="AG2251">
            <v>0.25</v>
          </cell>
          <cell r="AH2251">
            <v>0.25</v>
          </cell>
          <cell r="AI2251">
            <v>0.25</v>
          </cell>
          <cell r="AJ2251">
            <v>0.25</v>
          </cell>
          <cell r="AK2251">
            <v>0.25</v>
          </cell>
          <cell r="AL2251">
            <v>0.25</v>
          </cell>
          <cell r="AM2251">
            <v>0.25</v>
          </cell>
          <cell r="AN2251">
            <v>0.25</v>
          </cell>
          <cell r="AO2251">
            <v>0.25</v>
          </cell>
          <cell r="AP2251">
            <v>0.25</v>
          </cell>
          <cell r="AQ2251">
            <v>0.25</v>
          </cell>
          <cell r="AR2251">
            <v>0.25</v>
          </cell>
          <cell r="AS2251">
            <v>0.25</v>
          </cell>
          <cell r="AT2251">
            <v>-0.04</v>
          </cell>
          <cell r="AU2251">
            <v>0.92</v>
          </cell>
          <cell r="AV2251">
            <v>20</v>
          </cell>
          <cell r="AZ2251">
            <v>0.25</v>
          </cell>
          <cell r="BA2251">
            <v>0.25</v>
          </cell>
        </row>
        <row r="2252">
          <cell r="A2252" t="str">
            <v>SERRAMENTI ALLUMINIO E FERRO NATALE CALDERONE</v>
          </cell>
          <cell r="D2252" t="str">
            <v>VIA TRENTO, 85</v>
          </cell>
          <cell r="F2252" t="str">
            <v>BROLO</v>
          </cell>
          <cell r="G2252" t="str">
            <v>ME</v>
          </cell>
          <cell r="H2252" t="str">
            <v>ITALIA</v>
          </cell>
          <cell r="J2252" t="str">
            <v>01934380831</v>
          </cell>
          <cell r="M2252" t="str">
            <v>UFFICIO ACQUISTI</v>
          </cell>
          <cell r="N2252" t="str">
            <v>0941 562829</v>
          </cell>
          <cell r="O2252" t="str">
            <v>330 844564</v>
          </cell>
          <cell r="R2252" t="str">
            <v>BONIFICO BANCARIO, ALLA DATA DELLA NOSTRA CONFERMA D'ORDINE</v>
          </cell>
          <cell r="X2252">
            <v>0.25</v>
          </cell>
          <cell r="Y2252">
            <v>-0.04</v>
          </cell>
          <cell r="AB2252">
            <v>0.25</v>
          </cell>
          <cell r="AC2252">
            <v>0.25</v>
          </cell>
          <cell r="AD2252">
            <v>0.25</v>
          </cell>
          <cell r="AE2252">
            <v>0.25</v>
          </cell>
          <cell r="AF2252">
            <v>0.25</v>
          </cell>
          <cell r="AG2252">
            <v>0.25</v>
          </cell>
          <cell r="AH2252">
            <v>0.25</v>
          </cell>
          <cell r="AI2252">
            <v>0.25</v>
          </cell>
          <cell r="AJ2252">
            <v>0.25</v>
          </cell>
          <cell r="AK2252">
            <v>0.25</v>
          </cell>
          <cell r="AL2252">
            <v>0.25</v>
          </cell>
          <cell r="AM2252">
            <v>0.25</v>
          </cell>
          <cell r="AN2252">
            <v>0.25</v>
          </cell>
          <cell r="AO2252">
            <v>0.25</v>
          </cell>
          <cell r="AP2252">
            <v>0.25</v>
          </cell>
          <cell r="AQ2252">
            <v>0.25</v>
          </cell>
          <cell r="AR2252">
            <v>0.25</v>
          </cell>
          <cell r="AS2252">
            <v>0.25</v>
          </cell>
          <cell r="AT2252">
            <v>-0.04</v>
          </cell>
          <cell r="AU2252">
            <v>0.92</v>
          </cell>
          <cell r="AV2252">
            <v>20</v>
          </cell>
          <cell r="AZ2252">
            <v>0.25</v>
          </cell>
          <cell r="BA2252">
            <v>0.25</v>
          </cell>
        </row>
        <row r="2253">
          <cell r="A2253" t="str">
            <v>SERRAMENTI ALLUMINIO s.r.l.</v>
          </cell>
          <cell r="D2253" t="str">
            <v>VIA E. ALLIATA, 41</v>
          </cell>
          <cell r="E2253">
            <v>90014</v>
          </cell>
          <cell r="F2253" t="str">
            <v>CASTELDACCIA</v>
          </cell>
          <cell r="G2253" t="str">
            <v>PA</v>
          </cell>
          <cell r="H2253" t="str">
            <v>ITALIA</v>
          </cell>
          <cell r="M2253" t="str">
            <v>UFFICIO ACQUISTI</v>
          </cell>
          <cell r="N2253" t="str">
            <v>091 953506</v>
          </cell>
          <cell r="O2253" t="str">
            <v>339 6963459 - 320 2498374</v>
          </cell>
          <cell r="P2253" t="str">
            <v>gcb.serramenti@hotmail.it</v>
          </cell>
          <cell r="R2253" t="str">
            <v>BONIFICO BANCARIO, ALLA DATA DELLA NOSTRA CONFERMA D'ORDINE</v>
          </cell>
          <cell r="X2253">
            <v>0.25</v>
          </cell>
          <cell r="Y2253">
            <v>-0.04</v>
          </cell>
          <cell r="AB2253">
            <v>0.25</v>
          </cell>
          <cell r="AC2253">
            <v>0.25</v>
          </cell>
          <cell r="AD2253">
            <v>0.25</v>
          </cell>
          <cell r="AE2253">
            <v>0.25</v>
          </cell>
          <cell r="AF2253">
            <v>0.25</v>
          </cell>
          <cell r="AG2253">
            <v>0.25</v>
          </cell>
          <cell r="AH2253">
            <v>0.25</v>
          </cell>
          <cell r="AI2253">
            <v>0.25</v>
          </cell>
          <cell r="AJ2253">
            <v>0.25</v>
          </cell>
          <cell r="AK2253">
            <v>0.25</v>
          </cell>
          <cell r="AL2253">
            <v>0.25</v>
          </cell>
          <cell r="AM2253">
            <v>0.25</v>
          </cell>
          <cell r="AN2253">
            <v>0.25</v>
          </cell>
          <cell r="AO2253">
            <v>0.25</v>
          </cell>
          <cell r="AP2253">
            <v>0.25</v>
          </cell>
          <cell r="AQ2253">
            <v>0.25</v>
          </cell>
          <cell r="AR2253">
            <v>0.25</v>
          </cell>
          <cell r="AS2253">
            <v>0.25</v>
          </cell>
          <cell r="AT2253">
            <v>-0.04</v>
          </cell>
          <cell r="AU2253">
            <v>0.92</v>
          </cell>
          <cell r="AV2253">
            <v>20</v>
          </cell>
          <cell r="AZ2253">
            <v>0.25</v>
          </cell>
          <cell r="BA2253">
            <v>0.25</v>
          </cell>
        </row>
        <row r="2254">
          <cell r="A2254" t="str">
            <v>SERRAMENTI BALDASSIN</v>
          </cell>
          <cell r="D2254" t="str">
            <v>VIA P. E. VENTURINI 3</v>
          </cell>
          <cell r="E2254" t="str">
            <v>30015</v>
          </cell>
          <cell r="F2254" t="str">
            <v>CHIOGGIA</v>
          </cell>
          <cell r="G2254" t="str">
            <v>VE</v>
          </cell>
          <cell r="H2254" t="str">
            <v>ITALIA</v>
          </cell>
          <cell r="J2254" t="str">
            <v>04208750275</v>
          </cell>
          <cell r="M2254" t="str">
            <v>UFFICIO ACQUISTI</v>
          </cell>
          <cell r="N2254" t="str">
            <v>346 3506321</v>
          </cell>
          <cell r="P2254" t="str">
            <v>serramentibaldassin@libero.it</v>
          </cell>
          <cell r="R2254" t="str">
            <v>BONIFICO BANCARIO, ALLA DATA DELLA NOSTRA CONFERMA D'ORDINE</v>
          </cell>
          <cell r="X2254">
            <v>0.25</v>
          </cell>
          <cell r="Y2254">
            <v>-0.04</v>
          </cell>
          <cell r="AB2254">
            <v>0.25</v>
          </cell>
          <cell r="AC2254">
            <v>0.25</v>
          </cell>
          <cell r="AD2254">
            <v>0.25</v>
          </cell>
          <cell r="AE2254">
            <v>0.25</v>
          </cell>
          <cell r="AF2254">
            <v>0.25</v>
          </cell>
          <cell r="AG2254">
            <v>0.25</v>
          </cell>
          <cell r="AH2254">
            <v>0.25</v>
          </cell>
          <cell r="AI2254">
            <v>0.25</v>
          </cell>
          <cell r="AJ2254">
            <v>0.25</v>
          </cell>
          <cell r="AK2254">
            <v>0.25</v>
          </cell>
          <cell r="AL2254">
            <v>0.25</v>
          </cell>
          <cell r="AM2254">
            <v>0.25</v>
          </cell>
          <cell r="AN2254">
            <v>0.25</v>
          </cell>
          <cell r="AO2254">
            <v>0.25</v>
          </cell>
          <cell r="AP2254">
            <v>0.25</v>
          </cell>
          <cell r="AQ2254">
            <v>0.25</v>
          </cell>
          <cell r="AR2254">
            <v>0.25</v>
          </cell>
          <cell r="AS2254">
            <v>0.25</v>
          </cell>
          <cell r="AT2254">
            <v>-0.04</v>
          </cell>
          <cell r="AU2254">
            <v>0.92</v>
          </cell>
          <cell r="AV2254">
            <v>20</v>
          </cell>
          <cell r="AZ2254">
            <v>0.25</v>
          </cell>
          <cell r="BA2254">
            <v>0.25</v>
          </cell>
        </row>
        <row r="2255">
          <cell r="A2255" t="str">
            <v xml:space="preserve">SERRAMENTI BALESTRA DI ROBERTO E CLAUDIO SNC </v>
          </cell>
          <cell r="D2255" t="str">
            <v>VIA BRESCIA, 13</v>
          </cell>
          <cell r="E2255" t="str">
            <v>25036</v>
          </cell>
          <cell r="F2255" t="str">
            <v>PALAZZOLO SULL'OGLIO</v>
          </cell>
          <cell r="G2255" t="str">
            <v>BS</v>
          </cell>
          <cell r="H2255" t="str">
            <v>ITALIA</v>
          </cell>
          <cell r="M2255" t="str">
            <v>UFFICIO ACQUISTI</v>
          </cell>
          <cell r="N2255" t="str">
            <v>035 846783</v>
          </cell>
          <cell r="O2255" t="str">
            <v>339 1612201</v>
          </cell>
          <cell r="P2255" t="str">
            <v>balestrasnc@alice.it</v>
          </cell>
          <cell r="R2255" t="str">
            <v>BONIFICO BANCARIO, ALLA DATA DELLA NOSTRA CONFERMA D'ORDINE</v>
          </cell>
          <cell r="Y2255">
            <v>-0.04</v>
          </cell>
          <cell r="AT2255">
            <v>-0.04</v>
          </cell>
          <cell r="AV2255">
            <v>20</v>
          </cell>
          <cell r="AZ2255">
            <v>0</v>
          </cell>
          <cell r="BA2255">
            <v>0</v>
          </cell>
        </row>
        <row r="2256">
          <cell r="A2256" t="str">
            <v>SERRAMENTI BARSACCHI</v>
          </cell>
          <cell r="D2256" t="str">
            <v>VIA DI GOLETTA, 54</v>
          </cell>
          <cell r="E2256">
            <v>56121</v>
          </cell>
          <cell r="F2256" t="str">
            <v>PISA</v>
          </cell>
          <cell r="G2256" t="str">
            <v>PI</v>
          </cell>
          <cell r="H2256" t="str">
            <v>ITALIA</v>
          </cell>
          <cell r="M2256" t="str">
            <v>UFFICIO ACQUISTI</v>
          </cell>
          <cell r="N2256" t="str">
            <v>050 28232</v>
          </cell>
          <cell r="O2256" t="str">
            <v>339 5396300</v>
          </cell>
          <cell r="P2256" t="str">
            <v>serramentibarsacchi@gmail.com</v>
          </cell>
          <cell r="R2256" t="str">
            <v>BONIFICO BANCARIO, ALLA DATA DELLA NOSTRA CONFERMA D'ORDINE</v>
          </cell>
          <cell r="X2256">
            <v>0.25</v>
          </cell>
          <cell r="Y2256">
            <v>-0.04</v>
          </cell>
          <cell r="AB2256">
            <v>0.25</v>
          </cell>
          <cell r="AC2256">
            <v>0.25</v>
          </cell>
          <cell r="AD2256">
            <v>0.25</v>
          </cell>
          <cell r="AE2256">
            <v>0.25</v>
          </cell>
          <cell r="AF2256">
            <v>0.25</v>
          </cell>
          <cell r="AG2256">
            <v>0.25</v>
          </cell>
          <cell r="AH2256">
            <v>0.25</v>
          </cell>
          <cell r="AI2256">
            <v>0.25</v>
          </cell>
          <cell r="AJ2256">
            <v>0.25</v>
          </cell>
          <cell r="AK2256">
            <v>0.25</v>
          </cell>
          <cell r="AL2256">
            <v>0.25</v>
          </cell>
          <cell r="AM2256">
            <v>0.25</v>
          </cell>
          <cell r="AN2256">
            <v>0.25</v>
          </cell>
          <cell r="AO2256">
            <v>0.25</v>
          </cell>
          <cell r="AP2256">
            <v>0.25</v>
          </cell>
          <cell r="AQ2256">
            <v>0.25</v>
          </cell>
          <cell r="AR2256">
            <v>0.25</v>
          </cell>
          <cell r="AS2256">
            <v>0.25</v>
          </cell>
          <cell r="AT2256">
            <v>-0.04</v>
          </cell>
          <cell r="AU2256">
            <v>0.92</v>
          </cell>
          <cell r="AV2256">
            <v>20</v>
          </cell>
          <cell r="AZ2256">
            <v>0.25</v>
          </cell>
          <cell r="BA2256">
            <v>0.25</v>
          </cell>
        </row>
        <row r="2257">
          <cell r="A2257" t="str">
            <v xml:space="preserve">SERRAMENTI BELTRAME </v>
          </cell>
          <cell r="D2257" t="str">
            <v>VIA A. MALIGNANI 13</v>
          </cell>
          <cell r="E2257" t="str">
            <v>30028</v>
          </cell>
          <cell r="F2257" t="str">
            <v>SAN MICHELE AL TAGLIAMENTO</v>
          </cell>
          <cell r="G2257" t="str">
            <v>VE</v>
          </cell>
          <cell r="H2257" t="str">
            <v>ITALIA</v>
          </cell>
          <cell r="M2257" t="str">
            <v>UFFICIO ACQUISTI</v>
          </cell>
          <cell r="N2257" t="str">
            <v>0431 43581</v>
          </cell>
          <cell r="O2257" t="str">
            <v>348 6040081</v>
          </cell>
          <cell r="P2257" t="str">
            <v>info@serramentibeltrame.it</v>
          </cell>
          <cell r="R2257" t="str">
            <v>BONIFICO BANCARIO, ALLA DATA DELLA NOSTRA CONFERMA D'ORDINE</v>
          </cell>
          <cell r="X2257">
            <v>0.25</v>
          </cell>
          <cell r="Y2257">
            <v>-0.04</v>
          </cell>
          <cell r="AB2257">
            <v>0.25</v>
          </cell>
          <cell r="AC2257">
            <v>0.25</v>
          </cell>
          <cell r="AD2257">
            <v>0.25</v>
          </cell>
          <cell r="AE2257">
            <v>0.25</v>
          </cell>
          <cell r="AF2257">
            <v>0.25</v>
          </cell>
          <cell r="AG2257">
            <v>0.25</v>
          </cell>
          <cell r="AH2257">
            <v>0.25</v>
          </cell>
          <cell r="AI2257">
            <v>0.25</v>
          </cell>
          <cell r="AJ2257">
            <v>0.25</v>
          </cell>
          <cell r="AK2257">
            <v>0.25</v>
          </cell>
          <cell r="AL2257">
            <v>0.25</v>
          </cell>
          <cell r="AM2257">
            <v>0.25</v>
          </cell>
          <cell r="AN2257">
            <v>0.25</v>
          </cell>
          <cell r="AO2257">
            <v>0.25</v>
          </cell>
          <cell r="AP2257">
            <v>0.25</v>
          </cell>
          <cell r="AQ2257">
            <v>0.25</v>
          </cell>
          <cell r="AR2257">
            <v>0.25</v>
          </cell>
          <cell r="AS2257">
            <v>0.25</v>
          </cell>
          <cell r="AT2257">
            <v>-0.04</v>
          </cell>
          <cell r="AU2257">
            <v>0.92</v>
          </cell>
          <cell r="AV2257">
            <v>20</v>
          </cell>
          <cell r="AZ2257">
            <v>0.25</v>
          </cell>
          <cell r="BA2257">
            <v>0.25</v>
          </cell>
        </row>
        <row r="2258">
          <cell r="A2258" t="str">
            <v>SERRAMENTI BOLDRINI</v>
          </cell>
          <cell r="D2258" t="str">
            <v>VIA V. WOOLF 8</v>
          </cell>
          <cell r="E2258" t="str">
            <v>44124</v>
          </cell>
          <cell r="F2258" t="str">
            <v xml:space="preserve">FERRARA </v>
          </cell>
          <cell r="G2258" t="str">
            <v>FE</v>
          </cell>
          <cell r="H2258" t="str">
            <v>ITALIA</v>
          </cell>
          <cell r="M2258" t="str">
            <v>UFFICIO ACQUISTI</v>
          </cell>
          <cell r="N2258" t="str">
            <v>0532 741043</v>
          </cell>
          <cell r="R2258" t="str">
            <v>BONIFICO BANCARIO, ALLA DATA DELLA NOSTRA CONFERMA D'ORDINE</v>
          </cell>
          <cell r="X2258">
            <v>0.25</v>
          </cell>
          <cell r="Y2258">
            <v>-0.04</v>
          </cell>
          <cell r="AB2258">
            <v>0.25</v>
          </cell>
          <cell r="AC2258">
            <v>0.25</v>
          </cell>
          <cell r="AD2258">
            <v>0.25</v>
          </cell>
          <cell r="AE2258">
            <v>0.25</v>
          </cell>
          <cell r="AF2258">
            <v>0.25</v>
          </cell>
          <cell r="AG2258">
            <v>0.25</v>
          </cell>
          <cell r="AH2258">
            <v>0.25</v>
          </cell>
          <cell r="AI2258">
            <v>0.25</v>
          </cell>
          <cell r="AJ2258">
            <v>0.25</v>
          </cell>
          <cell r="AK2258">
            <v>0.25</v>
          </cell>
          <cell r="AL2258">
            <v>0.25</v>
          </cell>
          <cell r="AM2258">
            <v>0.25</v>
          </cell>
          <cell r="AN2258">
            <v>0.25</v>
          </cell>
          <cell r="AO2258">
            <v>0.25</v>
          </cell>
          <cell r="AP2258">
            <v>0.25</v>
          </cell>
          <cell r="AQ2258">
            <v>0.25</v>
          </cell>
          <cell r="AR2258">
            <v>0.25</v>
          </cell>
          <cell r="AS2258">
            <v>0.25</v>
          </cell>
          <cell r="AT2258">
            <v>-0.04</v>
          </cell>
          <cell r="AU2258">
            <v>0.92</v>
          </cell>
          <cell r="AV2258">
            <v>20</v>
          </cell>
          <cell r="AZ2258">
            <v>0.25</v>
          </cell>
          <cell r="BA2258">
            <v>0.25</v>
          </cell>
        </row>
        <row r="2259">
          <cell r="A2259" t="str">
            <v>SERRAMENTI BRAGANTE SRL</v>
          </cell>
          <cell r="D2259" t="str">
            <v>VIA ERIDANIA OVEST, 219 A</v>
          </cell>
          <cell r="E2259" t="str">
            <v>45030</v>
          </cell>
          <cell r="F2259" t="str">
            <v>GUARDA VENETA</v>
          </cell>
          <cell r="G2259" t="str">
            <v>RO</v>
          </cell>
          <cell r="H2259" t="str">
            <v>ITALIA</v>
          </cell>
          <cell r="J2259" t="str">
            <v>00970350294</v>
          </cell>
          <cell r="M2259" t="str">
            <v>UFFICIO ACQUISTI</v>
          </cell>
          <cell r="N2259" t="str">
            <v>0425 487125</v>
          </cell>
          <cell r="P2259" t="str">
            <v>info@braganteserramenti.com</v>
          </cell>
          <cell r="R2259" t="str">
            <v>BONIFICO BANCARIO, ALLA DATA DELLA NOSTRA CONFERMA D'ORDINE</v>
          </cell>
          <cell r="X2259">
            <v>0.25</v>
          </cell>
          <cell r="Y2259">
            <v>-0.04</v>
          </cell>
          <cell r="AB2259">
            <v>0.25</v>
          </cell>
          <cell r="AC2259">
            <v>0.25</v>
          </cell>
          <cell r="AD2259">
            <v>0.25</v>
          </cell>
          <cell r="AE2259">
            <v>0.25</v>
          </cell>
          <cell r="AF2259">
            <v>0.25</v>
          </cell>
          <cell r="AG2259">
            <v>0.25</v>
          </cell>
          <cell r="AH2259">
            <v>0.25</v>
          </cell>
          <cell r="AI2259">
            <v>0.25</v>
          </cell>
          <cell r="AJ2259">
            <v>0.25</v>
          </cell>
          <cell r="AK2259">
            <v>0.25</v>
          </cell>
          <cell r="AL2259">
            <v>0.25</v>
          </cell>
          <cell r="AM2259">
            <v>0.25</v>
          </cell>
          <cell r="AN2259">
            <v>0.25</v>
          </cell>
          <cell r="AO2259">
            <v>0.25</v>
          </cell>
          <cell r="AP2259">
            <v>0.25</v>
          </cell>
          <cell r="AQ2259">
            <v>0.25</v>
          </cell>
          <cell r="AR2259">
            <v>0.25</v>
          </cell>
          <cell r="AS2259">
            <v>0.25</v>
          </cell>
          <cell r="AT2259">
            <v>-0.04</v>
          </cell>
          <cell r="AU2259">
            <v>0.92</v>
          </cell>
          <cell r="AV2259">
            <v>20</v>
          </cell>
          <cell r="AZ2259">
            <v>0.25</v>
          </cell>
          <cell r="BA2259">
            <v>0.25</v>
          </cell>
        </row>
        <row r="2260">
          <cell r="A2260" t="str">
            <v>SERRAMENTI BRESSAN</v>
          </cell>
          <cell r="B2260" t="str">
            <v>BUONO</v>
          </cell>
          <cell r="D2260" t="str">
            <v xml:space="preserve">VIA BARCHETTA, 2052 D </v>
          </cell>
          <cell r="F2260" t="str">
            <v xml:space="preserve">VILLA D'ADIGE </v>
          </cell>
          <cell r="G2260" t="str">
            <v>RO</v>
          </cell>
          <cell r="H2260" t="str">
            <v>ITALIA</v>
          </cell>
          <cell r="I2260" t="str">
            <v>BRSSDR69H30F394Q</v>
          </cell>
          <cell r="J2260" t="str">
            <v>04247910237</v>
          </cell>
          <cell r="M2260" t="str">
            <v>UFFICIO ACQUISTI</v>
          </cell>
          <cell r="N2260" t="str">
            <v>0425 599139</v>
          </cell>
          <cell r="O2260" t="str">
            <v>349 8500609</v>
          </cell>
          <cell r="P2260" t="str">
            <v>sandro.serramentibressan@gmail.com</v>
          </cell>
          <cell r="R2260" t="str">
            <v>BONIFICO BANCARIO, ALLA DATA DELLA NOSTRA CONFERMA D'ORDINE</v>
          </cell>
          <cell r="X2260">
            <v>0.25</v>
          </cell>
          <cell r="Y2260">
            <v>-0.04</v>
          </cell>
          <cell r="AB2260">
            <v>0.25</v>
          </cell>
          <cell r="AC2260">
            <v>0.25</v>
          </cell>
          <cell r="AD2260">
            <v>0.25</v>
          </cell>
          <cell r="AE2260">
            <v>0.25</v>
          </cell>
          <cell r="AF2260">
            <v>0.25</v>
          </cell>
          <cell r="AG2260">
            <v>0.25</v>
          </cell>
          <cell r="AH2260">
            <v>0.25</v>
          </cell>
          <cell r="AI2260">
            <v>0.25</v>
          </cell>
          <cell r="AJ2260">
            <v>0.25</v>
          </cell>
          <cell r="AK2260">
            <v>0.25</v>
          </cell>
          <cell r="AL2260">
            <v>0.25</v>
          </cell>
          <cell r="AM2260">
            <v>0.25</v>
          </cell>
          <cell r="AN2260">
            <v>0.25</v>
          </cell>
          <cell r="AO2260">
            <v>0.25</v>
          </cell>
          <cell r="AP2260">
            <v>0.25</v>
          </cell>
          <cell r="AQ2260">
            <v>0.25</v>
          </cell>
          <cell r="AR2260">
            <v>0.25</v>
          </cell>
          <cell r="AS2260">
            <v>0.25</v>
          </cell>
          <cell r="AT2260">
            <v>-0.04</v>
          </cell>
          <cell r="AU2260">
            <v>0.92</v>
          </cell>
          <cell r="AV2260">
            <v>20</v>
          </cell>
          <cell r="AZ2260">
            <v>0.25</v>
          </cell>
          <cell r="BA2260">
            <v>0.25</v>
          </cell>
        </row>
        <row r="2261">
          <cell r="A2261" t="str">
            <v>SERRAMENTI CALDON DI CALDON MARCO &amp; C SNC</v>
          </cell>
          <cell r="B2261" t="str">
            <v>RIVENDITORE ACQUASTOP 05/12 NO RISP 14/12 PARLATO CON TITOLARE. MANDATA MAIL. AVEVA MOLTA FRETTA. RICHIAMARE CON NUOVO ANNO E SPIEGARE MIGLIORIE</v>
          </cell>
          <cell r="D2261" t="str">
            <v>VIA UGO POLONIO 2</v>
          </cell>
          <cell r="E2261" t="str">
            <v>35129</v>
          </cell>
          <cell r="F2261" t="str">
            <v>PADOVA</v>
          </cell>
          <cell r="G2261" t="str">
            <v>PD</v>
          </cell>
          <cell r="H2261" t="str">
            <v>ITALIA</v>
          </cell>
          <cell r="J2261" t="str">
            <v>02609800285</v>
          </cell>
          <cell r="M2261" t="str">
            <v>UFFICIO ACQUISTI</v>
          </cell>
          <cell r="N2261" t="str">
            <v>049 606410</v>
          </cell>
          <cell r="O2261" t="str">
            <v>333 2805910</v>
          </cell>
          <cell r="P2261" t="str">
            <v>info@serramenticaldon.com; info.ve@serramenticaldon.com</v>
          </cell>
          <cell r="R2261" t="str">
            <v>BONIFICO BANCARIO, ALLA DATA DELLA NOSTRA CONFERMA D'ORDINE</v>
          </cell>
          <cell r="X2261">
            <v>0.25</v>
          </cell>
          <cell r="Y2261">
            <v>-0.04</v>
          </cell>
          <cell r="AB2261">
            <v>0.25</v>
          </cell>
          <cell r="AC2261">
            <v>0.25</v>
          </cell>
          <cell r="AD2261">
            <v>0.25</v>
          </cell>
          <cell r="AE2261">
            <v>0.25</v>
          </cell>
          <cell r="AF2261">
            <v>0.25</v>
          </cell>
          <cell r="AG2261">
            <v>0.25</v>
          </cell>
          <cell r="AH2261">
            <v>0.25</v>
          </cell>
          <cell r="AI2261">
            <v>0.25</v>
          </cell>
          <cell r="AJ2261">
            <v>0.25</v>
          </cell>
          <cell r="AK2261">
            <v>0.25</v>
          </cell>
          <cell r="AL2261">
            <v>0.25</v>
          </cell>
          <cell r="AM2261">
            <v>0.25</v>
          </cell>
          <cell r="AN2261">
            <v>0.25</v>
          </cell>
          <cell r="AO2261">
            <v>0.25</v>
          </cell>
          <cell r="AP2261">
            <v>0.25</v>
          </cell>
          <cell r="AQ2261">
            <v>0.25</v>
          </cell>
          <cell r="AR2261">
            <v>0.25</v>
          </cell>
          <cell r="AS2261">
            <v>0.25</v>
          </cell>
          <cell r="AT2261">
            <v>-0.04</v>
          </cell>
          <cell r="AU2261">
            <v>0.92</v>
          </cell>
          <cell r="AV2261">
            <v>20</v>
          </cell>
          <cell r="AZ2261">
            <v>0.25</v>
          </cell>
          <cell r="BA2261">
            <v>0.25</v>
          </cell>
        </row>
        <row r="2262">
          <cell r="A2262" t="str">
            <v>SERRAMENTI CAROLLO THIENE SNC</v>
          </cell>
          <cell r="D2262" t="str">
            <v>VIA VITTORIO VENETO, 25</v>
          </cell>
          <cell r="E2262">
            <v>36016</v>
          </cell>
          <cell r="F2262" t="str">
            <v>THIENE</v>
          </cell>
          <cell r="G2262" t="str">
            <v>VI</v>
          </cell>
          <cell r="H2262" t="str">
            <v>ITALIA</v>
          </cell>
          <cell r="J2262" t="str">
            <v>02908900240</v>
          </cell>
          <cell r="M2262" t="str">
            <v>UFFICIO ACQUISTI</v>
          </cell>
          <cell r="N2262" t="str">
            <v>0445 361156</v>
          </cell>
          <cell r="O2262" t="str">
            <v>Claudio 328 0266662  Dario 328 3799382</v>
          </cell>
          <cell r="P2262" t="str">
            <v>info@serramenticarollothiene.it</v>
          </cell>
          <cell r="R2262" t="str">
            <v>BONIFICO BANCARIO, ALLA DATA DELLA NOSTRA CONFERMA D'ORDINE</v>
          </cell>
          <cell r="X2262">
            <v>0.25</v>
          </cell>
          <cell r="Y2262">
            <v>-0.04</v>
          </cell>
          <cell r="AB2262">
            <v>0.25</v>
          </cell>
          <cell r="AC2262">
            <v>0.25</v>
          </cell>
          <cell r="AD2262">
            <v>0.25</v>
          </cell>
          <cell r="AE2262">
            <v>0.25</v>
          </cell>
          <cell r="AF2262">
            <v>0.25</v>
          </cell>
          <cell r="AG2262">
            <v>0.25</v>
          </cell>
          <cell r="AH2262">
            <v>0.25</v>
          </cell>
          <cell r="AI2262">
            <v>0.25</v>
          </cell>
          <cell r="AJ2262">
            <v>0.25</v>
          </cell>
          <cell r="AK2262">
            <v>0.25</v>
          </cell>
          <cell r="AL2262">
            <v>0.25</v>
          </cell>
          <cell r="AM2262">
            <v>0.25</v>
          </cell>
          <cell r="AN2262">
            <v>0.25</v>
          </cell>
          <cell r="AO2262">
            <v>0.25</v>
          </cell>
          <cell r="AP2262">
            <v>0.25</v>
          </cell>
          <cell r="AQ2262">
            <v>0.25</v>
          </cell>
          <cell r="AR2262">
            <v>0.25</v>
          </cell>
          <cell r="AS2262">
            <v>0.25</v>
          </cell>
          <cell r="AT2262">
            <v>-0.04</v>
          </cell>
          <cell r="AU2262">
            <v>0.92</v>
          </cell>
          <cell r="AV2262">
            <v>20</v>
          </cell>
          <cell r="AZ2262">
            <v>0.25</v>
          </cell>
          <cell r="BA2262">
            <v>0.25</v>
          </cell>
        </row>
        <row r="2263">
          <cell r="A2263" t="str">
            <v>SERRAMENTI CLO' SNC</v>
          </cell>
          <cell r="B2263" t="str">
            <v>BUONO</v>
          </cell>
          <cell r="D2263" t="str">
            <v>VIA PO, 6</v>
          </cell>
          <cell r="E2263">
            <v>41057</v>
          </cell>
          <cell r="F2263" t="str">
            <v>SPILAMBERTO</v>
          </cell>
          <cell r="G2263" t="str">
            <v>MO</v>
          </cell>
          <cell r="H2263" t="str">
            <v>ITALIA</v>
          </cell>
          <cell r="M2263" t="str">
            <v>UFFICIO ACQUISTI</v>
          </cell>
          <cell r="N2263" t="str">
            <v>059 784307</v>
          </cell>
          <cell r="R2263" t="str">
            <v>BONIFICO BANCARIO, ALLA DATA DELLA NOSTRA CONFERMA D'ORDINE</v>
          </cell>
          <cell r="X2263">
            <v>0.25</v>
          </cell>
          <cell r="Y2263">
            <v>-0.04</v>
          </cell>
          <cell r="AB2263">
            <v>0.25</v>
          </cell>
          <cell r="AC2263">
            <v>0.25</v>
          </cell>
          <cell r="AD2263">
            <v>0.25</v>
          </cell>
          <cell r="AE2263">
            <v>0.25</v>
          </cell>
          <cell r="AF2263">
            <v>0.25</v>
          </cell>
          <cell r="AG2263">
            <v>0.25</v>
          </cell>
          <cell r="AH2263">
            <v>0.25</v>
          </cell>
          <cell r="AI2263">
            <v>0.25</v>
          </cell>
          <cell r="AJ2263">
            <v>0.25</v>
          </cell>
          <cell r="AK2263">
            <v>0.25</v>
          </cell>
          <cell r="AL2263">
            <v>0.25</v>
          </cell>
          <cell r="AM2263">
            <v>0.25</v>
          </cell>
          <cell r="AN2263">
            <v>0.25</v>
          </cell>
          <cell r="AO2263">
            <v>0.25</v>
          </cell>
          <cell r="AP2263">
            <v>0.25</v>
          </cell>
          <cell r="AQ2263">
            <v>0.25</v>
          </cell>
          <cell r="AR2263">
            <v>0.25</v>
          </cell>
          <cell r="AS2263">
            <v>0.25</v>
          </cell>
          <cell r="AT2263">
            <v>-0.04</v>
          </cell>
          <cell r="AU2263">
            <v>0.92</v>
          </cell>
          <cell r="AV2263">
            <v>20</v>
          </cell>
          <cell r="AZ2263">
            <v>0.25</v>
          </cell>
          <cell r="BA2263">
            <v>0.25</v>
          </cell>
        </row>
        <row r="2264">
          <cell r="A2264" t="str">
            <v>SERRAMENTI CLO' SNC DI VALENTINI MAURO E C.</v>
          </cell>
          <cell r="D2264" t="str">
            <v>VIA PO, 6</v>
          </cell>
          <cell r="E2264" t="str">
            <v>41057</v>
          </cell>
          <cell r="F2264" t="str">
            <v>SPILAMBERTO</v>
          </cell>
          <cell r="G2264" t="str">
            <v>MO</v>
          </cell>
          <cell r="H2264" t="str">
            <v>ITALIA</v>
          </cell>
          <cell r="M2264" t="str">
            <v>UFFICIO ACQUISTI</v>
          </cell>
          <cell r="N2264" t="str">
            <v>059 784307</v>
          </cell>
          <cell r="P2264" t="str">
            <v>info@serramenticlo.it</v>
          </cell>
          <cell r="R2264" t="str">
            <v>BONIFICO BANCARIO, ALLA DATA DELLA NOSTRA CONFERMA D'ORDINE</v>
          </cell>
          <cell r="X2264">
            <v>0.25</v>
          </cell>
          <cell r="Y2264">
            <v>-0.04</v>
          </cell>
          <cell r="AB2264">
            <v>0.25</v>
          </cell>
          <cell r="AC2264">
            <v>0.25</v>
          </cell>
          <cell r="AD2264">
            <v>0.25</v>
          </cell>
          <cell r="AE2264">
            <v>0.25</v>
          </cell>
          <cell r="AF2264">
            <v>0.25</v>
          </cell>
          <cell r="AG2264">
            <v>0.25</v>
          </cell>
          <cell r="AH2264">
            <v>0.25</v>
          </cell>
          <cell r="AI2264">
            <v>0.25</v>
          </cell>
          <cell r="AJ2264">
            <v>0.25</v>
          </cell>
          <cell r="AK2264">
            <v>0.25</v>
          </cell>
          <cell r="AL2264">
            <v>0.25</v>
          </cell>
          <cell r="AM2264">
            <v>0.25</v>
          </cell>
          <cell r="AN2264">
            <v>0.25</v>
          </cell>
          <cell r="AO2264">
            <v>0.25</v>
          </cell>
          <cell r="AP2264">
            <v>0.25</v>
          </cell>
          <cell r="AQ2264">
            <v>0.25</v>
          </cell>
          <cell r="AR2264">
            <v>0.25</v>
          </cell>
          <cell r="AS2264">
            <v>0.25</v>
          </cell>
          <cell r="AT2264">
            <v>-0.04</v>
          </cell>
          <cell r="AU2264">
            <v>0.92</v>
          </cell>
          <cell r="AV2264">
            <v>20</v>
          </cell>
          <cell r="AZ2264">
            <v>0.25</v>
          </cell>
          <cell r="BA2264">
            <v>0.25</v>
          </cell>
        </row>
        <row r="2265">
          <cell r="A2265" t="str">
            <v>SERRAMENTI DE PAOLA SRL</v>
          </cell>
          <cell r="D2265" t="str">
            <v>VIA PIANO DELLE QUERCE, 17</v>
          </cell>
          <cell r="E2265" t="str">
            <v>88833</v>
          </cell>
          <cell r="F2265" t="str">
            <v>CERENZIA</v>
          </cell>
          <cell r="G2265" t="str">
            <v>KR</v>
          </cell>
          <cell r="H2265" t="str">
            <v>ITALIA</v>
          </cell>
          <cell r="J2265" t="str">
            <v>03656440793</v>
          </cell>
          <cell r="M2265" t="str">
            <v>UFFICIO ACQUISTI</v>
          </cell>
          <cell r="N2265" t="str">
            <v>0984 995455</v>
          </cell>
          <cell r="O2265" t="str">
            <v>347 7504804 carmine de paola</v>
          </cell>
          <cell r="P2265" t="str">
            <v>serramentidepaola@alice.it</v>
          </cell>
          <cell r="R2265" t="str">
            <v>BONIFICO BANCARIO, ALLA DATA DELLA NOSTRA CONFERMA D'ORDINE</v>
          </cell>
          <cell r="X2265">
            <v>0.25</v>
          </cell>
          <cell r="Y2265">
            <v>-0.04</v>
          </cell>
          <cell r="AB2265">
            <v>0.25</v>
          </cell>
          <cell r="AC2265">
            <v>0.25</v>
          </cell>
          <cell r="AD2265">
            <v>0.25</v>
          </cell>
          <cell r="AE2265">
            <v>0.25</v>
          </cell>
          <cell r="AF2265">
            <v>0.25</v>
          </cell>
          <cell r="AG2265">
            <v>0.25</v>
          </cell>
          <cell r="AH2265">
            <v>0.25</v>
          </cell>
          <cell r="AI2265">
            <v>0.25</v>
          </cell>
          <cell r="AJ2265">
            <v>0.25</v>
          </cell>
          <cell r="AK2265">
            <v>0.25</v>
          </cell>
          <cell r="AL2265">
            <v>0.25</v>
          </cell>
          <cell r="AM2265">
            <v>0.25</v>
          </cell>
          <cell r="AN2265">
            <v>0.25</v>
          </cell>
          <cell r="AO2265">
            <v>0.25</v>
          </cell>
          <cell r="AP2265">
            <v>0.25</v>
          </cell>
          <cell r="AQ2265">
            <v>0.25</v>
          </cell>
          <cell r="AR2265">
            <v>0.25</v>
          </cell>
          <cell r="AS2265">
            <v>0.25</v>
          </cell>
          <cell r="AT2265">
            <v>-0.04</v>
          </cell>
          <cell r="AU2265">
            <v>0.92</v>
          </cell>
          <cell r="AV2265">
            <v>20</v>
          </cell>
          <cell r="AW2265" t="str">
            <v>PIETRO OLIVADOTI</v>
          </cell>
          <cell r="AX2265">
            <v>0.95</v>
          </cell>
          <cell r="AZ2265">
            <v>0.25</v>
          </cell>
          <cell r="BA2265">
            <v>0.25</v>
          </cell>
        </row>
        <row r="2266">
          <cell r="A2266" t="str">
            <v>SERRAMENTI DEGANO &amp; C SNC</v>
          </cell>
          <cell r="D2266" t="str">
            <v>VIA COLLOREDO 152/A</v>
          </cell>
          <cell r="E2266" t="str">
            <v>33037</v>
          </cell>
          <cell r="F2266" t="str">
            <v>PASIAN DI PRATO</v>
          </cell>
          <cell r="G2266" t="str">
            <v>UD</v>
          </cell>
          <cell r="H2266" t="str">
            <v>ITALIA</v>
          </cell>
          <cell r="J2266" t="str">
            <v>01090110303</v>
          </cell>
          <cell r="M2266" t="str">
            <v>UFFICIO ACQUISTI</v>
          </cell>
          <cell r="N2266" t="str">
            <v>0432 699094</v>
          </cell>
          <cell r="P2266" t="str">
            <v>info@serramentidegano.it</v>
          </cell>
          <cell r="R2266" t="str">
            <v>BONIFICO BANCARIO, ALLA DATA DELLA NOSTRA CONFERMA D'ORDINE</v>
          </cell>
          <cell r="X2266">
            <v>0.25</v>
          </cell>
          <cell r="Y2266">
            <v>-0.04</v>
          </cell>
          <cell r="AB2266">
            <v>0.25</v>
          </cell>
          <cell r="AC2266">
            <v>0.25</v>
          </cell>
          <cell r="AD2266">
            <v>0.25</v>
          </cell>
          <cell r="AE2266">
            <v>0.25</v>
          </cell>
          <cell r="AF2266">
            <v>0.25</v>
          </cell>
          <cell r="AG2266">
            <v>0.25</v>
          </cell>
          <cell r="AH2266">
            <v>0.25</v>
          </cell>
          <cell r="AI2266">
            <v>0.25</v>
          </cell>
          <cell r="AJ2266">
            <v>0.25</v>
          </cell>
          <cell r="AK2266">
            <v>0.25</v>
          </cell>
          <cell r="AL2266">
            <v>0.25</v>
          </cell>
          <cell r="AM2266">
            <v>0.25</v>
          </cell>
          <cell r="AN2266">
            <v>0.25</v>
          </cell>
          <cell r="AO2266">
            <v>0.25</v>
          </cell>
          <cell r="AP2266">
            <v>0.25</v>
          </cell>
          <cell r="AQ2266">
            <v>0.25</v>
          </cell>
          <cell r="AR2266">
            <v>0.25</v>
          </cell>
          <cell r="AS2266">
            <v>0.25</v>
          </cell>
          <cell r="AT2266">
            <v>-0.04</v>
          </cell>
          <cell r="AU2266">
            <v>0.92</v>
          </cell>
          <cell r="AV2266">
            <v>20</v>
          </cell>
          <cell r="AZ2266">
            <v>0.25</v>
          </cell>
          <cell r="BA2266">
            <v>0.25</v>
          </cell>
        </row>
        <row r="2267">
          <cell r="A2267" t="str">
            <v>SERRAMENTI DEL CHIESE</v>
          </cell>
          <cell r="B2267" t="str">
            <v xml:space="preserve">PRODUTTORE FA PARTE DI UN GRUPPO GRANDE </v>
          </cell>
          <cell r="D2267" t="str">
            <v>VIA ROMA, 70</v>
          </cell>
          <cell r="E2267" t="str">
            <v>46040</v>
          </cell>
          <cell r="F2267" t="str">
            <v>CASALROMANO</v>
          </cell>
          <cell r="G2267" t="str">
            <v>MN</v>
          </cell>
          <cell r="H2267" t="str">
            <v>ITALIA</v>
          </cell>
          <cell r="M2267" t="str">
            <v>UFFICIO ACQUISTI</v>
          </cell>
          <cell r="O2267" t="str">
            <v>347 2170332</v>
          </cell>
          <cell r="P2267" t="str">
            <v>massimo.marsico@serramentidelchiese.it</v>
          </cell>
          <cell r="R2267" t="str">
            <v>BONIFICO BANCARIO, ALLA DATA DELLA NOSTRA CONFERMA D'ORDINE</v>
          </cell>
          <cell r="X2267">
            <v>0.25</v>
          </cell>
          <cell r="Y2267">
            <v>-0.04</v>
          </cell>
          <cell r="AB2267">
            <v>0.25</v>
          </cell>
          <cell r="AC2267">
            <v>0.25</v>
          </cell>
          <cell r="AD2267">
            <v>0.25</v>
          </cell>
          <cell r="AE2267">
            <v>0.25</v>
          </cell>
          <cell r="AF2267">
            <v>0.25</v>
          </cell>
          <cell r="AG2267">
            <v>0.25</v>
          </cell>
          <cell r="AH2267">
            <v>0.25</v>
          </cell>
          <cell r="AI2267">
            <v>0.25</v>
          </cell>
          <cell r="AJ2267">
            <v>0.25</v>
          </cell>
          <cell r="AK2267">
            <v>0.25</v>
          </cell>
          <cell r="AL2267">
            <v>0.25</v>
          </cell>
          <cell r="AM2267">
            <v>0.25</v>
          </cell>
          <cell r="AN2267">
            <v>0.25</v>
          </cell>
          <cell r="AO2267">
            <v>0.25</v>
          </cell>
          <cell r="AP2267">
            <v>0.25</v>
          </cell>
          <cell r="AQ2267">
            <v>0.25</v>
          </cell>
          <cell r="AR2267">
            <v>0.25</v>
          </cell>
          <cell r="AS2267">
            <v>0.25</v>
          </cell>
          <cell r="AT2267">
            <v>-0.04</v>
          </cell>
          <cell r="AU2267">
            <v>0.92</v>
          </cell>
          <cell r="AV2267">
            <v>20</v>
          </cell>
          <cell r="AZ2267">
            <v>0.25</v>
          </cell>
          <cell r="BA2267">
            <v>0.25</v>
          </cell>
        </row>
        <row r="2268">
          <cell r="A2268" t="str">
            <v>SERRAMENTI DELTA DI POLITO PAOLO</v>
          </cell>
          <cell r="D2268" t="str">
            <v>VIA CASTELLO, 6551/A</v>
          </cell>
          <cell r="E2268">
            <v>30122</v>
          </cell>
          <cell r="F2268" t="str">
            <v>VENEZIA</v>
          </cell>
          <cell r="G2268" t="str">
            <v>VE</v>
          </cell>
          <cell r="H2268" t="str">
            <v>ITALIA</v>
          </cell>
          <cell r="I2268" t="str">
            <v>PLTPLA61H26L736N</v>
          </cell>
          <cell r="J2268" t="str">
            <v>04212630273</v>
          </cell>
          <cell r="K2268" t="str">
            <v>P62QHVQ</v>
          </cell>
          <cell r="M2268" t="str">
            <v>UFFICIO ACQUISTI</v>
          </cell>
          <cell r="O2268" t="str">
            <v>347 6489465 POLITO PAOLO</v>
          </cell>
          <cell r="P2268" t="str">
            <v>serramentidelta@libero.it</v>
          </cell>
          <cell r="R2268" t="str">
            <v>BONIFICO BANCARIO, ALLA DATA DELLA NOSTRA CONFERMA D'ORDINE</v>
          </cell>
          <cell r="W2268" t="str">
            <v>ACQUA SALATA</v>
          </cell>
          <cell r="X2268">
            <v>0.25</v>
          </cell>
          <cell r="Y2268">
            <v>-0.04</v>
          </cell>
          <cell r="AB2268">
            <v>0.25</v>
          </cell>
          <cell r="AC2268">
            <v>0.25</v>
          </cell>
          <cell r="AD2268">
            <v>0.25</v>
          </cell>
          <cell r="AE2268">
            <v>0.25</v>
          </cell>
          <cell r="AF2268">
            <v>0.25</v>
          </cell>
          <cell r="AG2268">
            <v>0.25</v>
          </cell>
          <cell r="AH2268">
            <v>0.25</v>
          </cell>
          <cell r="AI2268">
            <v>0.25</v>
          </cell>
          <cell r="AJ2268">
            <v>0.25</v>
          </cell>
          <cell r="AK2268">
            <v>0.25</v>
          </cell>
          <cell r="AL2268">
            <v>0.25</v>
          </cell>
          <cell r="AM2268">
            <v>0.25</v>
          </cell>
          <cell r="AN2268">
            <v>0.25</v>
          </cell>
          <cell r="AO2268">
            <v>0.25</v>
          </cell>
          <cell r="AP2268">
            <v>0.25</v>
          </cell>
          <cell r="AQ2268">
            <v>0.25</v>
          </cell>
          <cell r="AR2268">
            <v>0.25</v>
          </cell>
          <cell r="AS2268">
            <v>0.25</v>
          </cell>
          <cell r="AT2268">
            <v>-0.04</v>
          </cell>
          <cell r="AU2268">
            <v>0.92</v>
          </cell>
          <cell r="AV2268">
            <v>20</v>
          </cell>
          <cell r="AZ2268">
            <v>0.25</v>
          </cell>
          <cell r="BA2268">
            <v>0.25</v>
          </cell>
          <cell r="BF2268" t="str">
            <v>CLICK RAPID con carpenteria 01/01/2021</v>
          </cell>
        </row>
        <row r="2269">
          <cell r="A2269" t="str">
            <v>SERRAMENTI DESIGN MICHELETTO DAVIDE</v>
          </cell>
          <cell r="B2269" t="str">
            <v>OKNOPLAST ANDARE ALTRO NEGOZIO  VIALE TRIESTE, 263  265 VICENZA</v>
          </cell>
          <cell r="D2269" t="str">
            <v>VIA SORTE, 46</v>
          </cell>
          <cell r="E2269">
            <v>37047</v>
          </cell>
          <cell r="F2269" t="str">
            <v xml:space="preserve">SAN BONIFACIO </v>
          </cell>
          <cell r="G2269" t="str">
            <v>VR</v>
          </cell>
          <cell r="H2269" t="str">
            <v>ITALIA</v>
          </cell>
          <cell r="I2269" t="str">
            <v>04275720235</v>
          </cell>
          <cell r="J2269" t="str">
            <v>04275720235</v>
          </cell>
          <cell r="M2269" t="str">
            <v>UFFICIO ACQUISTI</v>
          </cell>
          <cell r="N2269" t="str">
            <v>0444 513126</v>
          </cell>
          <cell r="O2269" t="str">
            <v>338 1399228</v>
          </cell>
          <cell r="P2269" t="str">
            <v>info@serramentidesignvr.com</v>
          </cell>
          <cell r="R2269" t="str">
            <v>BONIFICO BANCARIO, ALLA DATA DELLA NOSTRA CONFERMA D'ORDINE</v>
          </cell>
          <cell r="X2269">
            <v>0.25</v>
          </cell>
          <cell r="Y2269">
            <v>-0.04</v>
          </cell>
          <cell r="AB2269">
            <v>0.25</v>
          </cell>
          <cell r="AC2269">
            <v>0.25</v>
          </cell>
          <cell r="AD2269">
            <v>0.25</v>
          </cell>
          <cell r="AE2269">
            <v>0.25</v>
          </cell>
          <cell r="AF2269">
            <v>0.25</v>
          </cell>
          <cell r="AG2269">
            <v>0.25</v>
          </cell>
          <cell r="AH2269">
            <v>0.25</v>
          </cell>
          <cell r="AI2269">
            <v>0.25</v>
          </cell>
          <cell r="AJ2269">
            <v>0.25</v>
          </cell>
          <cell r="AK2269">
            <v>0.25</v>
          </cell>
          <cell r="AL2269">
            <v>0.25</v>
          </cell>
          <cell r="AM2269">
            <v>0.25</v>
          </cell>
          <cell r="AN2269">
            <v>0.25</v>
          </cell>
          <cell r="AO2269">
            <v>0.25</v>
          </cell>
          <cell r="AP2269">
            <v>0.25</v>
          </cell>
          <cell r="AQ2269">
            <v>0.25</v>
          </cell>
          <cell r="AR2269">
            <v>0.25</v>
          </cell>
          <cell r="AS2269">
            <v>0.25</v>
          </cell>
          <cell r="AT2269">
            <v>-0.04</v>
          </cell>
          <cell r="AU2269">
            <v>0.92</v>
          </cell>
          <cell r="AV2269">
            <v>20</v>
          </cell>
          <cell r="AZ2269">
            <v>0.25</v>
          </cell>
          <cell r="BA2269">
            <v>0.25</v>
          </cell>
        </row>
        <row r="2270">
          <cell r="A2270" t="str">
            <v>SERRAMENTI DGA</v>
          </cell>
          <cell r="D2270" t="str">
            <v>VIA SUSA, 38 A</v>
          </cell>
          <cell r="E2270">
            <v>10050</v>
          </cell>
          <cell r="F2270" t="str">
            <v>CHIUSA DI SAN MICHELE</v>
          </cell>
          <cell r="G2270" t="str">
            <v>TO</v>
          </cell>
          <cell r="H2270" t="str">
            <v>ITALIA</v>
          </cell>
          <cell r="M2270" t="str">
            <v>UFFICIO ACQUISTI</v>
          </cell>
          <cell r="N2270" t="str">
            <v>011 9366017</v>
          </cell>
          <cell r="P2270" t="str">
            <v>info@serramentidga.it</v>
          </cell>
          <cell r="R2270" t="str">
            <v>BONIFICO BANCARIO, ALLA DATA DELLA NOSTRA CONFERMA D'ORDINE</v>
          </cell>
          <cell r="X2270">
            <v>0.25</v>
          </cell>
          <cell r="Y2270">
            <v>-0.04</v>
          </cell>
          <cell r="AB2270">
            <v>0.25</v>
          </cell>
          <cell r="AC2270">
            <v>0.25</v>
          </cell>
          <cell r="AD2270">
            <v>0.25</v>
          </cell>
          <cell r="AE2270">
            <v>0.25</v>
          </cell>
          <cell r="AF2270">
            <v>0.25</v>
          </cell>
          <cell r="AG2270">
            <v>0.25</v>
          </cell>
          <cell r="AH2270">
            <v>0.25</v>
          </cell>
          <cell r="AI2270">
            <v>0.25</v>
          </cell>
          <cell r="AJ2270">
            <v>0.25</v>
          </cell>
          <cell r="AK2270">
            <v>0.25</v>
          </cell>
          <cell r="AL2270">
            <v>0.25</v>
          </cell>
          <cell r="AM2270">
            <v>0.25</v>
          </cell>
          <cell r="AN2270">
            <v>0.25</v>
          </cell>
          <cell r="AO2270">
            <v>0.25</v>
          </cell>
          <cell r="AP2270">
            <v>0.25</v>
          </cell>
          <cell r="AQ2270">
            <v>0.25</v>
          </cell>
          <cell r="AR2270">
            <v>0.25</v>
          </cell>
          <cell r="AS2270">
            <v>0.25</v>
          </cell>
          <cell r="AT2270">
            <v>-0.04</v>
          </cell>
          <cell r="AU2270">
            <v>0.92</v>
          </cell>
          <cell r="AV2270">
            <v>20</v>
          </cell>
          <cell r="AZ2270">
            <v>0.25</v>
          </cell>
          <cell r="BA2270">
            <v>0.25</v>
          </cell>
        </row>
        <row r="2271">
          <cell r="A2271" t="str">
            <v>SERRAMENTI DI CIAMPI E MAZZONI</v>
          </cell>
          <cell r="D2271" t="str">
            <v>VIA ETRURIA,18</v>
          </cell>
          <cell r="E2271">
            <v>56021</v>
          </cell>
          <cell r="F2271" t="str">
            <v>CASCINA</v>
          </cell>
          <cell r="G2271" t="str">
            <v>PI</v>
          </cell>
          <cell r="H2271" t="str">
            <v>ITALIA</v>
          </cell>
          <cell r="J2271" t="str">
            <v>01400700504</v>
          </cell>
          <cell r="M2271" t="str">
            <v>UFFICIO ACQUISTI</v>
          </cell>
          <cell r="N2271" t="str">
            <v>050 701999</v>
          </cell>
          <cell r="P2271" t="str">
            <v>info@serramenticascina.com</v>
          </cell>
          <cell r="R2271" t="str">
            <v>BONIFICO BANCARIO, ALLA DATA DELLA NOSTRA CONFERMA D'ORDINE</v>
          </cell>
          <cell r="X2271">
            <v>0.25</v>
          </cell>
          <cell r="Y2271">
            <v>-0.04</v>
          </cell>
          <cell r="AB2271">
            <v>0.25</v>
          </cell>
          <cell r="AC2271">
            <v>0.25</v>
          </cell>
          <cell r="AD2271">
            <v>0.25</v>
          </cell>
          <cell r="AE2271">
            <v>0.25</v>
          </cell>
          <cell r="AF2271">
            <v>0.25</v>
          </cell>
          <cell r="AG2271">
            <v>0.25</v>
          </cell>
          <cell r="AH2271">
            <v>0.25</v>
          </cell>
          <cell r="AI2271">
            <v>0.25</v>
          </cell>
          <cell r="AJ2271">
            <v>0.25</v>
          </cell>
          <cell r="AK2271">
            <v>0.25</v>
          </cell>
          <cell r="AL2271">
            <v>0.25</v>
          </cell>
          <cell r="AM2271">
            <v>0.25</v>
          </cell>
          <cell r="AN2271">
            <v>0.25</v>
          </cell>
          <cell r="AO2271">
            <v>0.25</v>
          </cell>
          <cell r="AP2271">
            <v>0.25</v>
          </cell>
          <cell r="AQ2271">
            <v>0.25</v>
          </cell>
          <cell r="AR2271">
            <v>0.25</v>
          </cell>
          <cell r="AS2271">
            <v>0.25</v>
          </cell>
          <cell r="AT2271">
            <v>-0.04</v>
          </cell>
          <cell r="AU2271">
            <v>0.92</v>
          </cell>
          <cell r="AV2271">
            <v>20</v>
          </cell>
          <cell r="AZ2271">
            <v>0.25</v>
          </cell>
          <cell r="BA2271">
            <v>0.25</v>
          </cell>
        </row>
        <row r="2272">
          <cell r="A2272" t="str">
            <v>SERRAMENTI DI COMMISSO MICHELE</v>
          </cell>
          <cell r="D2272" t="str">
            <v>VIA CIRCONVALLAZIONE NORD, 58</v>
          </cell>
          <cell r="E2272" t="str">
            <v>89048</v>
          </cell>
          <cell r="F2272" t="str">
            <v>SIDERNO</v>
          </cell>
          <cell r="G2272" t="str">
            <v>RC</v>
          </cell>
          <cell r="H2272" t="str">
            <v>ITALIA</v>
          </cell>
          <cell r="M2272" t="str">
            <v>UFFICIO ACQUISTI</v>
          </cell>
          <cell r="N2272" t="str">
            <v>0964 388034</v>
          </cell>
          <cell r="R2272" t="str">
            <v>BONIFICO BANCARIO, ALLA DATA DELLA NOSTRA CONFERMA D'ORDINE</v>
          </cell>
          <cell r="X2272">
            <v>0.25</v>
          </cell>
          <cell r="Y2272">
            <v>-0.04</v>
          </cell>
          <cell r="AB2272">
            <v>0.25</v>
          </cell>
          <cell r="AC2272">
            <v>0.25</v>
          </cell>
          <cell r="AD2272">
            <v>0.25</v>
          </cell>
          <cell r="AE2272">
            <v>0.25</v>
          </cell>
          <cell r="AF2272">
            <v>0.25</v>
          </cell>
          <cell r="AG2272">
            <v>0.25</v>
          </cell>
          <cell r="AH2272">
            <v>0.25</v>
          </cell>
          <cell r="AI2272">
            <v>0.25</v>
          </cell>
          <cell r="AJ2272">
            <v>0.25</v>
          </cell>
          <cell r="AK2272">
            <v>0.25</v>
          </cell>
          <cell r="AL2272">
            <v>0.25</v>
          </cell>
          <cell r="AM2272">
            <v>0.25</v>
          </cell>
          <cell r="AN2272">
            <v>0.25</v>
          </cell>
          <cell r="AO2272">
            <v>0.25</v>
          </cell>
          <cell r="AP2272">
            <v>0.25</v>
          </cell>
          <cell r="AQ2272">
            <v>0.25</v>
          </cell>
          <cell r="AR2272">
            <v>0.25</v>
          </cell>
          <cell r="AS2272">
            <v>0.25</v>
          </cell>
          <cell r="AT2272">
            <v>-0.04</v>
          </cell>
          <cell r="AU2272">
            <v>0.92</v>
          </cell>
          <cell r="AV2272">
            <v>20</v>
          </cell>
          <cell r="AW2272" t="str">
            <v>PIETRO OLIVADOTI</v>
          </cell>
          <cell r="AX2272">
            <v>0.95</v>
          </cell>
          <cell r="AZ2272">
            <v>0.25</v>
          </cell>
          <cell r="BA2272">
            <v>0.25</v>
          </cell>
        </row>
        <row r="2273">
          <cell r="A2273" t="str">
            <v>SERRAMENTI DI EMANUELE ROBERTO</v>
          </cell>
          <cell r="D2273" t="str">
            <v>VIA MULINETTI DI PEGLI, 10 R</v>
          </cell>
          <cell r="E2273">
            <v>16155</v>
          </cell>
          <cell r="F2273" t="str">
            <v>GENOVA - PEGLI</v>
          </cell>
          <cell r="G2273" t="str">
            <v>GE</v>
          </cell>
          <cell r="H2273" t="str">
            <v>ITALIA</v>
          </cell>
          <cell r="I2273" t="str">
            <v>MNLRRT71C18D969R</v>
          </cell>
          <cell r="J2273" t="str">
            <v>03357280100</v>
          </cell>
          <cell r="M2273" t="str">
            <v>UFFICIO ACQUISTI</v>
          </cell>
          <cell r="N2273" t="str">
            <v>010 6982884</v>
          </cell>
          <cell r="O2273" t="str">
            <v>333 4759659</v>
          </cell>
          <cell r="P2273" t="str">
            <v>omse26@libero.it</v>
          </cell>
          <cell r="R2273" t="str">
            <v>BONIFICO BANCARIO, ALLA DATA DELLA NOSTRA CONFERMA D'ORDINE</v>
          </cell>
          <cell r="X2273">
            <v>0.25</v>
          </cell>
          <cell r="Y2273">
            <v>-0.04</v>
          </cell>
          <cell r="AB2273">
            <v>0.25</v>
          </cell>
          <cell r="AC2273">
            <v>0.25</v>
          </cell>
          <cell r="AD2273">
            <v>0.25</v>
          </cell>
          <cell r="AE2273">
            <v>0.25</v>
          </cell>
          <cell r="AF2273">
            <v>0.25</v>
          </cell>
          <cell r="AG2273">
            <v>0.25</v>
          </cell>
          <cell r="AH2273">
            <v>0.25</v>
          </cell>
          <cell r="AI2273">
            <v>0.25</v>
          </cell>
          <cell r="AJ2273">
            <v>0.25</v>
          </cell>
          <cell r="AK2273">
            <v>0.25</v>
          </cell>
          <cell r="AL2273">
            <v>0.25</v>
          </cell>
          <cell r="AM2273">
            <v>0.25</v>
          </cell>
          <cell r="AN2273">
            <v>0.25</v>
          </cell>
          <cell r="AO2273">
            <v>0.25</v>
          </cell>
          <cell r="AP2273">
            <v>0.25</v>
          </cell>
          <cell r="AQ2273">
            <v>0.25</v>
          </cell>
          <cell r="AR2273">
            <v>0.25</v>
          </cell>
          <cell r="AS2273">
            <v>0.25</v>
          </cell>
          <cell r="AT2273">
            <v>-0.04</v>
          </cell>
          <cell r="AU2273">
            <v>0.92</v>
          </cell>
          <cell r="AV2273">
            <v>20</v>
          </cell>
          <cell r="AZ2273">
            <v>0.25</v>
          </cell>
          <cell r="BA2273">
            <v>0.25</v>
          </cell>
        </row>
        <row r="2274">
          <cell r="A2274" t="str">
            <v>SERRAMENTI DINAMICI SRL</v>
          </cell>
          <cell r="B2274" t="str">
            <v xml:space="preserve">MOLTO BUONO - FEDERICA </v>
          </cell>
          <cell r="D2274" t="str">
            <v>VIA O. DI FAZIO, SNC</v>
          </cell>
          <cell r="E2274" t="str">
            <v>02100</v>
          </cell>
          <cell r="F2274" t="str">
            <v>RIETI</v>
          </cell>
          <cell r="G2274" t="str">
            <v>RI</v>
          </cell>
          <cell r="H2274" t="str">
            <v>ITALIA</v>
          </cell>
          <cell r="J2274" t="str">
            <v>10143221009</v>
          </cell>
          <cell r="M2274" t="str">
            <v>UFFICIO ACQUISTI</v>
          </cell>
          <cell r="N2274" t="str">
            <v>0746 228255</v>
          </cell>
          <cell r="P2274" t="str">
            <v>serramentidinamici@gmail.com</v>
          </cell>
          <cell r="R2274" t="str">
            <v>BONIFICO BANCARIO, ALLA DATA DELLA NOSTRA CONFERMA D'ORDINE</v>
          </cell>
          <cell r="Y2274">
            <v>-0.04</v>
          </cell>
          <cell r="AT2274">
            <v>-0.04</v>
          </cell>
          <cell r="AV2274">
            <v>20</v>
          </cell>
          <cell r="AZ2274">
            <v>0</v>
          </cell>
          <cell r="BA2274">
            <v>0</v>
          </cell>
        </row>
        <row r="2275">
          <cell r="A2275" t="str">
            <v>SERRAMENTI E DESIGN</v>
          </cell>
          <cell r="D2275" t="str">
            <v>VIA VERONESE 14</v>
          </cell>
          <cell r="E2275" t="str">
            <v>60019</v>
          </cell>
          <cell r="F2275" t="str">
            <v>SENIGALLIA</v>
          </cell>
          <cell r="G2275" t="str">
            <v>AN</v>
          </cell>
          <cell r="H2275" t="str">
            <v>ITALIA</v>
          </cell>
          <cell r="M2275" t="str">
            <v>UFFICIO ACQUISTI</v>
          </cell>
          <cell r="N2275" t="str">
            <v>0712117518</v>
          </cell>
          <cell r="O2275" t="str">
            <v>334 9596096</v>
          </cell>
          <cell r="R2275" t="str">
            <v>BONIFICO BANCARIO, ALLA DATA DELLA NOSTRA CONFERMA D'ORDINE</v>
          </cell>
          <cell r="X2275">
            <v>0.25</v>
          </cell>
          <cell r="Y2275">
            <v>-0.04</v>
          </cell>
          <cell r="AB2275">
            <v>0.25</v>
          </cell>
          <cell r="AC2275">
            <v>0.25</v>
          </cell>
          <cell r="AD2275">
            <v>0.25</v>
          </cell>
          <cell r="AE2275">
            <v>0.25</v>
          </cell>
          <cell r="AF2275">
            <v>0.25</v>
          </cell>
          <cell r="AG2275">
            <v>0.25</v>
          </cell>
          <cell r="AH2275">
            <v>0.25</v>
          </cell>
          <cell r="AI2275">
            <v>0.25</v>
          </cell>
          <cell r="AJ2275">
            <v>0.25</v>
          </cell>
          <cell r="AK2275">
            <v>0.25</v>
          </cell>
          <cell r="AL2275">
            <v>0.25</v>
          </cell>
          <cell r="AM2275">
            <v>0.25</v>
          </cell>
          <cell r="AN2275">
            <v>0.25</v>
          </cell>
          <cell r="AO2275">
            <v>0.25</v>
          </cell>
          <cell r="AP2275">
            <v>0.25</v>
          </cell>
          <cell r="AQ2275">
            <v>0.25</v>
          </cell>
          <cell r="AR2275">
            <v>0.25</v>
          </cell>
          <cell r="AS2275">
            <v>0.25</v>
          </cell>
          <cell r="AT2275">
            <v>-0.04</v>
          </cell>
          <cell r="AU2275">
            <v>0.92</v>
          </cell>
          <cell r="AV2275">
            <v>20</v>
          </cell>
          <cell r="AZ2275">
            <v>0.25</v>
          </cell>
          <cell r="BA2275">
            <v>0.25</v>
          </cell>
        </row>
        <row r="2276">
          <cell r="A2276" t="str">
            <v>SERRAMENTI E NON SOLO</v>
          </cell>
          <cell r="B2276" t="str">
            <v>GIOVANNI, LEONE ANTONIO 02/03/23 ATTIVITA' SOSPESA</v>
          </cell>
          <cell r="D2276" t="str">
            <v>VIA PASSO DELLE CAMPANELLE, 26</v>
          </cell>
          <cell r="E2276" t="str">
            <v>65124</v>
          </cell>
          <cell r="F2276" t="str">
            <v>PESCARA</v>
          </cell>
          <cell r="G2276" t="str">
            <v>PE</v>
          </cell>
          <cell r="H2276" t="str">
            <v>ITALIA</v>
          </cell>
          <cell r="J2276" t="str">
            <v>02251410680</v>
          </cell>
          <cell r="M2276" t="str">
            <v>UFFICIO ACQUISTI</v>
          </cell>
          <cell r="O2276" t="str">
            <v>371 1274682</v>
          </cell>
          <cell r="P2276" t="str">
            <v>leone@serramentienonsolo.it</v>
          </cell>
          <cell r="R2276" t="str">
            <v>BONIFICO BANCARIO, ALLA DATA DELLA NOSTRA CONFERMA D'ORDINE</v>
          </cell>
          <cell r="X2276">
            <v>0.25</v>
          </cell>
          <cell r="Y2276">
            <v>-0.04</v>
          </cell>
          <cell r="AB2276">
            <v>0.25</v>
          </cell>
          <cell r="AC2276">
            <v>0.25</v>
          </cell>
          <cell r="AD2276">
            <v>0.25</v>
          </cell>
          <cell r="AE2276">
            <v>0.25</v>
          </cell>
          <cell r="AF2276">
            <v>0.25</v>
          </cell>
          <cell r="AG2276">
            <v>0.25</v>
          </cell>
          <cell r="AH2276">
            <v>0.25</v>
          </cell>
          <cell r="AI2276">
            <v>0.25</v>
          </cell>
          <cell r="AJ2276">
            <v>0.25</v>
          </cell>
          <cell r="AK2276">
            <v>0.25</v>
          </cell>
          <cell r="AL2276">
            <v>0.25</v>
          </cell>
          <cell r="AM2276">
            <v>0.25</v>
          </cell>
          <cell r="AN2276">
            <v>0.25</v>
          </cell>
          <cell r="AO2276">
            <v>0.25</v>
          </cell>
          <cell r="AP2276">
            <v>0.25</v>
          </cell>
          <cell r="AQ2276">
            <v>0.25</v>
          </cell>
          <cell r="AR2276">
            <v>0.25</v>
          </cell>
          <cell r="AS2276">
            <v>0.25</v>
          </cell>
          <cell r="AT2276">
            <v>-0.04</v>
          </cell>
          <cell r="AU2276">
            <v>0.92</v>
          </cell>
          <cell r="AV2276">
            <v>20</v>
          </cell>
          <cell r="AZ2276">
            <v>0.25</v>
          </cell>
          <cell r="BA2276">
            <v>0.25</v>
          </cell>
        </row>
        <row r="2277">
          <cell r="A2277" t="str">
            <v>SERRAMENTI E SISTEMI</v>
          </cell>
          <cell r="D2277" t="str">
            <v>VIA ENRICO PETRELLA</v>
          </cell>
          <cell r="E2277" t="str">
            <v>90036</v>
          </cell>
          <cell r="F2277" t="str">
            <v>MISILMERI</v>
          </cell>
          <cell r="G2277" t="str">
            <v>PA</v>
          </cell>
          <cell r="H2277" t="str">
            <v>ITALIA</v>
          </cell>
          <cell r="M2277" t="str">
            <v>UFFICIO ACQUISTI</v>
          </cell>
          <cell r="N2277" t="str">
            <v>091872 10 87</v>
          </cell>
          <cell r="P2277" t="str">
            <v>serramentiesistemisrl@pec.it</v>
          </cell>
          <cell r="R2277" t="str">
            <v>BONIFICO BANCARIO, ALLA DATA DELLA NOSTRA CONFERMA D'ORDINE</v>
          </cell>
          <cell r="X2277">
            <v>0.25</v>
          </cell>
          <cell r="Y2277">
            <v>-0.04</v>
          </cell>
          <cell r="AB2277">
            <v>0.25</v>
          </cell>
          <cell r="AC2277">
            <v>0.25</v>
          </cell>
          <cell r="AD2277">
            <v>0.25</v>
          </cell>
          <cell r="AE2277">
            <v>0.25</v>
          </cell>
          <cell r="AF2277">
            <v>0.25</v>
          </cell>
          <cell r="AG2277">
            <v>0.25</v>
          </cell>
          <cell r="AH2277">
            <v>0.25</v>
          </cell>
          <cell r="AI2277">
            <v>0.25</v>
          </cell>
          <cell r="AJ2277">
            <v>0.25</v>
          </cell>
          <cell r="AK2277">
            <v>0.25</v>
          </cell>
          <cell r="AL2277">
            <v>0.25</v>
          </cell>
          <cell r="AM2277">
            <v>0.25</v>
          </cell>
          <cell r="AN2277">
            <v>0.25</v>
          </cell>
          <cell r="AO2277">
            <v>0.25</v>
          </cell>
          <cell r="AP2277">
            <v>0.25</v>
          </cell>
          <cell r="AQ2277">
            <v>0.25</v>
          </cell>
          <cell r="AR2277">
            <v>0.25</v>
          </cell>
          <cell r="AS2277">
            <v>0.25</v>
          </cell>
          <cell r="AT2277">
            <v>-0.04</v>
          </cell>
          <cell r="AU2277">
            <v>0.92</v>
          </cell>
          <cell r="AV2277">
            <v>20</v>
          </cell>
          <cell r="AZ2277">
            <v>0.25</v>
          </cell>
          <cell r="BA2277">
            <v>0.25</v>
          </cell>
        </row>
        <row r="2278">
          <cell r="A2278" t="str">
            <v>SERRAMENTI ED INFISSI IN ALLUMINIO</v>
          </cell>
          <cell r="D2278" t="str">
            <v>VIA SARACINELLO, 6</v>
          </cell>
          <cell r="E2278">
            <v>89132</v>
          </cell>
          <cell r="F2278" t="str">
            <v>REGGIO CALABRIA</v>
          </cell>
          <cell r="G2278" t="str">
            <v>RC</v>
          </cell>
          <cell r="H2278" t="str">
            <v>ITALIA</v>
          </cell>
          <cell r="I2278" t="str">
            <v>DTTSNT52C23H224T</v>
          </cell>
          <cell r="J2278" t="str">
            <v>00554910902</v>
          </cell>
          <cell r="M2278" t="str">
            <v>UFFICIO ACQUISTI</v>
          </cell>
          <cell r="R2278" t="str">
            <v>BONIFICO BANCARIO, ALLA DATA DELLA NOSTRA CONFERMA D'ORDINE</v>
          </cell>
          <cell r="X2278">
            <v>0.25</v>
          </cell>
          <cell r="Y2278">
            <v>-0.04</v>
          </cell>
          <cell r="AB2278">
            <v>0.25</v>
          </cell>
          <cell r="AC2278">
            <v>0.25</v>
          </cell>
          <cell r="AD2278">
            <v>0.25</v>
          </cell>
          <cell r="AE2278">
            <v>0.25</v>
          </cell>
          <cell r="AF2278">
            <v>0.25</v>
          </cell>
          <cell r="AG2278">
            <v>0.25</v>
          </cell>
          <cell r="AH2278">
            <v>0.25</v>
          </cell>
          <cell r="AI2278">
            <v>0.25</v>
          </cell>
          <cell r="AJ2278">
            <v>0.25</v>
          </cell>
          <cell r="AK2278">
            <v>0.25</v>
          </cell>
          <cell r="AL2278">
            <v>0.25</v>
          </cell>
          <cell r="AM2278">
            <v>0.25</v>
          </cell>
          <cell r="AN2278">
            <v>0.25</v>
          </cell>
          <cell r="AO2278">
            <v>0.25</v>
          </cell>
          <cell r="AP2278">
            <v>0.25</v>
          </cell>
          <cell r="AQ2278">
            <v>0.25</v>
          </cell>
          <cell r="AR2278">
            <v>0.25</v>
          </cell>
          <cell r="AS2278">
            <v>0.25</v>
          </cell>
          <cell r="AT2278">
            <v>-0.04</v>
          </cell>
          <cell r="AU2278">
            <v>0.92</v>
          </cell>
          <cell r="AV2278">
            <v>20</v>
          </cell>
          <cell r="AW2278" t="str">
            <v>PIETRO OLIVADOTI</v>
          </cell>
          <cell r="AX2278">
            <v>0.95</v>
          </cell>
          <cell r="AZ2278">
            <v>0.25</v>
          </cell>
          <cell r="BA2278">
            <v>0.25</v>
          </cell>
        </row>
        <row r="2279">
          <cell r="A2279" t="str">
            <v>SERRAMENTI EMMEZETA SNC</v>
          </cell>
          <cell r="D2279" t="str">
            <v>VIA MAZZINI, 115</v>
          </cell>
          <cell r="E2279" t="str">
            <v>46043</v>
          </cell>
          <cell r="F2279" t="str">
            <v>CASTIGLIONE DELLE STIVIERE</v>
          </cell>
          <cell r="G2279" t="str">
            <v>MN</v>
          </cell>
          <cell r="H2279" t="str">
            <v>ITALIA</v>
          </cell>
          <cell r="J2279" t="str">
            <v>01709050205</v>
          </cell>
          <cell r="M2279" t="str">
            <v>UFFICIO ACQUISTI</v>
          </cell>
          <cell r="N2279" t="str">
            <v>0376 670263</v>
          </cell>
          <cell r="P2279" t="str">
            <v>emmezeta@serramentiemmezeta.it</v>
          </cell>
          <cell r="R2279" t="str">
            <v>BONIFICO BANCARIO, ALLA DATA DELLA NOSTRA CONFERMA D'ORDINE</v>
          </cell>
          <cell r="Y2279">
            <v>-0.04</v>
          </cell>
          <cell r="AT2279">
            <v>-0.04</v>
          </cell>
          <cell r="AV2279">
            <v>20</v>
          </cell>
          <cell r="AZ2279">
            <v>0</v>
          </cell>
          <cell r="BA2279">
            <v>0</v>
          </cell>
        </row>
        <row r="2280">
          <cell r="A2280" t="str">
            <v>SERRAMENTI F.LLI ANDERLINI S.N.C. DI MICHELE E PAOLO</v>
          </cell>
          <cell r="D2280" t="str">
            <v>VIA PIRETTA ROVERE, 18</v>
          </cell>
          <cell r="E2280">
            <v>44012</v>
          </cell>
          <cell r="F2280" t="str">
            <v>SCORTICHINO</v>
          </cell>
          <cell r="G2280" t="str">
            <v>FE</v>
          </cell>
          <cell r="H2280" t="str">
            <v>ITALIA</v>
          </cell>
          <cell r="I2280" t="str">
            <v>01450950386</v>
          </cell>
          <cell r="J2280" t="str">
            <v>01450950386</v>
          </cell>
          <cell r="M2280" t="str">
            <v>UFFICIO ACQUISTI</v>
          </cell>
          <cell r="N2280" t="str">
            <v>0532 890568</v>
          </cell>
          <cell r="P2280" t="str">
            <v>flli.anderlini@libero.it</v>
          </cell>
          <cell r="R2280" t="str">
            <v>BONIFICO BANCARIO, ALLA DATA DELLA NOSTRA CONFERMA D'ORDINE</v>
          </cell>
          <cell r="X2280">
            <v>0.25</v>
          </cell>
          <cell r="Y2280">
            <v>-0.04</v>
          </cell>
          <cell r="AB2280">
            <v>0.25</v>
          </cell>
          <cell r="AC2280">
            <v>0.25</v>
          </cell>
          <cell r="AD2280">
            <v>0.25</v>
          </cell>
          <cell r="AE2280">
            <v>0.25</v>
          </cell>
          <cell r="AF2280">
            <v>0.25</v>
          </cell>
          <cell r="AG2280">
            <v>0.25</v>
          </cell>
          <cell r="AH2280">
            <v>0.25</v>
          </cell>
          <cell r="AI2280">
            <v>0.25</v>
          </cell>
          <cell r="AJ2280">
            <v>0.25</v>
          </cell>
          <cell r="AK2280">
            <v>0.25</v>
          </cell>
          <cell r="AL2280">
            <v>0.25</v>
          </cell>
          <cell r="AM2280">
            <v>0.25</v>
          </cell>
          <cell r="AN2280">
            <v>0.25</v>
          </cell>
          <cell r="AO2280">
            <v>0.25</v>
          </cell>
          <cell r="AP2280">
            <v>0.25</v>
          </cell>
          <cell r="AQ2280">
            <v>0.25</v>
          </cell>
          <cell r="AR2280">
            <v>0.25</v>
          </cell>
          <cell r="AS2280">
            <v>0.25</v>
          </cell>
          <cell r="AT2280">
            <v>-0.04</v>
          </cell>
          <cell r="AU2280">
            <v>0.92</v>
          </cell>
          <cell r="AV2280">
            <v>20</v>
          </cell>
          <cell r="AZ2280">
            <v>0.25</v>
          </cell>
          <cell r="BA2280">
            <v>0.25</v>
          </cell>
        </row>
        <row r="2281">
          <cell r="A2281" t="str">
            <v>SERRAMENTI FC DI FABIO CORTINELLI</v>
          </cell>
          <cell r="D2281" t="str">
            <v>VIA CONTESSA MATILDE, 16</v>
          </cell>
          <cell r="E2281">
            <v>56126</v>
          </cell>
          <cell r="F2281" t="str">
            <v>PISA</v>
          </cell>
          <cell r="G2281" t="str">
            <v>PI</v>
          </cell>
          <cell r="H2281" t="str">
            <v>ITALIA</v>
          </cell>
          <cell r="I2281" t="str">
            <v>CRTFBA75L11G912X</v>
          </cell>
          <cell r="J2281" t="str">
            <v>02362400505</v>
          </cell>
          <cell r="M2281" t="str">
            <v>UFFICIO ACQUISTI</v>
          </cell>
          <cell r="N2281" t="str">
            <v>050 3144834</v>
          </cell>
          <cell r="O2281" t="str">
            <v>339 3007983</v>
          </cell>
          <cell r="P2281" t="str">
            <v>fcserramenti@yahoo.com</v>
          </cell>
          <cell r="R2281" t="str">
            <v>BONIFICO BANCARIO, ALLA DATA DELLA NOSTRA CONFERMA D'ORDINE</v>
          </cell>
          <cell r="X2281">
            <v>0.25</v>
          </cell>
          <cell r="Y2281">
            <v>-0.04</v>
          </cell>
          <cell r="AB2281">
            <v>0.25</v>
          </cell>
          <cell r="AC2281">
            <v>0.25</v>
          </cell>
          <cell r="AD2281">
            <v>0.25</v>
          </cell>
          <cell r="AE2281">
            <v>0.25</v>
          </cell>
          <cell r="AF2281">
            <v>0.25</v>
          </cell>
          <cell r="AG2281">
            <v>0.25</v>
          </cell>
          <cell r="AH2281">
            <v>0.25</v>
          </cell>
          <cell r="AI2281">
            <v>0.25</v>
          </cell>
          <cell r="AJ2281">
            <v>0.25</v>
          </cell>
          <cell r="AK2281">
            <v>0.25</v>
          </cell>
          <cell r="AL2281">
            <v>0.25</v>
          </cell>
          <cell r="AM2281">
            <v>0.25</v>
          </cell>
          <cell r="AN2281">
            <v>0.25</v>
          </cell>
          <cell r="AO2281">
            <v>0.25</v>
          </cell>
          <cell r="AP2281">
            <v>0.25</v>
          </cell>
          <cell r="AQ2281">
            <v>0.25</v>
          </cell>
          <cell r="AR2281">
            <v>0.25</v>
          </cell>
          <cell r="AS2281">
            <v>0.25</v>
          </cell>
          <cell r="AT2281">
            <v>-0.04</v>
          </cell>
          <cell r="AU2281">
            <v>0.92</v>
          </cell>
          <cell r="AV2281">
            <v>20</v>
          </cell>
          <cell r="AZ2281">
            <v>0.25</v>
          </cell>
          <cell r="BA2281">
            <v>0.25</v>
          </cell>
        </row>
        <row r="2282">
          <cell r="A2282" t="str">
            <v>SERRAMENTI GENOVA</v>
          </cell>
          <cell r="B2282" t="str">
            <v xml:space="preserve">INTERESSATO A CAMPIONE FERUTEC </v>
          </cell>
          <cell r="D2282" t="str">
            <v>VIA MOLINI DI CIMA, 23</v>
          </cell>
          <cell r="E2282">
            <v>16139</v>
          </cell>
          <cell r="F2282" t="str">
            <v>GENOVA</v>
          </cell>
          <cell r="G2282" t="str">
            <v>GE</v>
          </cell>
          <cell r="H2282" t="str">
            <v>ITALIA</v>
          </cell>
          <cell r="J2282" t="str">
            <v>01932560996</v>
          </cell>
          <cell r="K2282" t="str">
            <v>X2PH38J</v>
          </cell>
          <cell r="M2282" t="str">
            <v>UFFICIO ACQUISTI</v>
          </cell>
          <cell r="N2282" t="str">
            <v>0108 370168</v>
          </cell>
          <cell r="O2282" t="str">
            <v>366 1081237</v>
          </cell>
          <cell r="P2282" t="str">
            <v>serramentigenova@gmail.com</v>
          </cell>
          <cell r="R2282" t="str">
            <v>BONIFICO BANCARIO, ALLA DATA DELLA NOSTRA CONFERMA D'ORDINE</v>
          </cell>
          <cell r="X2282">
            <v>0.25</v>
          </cell>
          <cell r="Y2282">
            <v>-0.04</v>
          </cell>
          <cell r="AB2282">
            <v>0.25</v>
          </cell>
          <cell r="AC2282">
            <v>0.25</v>
          </cell>
          <cell r="AD2282">
            <v>0.25</v>
          </cell>
          <cell r="AE2282">
            <v>0.25</v>
          </cell>
          <cell r="AF2282">
            <v>0.25</v>
          </cell>
          <cell r="AG2282">
            <v>0.25</v>
          </cell>
          <cell r="AH2282">
            <v>0.25</v>
          </cell>
          <cell r="AI2282">
            <v>0.25</v>
          </cell>
          <cell r="AJ2282">
            <v>0.25</v>
          </cell>
          <cell r="AK2282">
            <v>0.25</v>
          </cell>
          <cell r="AL2282">
            <v>0.25</v>
          </cell>
          <cell r="AM2282">
            <v>0.25</v>
          </cell>
          <cell r="AN2282">
            <v>0.25</v>
          </cell>
          <cell r="AO2282">
            <v>0.25</v>
          </cell>
          <cell r="AP2282">
            <v>0.25</v>
          </cell>
          <cell r="AQ2282">
            <v>0.25</v>
          </cell>
          <cell r="AR2282">
            <v>0.25</v>
          </cell>
          <cell r="AS2282">
            <v>0.25</v>
          </cell>
          <cell r="AT2282">
            <v>-0.04</v>
          </cell>
          <cell r="AU2282">
            <v>0.92</v>
          </cell>
          <cell r="AV2282">
            <v>20</v>
          </cell>
          <cell r="AZ2282">
            <v>0.25</v>
          </cell>
          <cell r="BA2282">
            <v>0.25</v>
          </cell>
        </row>
        <row r="2283">
          <cell r="A2283" t="str">
            <v>SERRAMENTI LAVAGGI VITTORIO SNC</v>
          </cell>
          <cell r="D2283" t="str">
            <v>VIA VILLA RAGONE, 17 A</v>
          </cell>
          <cell r="E2283">
            <v>16039</v>
          </cell>
          <cell r="F2283" t="str">
            <v>SESTRI LEVANTE</v>
          </cell>
          <cell r="G2283" t="str">
            <v>GE</v>
          </cell>
          <cell r="H2283" t="str">
            <v>ITALIA</v>
          </cell>
          <cell r="J2283" t="str">
            <v>00175800994</v>
          </cell>
          <cell r="M2283" t="str">
            <v>UFFICIO ACQUISTI</v>
          </cell>
          <cell r="N2283" t="str">
            <v>0185 43996</v>
          </cell>
          <cell r="P2283" t="str">
            <v>off.lavaggi.snc@alice.it</v>
          </cell>
          <cell r="R2283" t="str">
            <v>BONIFICO BANCARIO, ALLA DATA DELLA NOSTRA CONFERMA D'ORDINE</v>
          </cell>
          <cell r="X2283">
            <v>0.25</v>
          </cell>
          <cell r="Y2283">
            <v>-0.04</v>
          </cell>
          <cell r="AB2283">
            <v>0.25</v>
          </cell>
          <cell r="AC2283">
            <v>0.25</v>
          </cell>
          <cell r="AD2283">
            <v>0.25</v>
          </cell>
          <cell r="AE2283">
            <v>0.25</v>
          </cell>
          <cell r="AF2283">
            <v>0.25</v>
          </cell>
          <cell r="AG2283">
            <v>0.25</v>
          </cell>
          <cell r="AH2283">
            <v>0.25</v>
          </cell>
          <cell r="AI2283">
            <v>0.25</v>
          </cell>
          <cell r="AJ2283">
            <v>0.25</v>
          </cell>
          <cell r="AK2283">
            <v>0.25</v>
          </cell>
          <cell r="AL2283">
            <v>0.25</v>
          </cell>
          <cell r="AM2283">
            <v>0.25</v>
          </cell>
          <cell r="AN2283">
            <v>0.25</v>
          </cell>
          <cell r="AO2283">
            <v>0.25</v>
          </cell>
          <cell r="AP2283">
            <v>0.25</v>
          </cell>
          <cell r="AQ2283">
            <v>0.25</v>
          </cell>
          <cell r="AR2283">
            <v>0.25</v>
          </cell>
          <cell r="AS2283">
            <v>0.25</v>
          </cell>
          <cell r="AT2283">
            <v>-0.04</v>
          </cell>
          <cell r="AU2283">
            <v>0.92</v>
          </cell>
          <cell r="AV2283">
            <v>20</v>
          </cell>
          <cell r="AZ2283">
            <v>0.25</v>
          </cell>
          <cell r="BA2283">
            <v>0.25</v>
          </cell>
        </row>
        <row r="2284">
          <cell r="A2284" t="str">
            <v>SERRAMENTI MARANGON SNC</v>
          </cell>
          <cell r="D2284" t="str">
            <v>VIA NOALESE 22</v>
          </cell>
          <cell r="E2284" t="str">
            <v>31055</v>
          </cell>
          <cell r="F2284" t="str">
            <v>QUINTO DI TREVISO</v>
          </cell>
          <cell r="G2284" t="str">
            <v>TV</v>
          </cell>
          <cell r="H2284" t="str">
            <v>ITALIA</v>
          </cell>
          <cell r="J2284" t="str">
            <v>03375260266</v>
          </cell>
          <cell r="M2284" t="str">
            <v>UFFICIO ACQUISTI</v>
          </cell>
          <cell r="N2284" t="str">
            <v>0422 379042</v>
          </cell>
          <cell r="P2284" t="str">
            <v>info@falegnameriamarangon.com</v>
          </cell>
          <cell r="R2284" t="str">
            <v>BONIFICO BANCARIO, ALLA DATA DELLA NOSTRA CONFERMA D'ORDINE</v>
          </cell>
          <cell r="X2284">
            <v>0.25</v>
          </cell>
          <cell r="Y2284">
            <v>-0.04</v>
          </cell>
          <cell r="AB2284">
            <v>0.25</v>
          </cell>
          <cell r="AC2284">
            <v>0.25</v>
          </cell>
          <cell r="AD2284">
            <v>0.25</v>
          </cell>
          <cell r="AE2284">
            <v>0.25</v>
          </cell>
          <cell r="AF2284">
            <v>0.25</v>
          </cell>
          <cell r="AG2284">
            <v>0.25</v>
          </cell>
          <cell r="AH2284">
            <v>0.25</v>
          </cell>
          <cell r="AI2284">
            <v>0.25</v>
          </cell>
          <cell r="AJ2284">
            <v>0.25</v>
          </cell>
          <cell r="AK2284">
            <v>0.25</v>
          </cell>
          <cell r="AL2284">
            <v>0.25</v>
          </cell>
          <cell r="AM2284">
            <v>0.25</v>
          </cell>
          <cell r="AN2284">
            <v>0.25</v>
          </cell>
          <cell r="AO2284">
            <v>0.25</v>
          </cell>
          <cell r="AP2284">
            <v>0.25</v>
          </cell>
          <cell r="AQ2284">
            <v>0.25</v>
          </cell>
          <cell r="AR2284">
            <v>0.25</v>
          </cell>
          <cell r="AS2284">
            <v>0.25</v>
          </cell>
          <cell r="AT2284">
            <v>-0.04</v>
          </cell>
          <cell r="AU2284">
            <v>0.92</v>
          </cell>
          <cell r="AV2284">
            <v>20</v>
          </cell>
          <cell r="AZ2284">
            <v>0.25</v>
          </cell>
          <cell r="BA2284">
            <v>0.25</v>
          </cell>
        </row>
        <row r="2285">
          <cell r="A2285" t="str">
            <v>SERRAMENTI MARELLA</v>
          </cell>
          <cell r="D2285" t="str">
            <v>VIA MARCADORA, 6</v>
          </cell>
          <cell r="E2285" t="str">
            <v>25018</v>
          </cell>
          <cell r="F2285" t="str">
            <v>MONTICHIARI</v>
          </cell>
          <cell r="G2285" t="str">
            <v>BS</v>
          </cell>
          <cell r="H2285" t="str">
            <v>ITALIA</v>
          </cell>
          <cell r="M2285" t="str">
            <v>UFFICIO ACQUISTI</v>
          </cell>
          <cell r="N2285" t="str">
            <v>030 9961139</v>
          </cell>
          <cell r="P2285" t="str">
            <v>info@serramentimarella.it</v>
          </cell>
          <cell r="R2285" t="str">
            <v>BONIFICO BANCARIO, ALLA DATA DELLA NOSTRA CONFERMA D'ORDINE</v>
          </cell>
          <cell r="Y2285">
            <v>-0.04</v>
          </cell>
          <cell r="AT2285">
            <v>-0.04</v>
          </cell>
          <cell r="AV2285">
            <v>20</v>
          </cell>
          <cell r="AZ2285">
            <v>0</v>
          </cell>
          <cell r="BA2285">
            <v>0</v>
          </cell>
        </row>
        <row r="2286">
          <cell r="A2286" t="str">
            <v>SERRAMENTI MARGHERITA</v>
          </cell>
          <cell r="D2286" t="str">
            <v>VIA DEL SANTO, 33</v>
          </cell>
          <cell r="E2286">
            <v>98124</v>
          </cell>
          <cell r="F2286" t="str">
            <v>MESSINA</v>
          </cell>
          <cell r="G2286" t="str">
            <v>ME</v>
          </cell>
          <cell r="H2286" t="str">
            <v>ITALIA</v>
          </cell>
          <cell r="M2286" t="str">
            <v>UFFICIO ACQUISTI</v>
          </cell>
          <cell r="O2286" t="str">
            <v>393 9410617</v>
          </cell>
          <cell r="P2286" t="str">
            <v>serramentimargherita@gmail.com</v>
          </cell>
          <cell r="R2286" t="str">
            <v>BONIFICO BANCARIO, ALLA DATA DELLA NOSTRA CONFERMA D'ORDINE</v>
          </cell>
          <cell r="X2286">
            <v>0.25</v>
          </cell>
          <cell r="Y2286">
            <v>-0.04</v>
          </cell>
          <cell r="AB2286">
            <v>0.25</v>
          </cell>
          <cell r="AC2286">
            <v>0.25</v>
          </cell>
          <cell r="AD2286">
            <v>0.25</v>
          </cell>
          <cell r="AE2286">
            <v>0.25</v>
          </cell>
          <cell r="AF2286">
            <v>0.25</v>
          </cell>
          <cell r="AG2286">
            <v>0.25</v>
          </cell>
          <cell r="AH2286">
            <v>0.25</v>
          </cell>
          <cell r="AI2286">
            <v>0.25</v>
          </cell>
          <cell r="AJ2286">
            <v>0.25</v>
          </cell>
          <cell r="AK2286">
            <v>0.25</v>
          </cell>
          <cell r="AL2286">
            <v>0.25</v>
          </cell>
          <cell r="AM2286">
            <v>0.25</v>
          </cell>
          <cell r="AN2286">
            <v>0.25</v>
          </cell>
          <cell r="AO2286">
            <v>0.25</v>
          </cell>
          <cell r="AP2286">
            <v>0.25</v>
          </cell>
          <cell r="AQ2286">
            <v>0.25</v>
          </cell>
          <cell r="AR2286">
            <v>0.25</v>
          </cell>
          <cell r="AS2286">
            <v>0.25</v>
          </cell>
          <cell r="AT2286">
            <v>-0.04</v>
          </cell>
          <cell r="AU2286">
            <v>0.92</v>
          </cell>
          <cell r="AV2286">
            <v>20</v>
          </cell>
          <cell r="AZ2286">
            <v>0.25</v>
          </cell>
          <cell r="BA2286">
            <v>0.25</v>
          </cell>
        </row>
        <row r="2287">
          <cell r="A2287" t="str">
            <v>SERRAMENTI MICHELANGELO</v>
          </cell>
          <cell r="D2287" t="str">
            <v>C.SO COBIANCHI, 60</v>
          </cell>
          <cell r="E2287">
            <v>28921</v>
          </cell>
          <cell r="F2287" t="str">
            <v>VERBANIA INTRA</v>
          </cell>
          <cell r="G2287" t="str">
            <v>VB</v>
          </cell>
          <cell r="H2287" t="str">
            <v>ITALIA</v>
          </cell>
          <cell r="J2287" t="str">
            <v>01851260032</v>
          </cell>
          <cell r="M2287" t="str">
            <v>UFFICIO ACQUISTI</v>
          </cell>
          <cell r="N2287" t="str">
            <v>0323 581205</v>
          </cell>
          <cell r="P2287" t="str">
            <v>info@serramenti-michelangelo.it</v>
          </cell>
          <cell r="R2287" t="str">
            <v>BONIFICO BANCARIO, ALLA DATA DELLA NOSTRA CONFERMA D'ORDINE</v>
          </cell>
          <cell r="X2287">
            <v>0.25</v>
          </cell>
          <cell r="Y2287">
            <v>-0.04</v>
          </cell>
          <cell r="AB2287">
            <v>0.25</v>
          </cell>
          <cell r="AC2287">
            <v>0.25</v>
          </cell>
          <cell r="AD2287">
            <v>0.25</v>
          </cell>
          <cell r="AE2287">
            <v>0.25</v>
          </cell>
          <cell r="AF2287">
            <v>0.25</v>
          </cell>
          <cell r="AG2287">
            <v>0.25</v>
          </cell>
          <cell r="AH2287">
            <v>0.25</v>
          </cell>
          <cell r="AI2287">
            <v>0.25</v>
          </cell>
          <cell r="AJ2287">
            <v>0.25</v>
          </cell>
          <cell r="AK2287">
            <v>0.25</v>
          </cell>
          <cell r="AL2287">
            <v>0.25</v>
          </cell>
          <cell r="AM2287">
            <v>0.25</v>
          </cell>
          <cell r="AN2287">
            <v>0.25</v>
          </cell>
          <cell r="AO2287">
            <v>0.25</v>
          </cell>
          <cell r="AP2287">
            <v>0.25</v>
          </cell>
          <cell r="AQ2287">
            <v>0.25</v>
          </cell>
          <cell r="AR2287">
            <v>0.25</v>
          </cell>
          <cell r="AS2287">
            <v>0.25</v>
          </cell>
          <cell r="AT2287">
            <v>-0.04</v>
          </cell>
          <cell r="AU2287">
            <v>0.92</v>
          </cell>
          <cell r="AV2287">
            <v>20</v>
          </cell>
          <cell r="AZ2287">
            <v>0.25</v>
          </cell>
          <cell r="BA2287">
            <v>0.25</v>
          </cell>
        </row>
        <row r="2288">
          <cell r="A2288" t="str">
            <v>SERRAMENTI OMA</v>
          </cell>
          <cell r="B2288" t="str">
            <v>LA SUA CASA SI ALLAGA</v>
          </cell>
          <cell r="D2288" t="str">
            <v>VIA EMILIA OVEST, 1617</v>
          </cell>
          <cell r="E2288" t="str">
            <v>41123</v>
          </cell>
          <cell r="F2288" t="str">
            <v>MODENA</v>
          </cell>
          <cell r="G2288" t="str">
            <v>MO</v>
          </cell>
          <cell r="H2288" t="str">
            <v>ITALIA</v>
          </cell>
          <cell r="M2288" t="str">
            <v>UFFICIO ACQUISTI</v>
          </cell>
          <cell r="O2288" t="str">
            <v>347 2582543  328 7921163</v>
          </cell>
          <cell r="P2288" t="str">
            <v>serramenti.oma@gmail.com</v>
          </cell>
          <cell r="R2288" t="str">
            <v>BONIFICO BANCARIO, ALLA DATA DELLA NOSTRA CONFERMA D'ORDINE</v>
          </cell>
          <cell r="X2288">
            <v>0.2</v>
          </cell>
          <cell r="Y2288">
            <v>-0.04</v>
          </cell>
          <cell r="AB2288">
            <v>0.2</v>
          </cell>
          <cell r="AC2288">
            <v>0.2</v>
          </cell>
          <cell r="AD2288">
            <v>0.2</v>
          </cell>
          <cell r="AE2288">
            <v>0.2</v>
          </cell>
          <cell r="AF2288">
            <v>0.2</v>
          </cell>
          <cell r="AG2288">
            <v>0.2</v>
          </cell>
          <cell r="AH2288">
            <v>0.2</v>
          </cell>
          <cell r="AI2288">
            <v>0.2</v>
          </cell>
          <cell r="AJ2288">
            <v>0.2</v>
          </cell>
          <cell r="AK2288">
            <v>0.2</v>
          </cell>
          <cell r="AL2288">
            <v>0.2</v>
          </cell>
          <cell r="AM2288">
            <v>0.2</v>
          </cell>
          <cell r="AN2288">
            <v>0.2</v>
          </cell>
          <cell r="AO2288">
            <v>0.2</v>
          </cell>
          <cell r="AP2288">
            <v>0.2</v>
          </cell>
          <cell r="AQ2288">
            <v>0.2</v>
          </cell>
          <cell r="AR2288">
            <v>0.2</v>
          </cell>
          <cell r="AS2288">
            <v>0.2</v>
          </cell>
          <cell r="AT2288">
            <v>-0.04</v>
          </cell>
          <cell r="AU2288">
            <v>0.92</v>
          </cell>
          <cell r="AV2288">
            <v>20</v>
          </cell>
          <cell r="AZ2288">
            <v>0.2</v>
          </cell>
          <cell r="BA2288">
            <v>0.2</v>
          </cell>
        </row>
        <row r="2289">
          <cell r="A2289" t="str">
            <v>SERRAMENTI PELLEGRINO SRL</v>
          </cell>
          <cell r="D2289" t="str">
            <v>VIA SIVIGLIA, 7</v>
          </cell>
          <cell r="E2289">
            <v>20093</v>
          </cell>
          <cell r="F2289" t="str">
            <v>COLOGNI MONZESE</v>
          </cell>
          <cell r="G2289" t="str">
            <v>MI</v>
          </cell>
          <cell r="H2289" t="str">
            <v>ITALIA</v>
          </cell>
          <cell r="M2289" t="str">
            <v>UFFICIO ACQUISTI</v>
          </cell>
          <cell r="N2289" t="str">
            <v>02 25391086</v>
          </cell>
          <cell r="P2289" t="str">
            <v>info@serramentipellegrino.it</v>
          </cell>
          <cell r="R2289" t="str">
            <v>BONIFICO BANCARIO, ALLA DATA DELLA NOSTRA CONFERMA D'ORDINE</v>
          </cell>
          <cell r="X2289">
            <v>0.25</v>
          </cell>
          <cell r="Y2289">
            <v>-0.04</v>
          </cell>
          <cell r="AB2289">
            <v>0.25</v>
          </cell>
          <cell r="AC2289">
            <v>0.25</v>
          </cell>
          <cell r="AD2289">
            <v>0.25</v>
          </cell>
          <cell r="AE2289">
            <v>0.25</v>
          </cell>
          <cell r="AF2289">
            <v>0.25</v>
          </cell>
          <cell r="AG2289">
            <v>0.25</v>
          </cell>
          <cell r="AH2289">
            <v>0.25</v>
          </cell>
          <cell r="AI2289">
            <v>0.25</v>
          </cell>
          <cell r="AJ2289">
            <v>0.25</v>
          </cell>
          <cell r="AK2289">
            <v>0.25</v>
          </cell>
          <cell r="AL2289">
            <v>0.25</v>
          </cell>
          <cell r="AM2289">
            <v>0.25</v>
          </cell>
          <cell r="AN2289">
            <v>0.25</v>
          </cell>
          <cell r="AO2289">
            <v>0.25</v>
          </cell>
          <cell r="AP2289">
            <v>0.25</v>
          </cell>
          <cell r="AQ2289">
            <v>0.25</v>
          </cell>
          <cell r="AR2289">
            <v>0.25</v>
          </cell>
          <cell r="AS2289">
            <v>0.25</v>
          </cell>
          <cell r="AT2289">
            <v>-0.04</v>
          </cell>
          <cell r="AU2289">
            <v>0.92</v>
          </cell>
          <cell r="AV2289">
            <v>20</v>
          </cell>
          <cell r="AZ2289">
            <v>0.25</v>
          </cell>
          <cell r="BA2289">
            <v>0.25</v>
          </cell>
        </row>
        <row r="2290">
          <cell r="A2290" t="str">
            <v>SERRAMENTI PIRAS</v>
          </cell>
          <cell r="B2290" t="str">
            <v>SOLO BIGLIETTO DA VISITA  INTERESSATA ALLA  COMPRESSION</v>
          </cell>
          <cell r="D2290" t="str">
            <v>VIA J.WATT, 3</v>
          </cell>
          <cell r="E2290" t="str">
            <v>09047</v>
          </cell>
          <cell r="F2290" t="str">
            <v>SELARGIUS</v>
          </cell>
          <cell r="G2290" t="str">
            <v>CA</v>
          </cell>
          <cell r="H2290" t="str">
            <v>ITALIA</v>
          </cell>
          <cell r="M2290" t="str">
            <v>UFFICIO ACQUISTI</v>
          </cell>
          <cell r="N2290" t="str">
            <v>070 840915</v>
          </cell>
          <cell r="O2290" t="str">
            <v>348 3219956 RITA PIRAS</v>
          </cell>
          <cell r="P2290" t="str">
            <v>serramentipiras@gmail.com</v>
          </cell>
          <cell r="R2290" t="str">
            <v>BONIFICO BANCARIO, ALLA DATA DELLA NOSTRA CONFERMA D'ORDINE</v>
          </cell>
          <cell r="X2290">
            <v>0.25</v>
          </cell>
          <cell r="Y2290">
            <v>-0.04</v>
          </cell>
          <cell r="AB2290">
            <v>0.25</v>
          </cell>
          <cell r="AC2290">
            <v>0.25</v>
          </cell>
          <cell r="AD2290">
            <v>0.25</v>
          </cell>
          <cell r="AE2290">
            <v>0.25</v>
          </cell>
          <cell r="AF2290">
            <v>0.25</v>
          </cell>
          <cell r="AG2290">
            <v>0.25</v>
          </cell>
          <cell r="AH2290">
            <v>0.25</v>
          </cell>
          <cell r="AI2290">
            <v>0.25</v>
          </cell>
          <cell r="AJ2290">
            <v>0.25</v>
          </cell>
          <cell r="AK2290">
            <v>0.25</v>
          </cell>
          <cell r="AL2290">
            <v>0.25</v>
          </cell>
          <cell r="AM2290">
            <v>0.25</v>
          </cell>
          <cell r="AN2290">
            <v>0.25</v>
          </cell>
          <cell r="AO2290">
            <v>0.25</v>
          </cell>
          <cell r="AP2290">
            <v>0.25</v>
          </cell>
          <cell r="AQ2290">
            <v>0.25</v>
          </cell>
          <cell r="AR2290">
            <v>0.25</v>
          </cell>
          <cell r="AS2290">
            <v>0.25</v>
          </cell>
          <cell r="AT2290">
            <v>-0.04</v>
          </cell>
          <cell r="AU2290">
            <v>0.92</v>
          </cell>
          <cell r="AV2290">
            <v>20</v>
          </cell>
          <cell r="AZ2290">
            <v>0.25</v>
          </cell>
          <cell r="BA2290">
            <v>0.25</v>
          </cell>
        </row>
        <row r="2291">
          <cell r="A2291" t="str">
            <v>SERRAMENTI PUNZO DI PUNZO PAOLO</v>
          </cell>
          <cell r="D2291" t="str">
            <v>VIA DEGLI ULIVI, 40</v>
          </cell>
          <cell r="E2291">
            <v>18100</v>
          </cell>
          <cell r="F2291" t="str">
            <v>IMPERIA</v>
          </cell>
          <cell r="G2291" t="str">
            <v>IM</v>
          </cell>
          <cell r="H2291" t="str">
            <v>ITALIA</v>
          </cell>
          <cell r="I2291" t="str">
            <v>PNZPLA74T03E290P</v>
          </cell>
          <cell r="J2291" t="str">
            <v>01610840082</v>
          </cell>
          <cell r="M2291" t="str">
            <v>UFFICIO ACQUISTI</v>
          </cell>
          <cell r="N2291" t="str">
            <v>0183 210731</v>
          </cell>
          <cell r="O2291" t="str">
            <v>320 1674022</v>
          </cell>
          <cell r="P2291" t="str">
            <v>serramentipunzo1951@libero.it</v>
          </cell>
          <cell r="R2291" t="str">
            <v>BONIFICO BANCARIO, ALLA DATA DELLA NOSTRA CONFERMA D'ORDINE</v>
          </cell>
          <cell r="X2291">
            <v>0.25</v>
          </cell>
          <cell r="Y2291">
            <v>-0.04</v>
          </cell>
          <cell r="AB2291">
            <v>0.25</v>
          </cell>
          <cell r="AC2291">
            <v>0.25</v>
          </cell>
          <cell r="AD2291">
            <v>0.25</v>
          </cell>
          <cell r="AE2291">
            <v>0.25</v>
          </cell>
          <cell r="AF2291">
            <v>0.25</v>
          </cell>
          <cell r="AG2291">
            <v>0.25</v>
          </cell>
          <cell r="AH2291">
            <v>0.25</v>
          </cell>
          <cell r="AI2291">
            <v>0.25</v>
          </cell>
          <cell r="AJ2291">
            <v>0.25</v>
          </cell>
          <cell r="AK2291">
            <v>0.25</v>
          </cell>
          <cell r="AL2291">
            <v>0.25</v>
          </cell>
          <cell r="AM2291">
            <v>0.25</v>
          </cell>
          <cell r="AN2291">
            <v>0.25</v>
          </cell>
          <cell r="AO2291">
            <v>0.25</v>
          </cell>
          <cell r="AP2291">
            <v>0.25</v>
          </cell>
          <cell r="AQ2291">
            <v>0.25</v>
          </cell>
          <cell r="AR2291">
            <v>0.25</v>
          </cell>
          <cell r="AS2291">
            <v>0.25</v>
          </cell>
          <cell r="AT2291">
            <v>-0.04</v>
          </cell>
          <cell r="AU2291">
            <v>0.92</v>
          </cell>
          <cell r="AV2291">
            <v>20</v>
          </cell>
          <cell r="AZ2291">
            <v>0.25</v>
          </cell>
          <cell r="BA2291">
            <v>0.25</v>
          </cell>
        </row>
        <row r="2292">
          <cell r="A2292" t="str">
            <v>SERRAMENTI PVC CHERGE</v>
          </cell>
          <cell r="B2292" t="str">
            <v>NICOLA RODICA</v>
          </cell>
          <cell r="D2292" t="str">
            <v>VIA IVREA, 53</v>
          </cell>
          <cell r="E2292">
            <v>13900</v>
          </cell>
          <cell r="F2292" t="str">
            <v>BIELLA</v>
          </cell>
          <cell r="G2292" t="str">
            <v>BI</v>
          </cell>
          <cell r="H2292" t="str">
            <v>ITALIA</v>
          </cell>
          <cell r="M2292" t="str">
            <v>UFFICIO ACQUISTI</v>
          </cell>
          <cell r="N2292" t="str">
            <v>015 3700388</v>
          </cell>
          <cell r="O2292" t="str">
            <v>328 5956487</v>
          </cell>
          <cell r="P2292" t="str">
            <v>serramentipvc_energo@yahoo.it</v>
          </cell>
          <cell r="R2292" t="str">
            <v>BONIFICO BANCARIO, ALLA DATA DELLA NOSTRA CONFERMA D'ORDINE</v>
          </cell>
          <cell r="X2292">
            <v>0.25</v>
          </cell>
          <cell r="Y2292">
            <v>-0.04</v>
          </cell>
          <cell r="AB2292">
            <v>0.25</v>
          </cell>
          <cell r="AC2292">
            <v>0.25</v>
          </cell>
          <cell r="AD2292">
            <v>0.25</v>
          </cell>
          <cell r="AE2292">
            <v>0.25</v>
          </cell>
          <cell r="AF2292">
            <v>0.25</v>
          </cell>
          <cell r="AG2292">
            <v>0.25</v>
          </cell>
          <cell r="AH2292">
            <v>0.25</v>
          </cell>
          <cell r="AI2292">
            <v>0.25</v>
          </cell>
          <cell r="AJ2292">
            <v>0.25</v>
          </cell>
          <cell r="AK2292">
            <v>0.25</v>
          </cell>
          <cell r="AL2292">
            <v>0.25</v>
          </cell>
          <cell r="AM2292">
            <v>0.25</v>
          </cell>
          <cell r="AN2292">
            <v>0.25</v>
          </cell>
          <cell r="AO2292">
            <v>0.25</v>
          </cell>
          <cell r="AP2292">
            <v>0.25</v>
          </cell>
          <cell r="AQ2292">
            <v>0.25</v>
          </cell>
          <cell r="AR2292">
            <v>0.25</v>
          </cell>
          <cell r="AS2292">
            <v>0.25</v>
          </cell>
          <cell r="AT2292">
            <v>-0.04</v>
          </cell>
          <cell r="AU2292">
            <v>0.92</v>
          </cell>
          <cell r="AV2292">
            <v>20</v>
          </cell>
          <cell r="AZ2292">
            <v>0.25</v>
          </cell>
          <cell r="BA2292">
            <v>0.25</v>
          </cell>
        </row>
        <row r="2293">
          <cell r="A2293" t="str">
            <v>SERRAMENTI RENATO ORRU' SRL SOCIETA' UNIPERSONALE</v>
          </cell>
          <cell r="B2293" t="str">
            <v xml:space="preserve">RENATO ORRU' AMMINISTRATORE </v>
          </cell>
          <cell r="D2293" t="str">
            <v>VIALE BONARIA, 25/27</v>
          </cell>
          <cell r="E2293" t="str">
            <v>09132</v>
          </cell>
          <cell r="F2293" t="str">
            <v>CAGLIARI</v>
          </cell>
          <cell r="G2293" t="str">
            <v>CA</v>
          </cell>
          <cell r="H2293" t="str">
            <v>ITALIA</v>
          </cell>
          <cell r="J2293" t="str">
            <v>03119170920</v>
          </cell>
          <cell r="M2293" t="str">
            <v>UFFICIO ACQUISTI</v>
          </cell>
          <cell r="N2293" t="str">
            <v>070 68153</v>
          </cell>
          <cell r="O2293" t="str">
            <v>340 4803094 ORRU' RENATO</v>
          </cell>
          <cell r="P2293" t="str">
            <v>progettazione@serramentiorru.it</v>
          </cell>
          <cell r="R2293" t="str">
            <v>BONIFICO BANCARIO, ALLA DATA DELLA NOSTRA CONFERMA D'ORDINE</v>
          </cell>
          <cell r="X2293">
            <v>0.15</v>
          </cell>
          <cell r="Y2293">
            <v>-0.04</v>
          </cell>
          <cell r="AB2293">
            <v>0.15</v>
          </cell>
          <cell r="AC2293">
            <v>0.15</v>
          </cell>
          <cell r="AD2293">
            <v>0.15</v>
          </cell>
          <cell r="AE2293">
            <v>0.15</v>
          </cell>
          <cell r="AF2293">
            <v>0.15</v>
          </cell>
          <cell r="AG2293">
            <v>0.15</v>
          </cell>
          <cell r="AH2293">
            <v>0.15</v>
          </cell>
          <cell r="AI2293">
            <v>0.15</v>
          </cell>
          <cell r="AJ2293">
            <v>0.15</v>
          </cell>
          <cell r="AK2293">
            <v>0.15</v>
          </cell>
          <cell r="AL2293">
            <v>0.15</v>
          </cell>
          <cell r="AM2293">
            <v>0.15</v>
          </cell>
          <cell r="AN2293">
            <v>0.15</v>
          </cell>
          <cell r="AO2293">
            <v>0.15</v>
          </cell>
          <cell r="AP2293">
            <v>0.15</v>
          </cell>
          <cell r="AQ2293">
            <v>0.15</v>
          </cell>
          <cell r="AR2293">
            <v>0.15</v>
          </cell>
          <cell r="AS2293">
            <v>0.15</v>
          </cell>
          <cell r="AT2293">
            <v>-0.04</v>
          </cell>
          <cell r="AU2293">
            <v>0.92</v>
          </cell>
          <cell r="AV2293">
            <v>20</v>
          </cell>
          <cell r="AZ2293">
            <v>0.15</v>
          </cell>
          <cell r="BA2293">
            <v>0.15</v>
          </cell>
        </row>
        <row r="2294">
          <cell r="A2294" t="str">
            <v>SERRAMENTI RIVA DI BALDO FABIO &amp; MODOLO PAOLO SNC</v>
          </cell>
          <cell r="D2294" t="str">
            <v>VIA XXIV MAGGIO 27</v>
          </cell>
          <cell r="E2294" t="str">
            <v>30027</v>
          </cell>
          <cell r="F2294" t="str">
            <v>SAN DONA' DI PIAVE</v>
          </cell>
          <cell r="G2294" t="str">
            <v>VE</v>
          </cell>
          <cell r="H2294" t="str">
            <v>ITALIA</v>
          </cell>
          <cell r="J2294" t="str">
            <v>01926730274</v>
          </cell>
          <cell r="M2294" t="str">
            <v>UFFICIO ACQUISTI</v>
          </cell>
          <cell r="N2294" t="str">
            <v>0421 50785</v>
          </cell>
          <cell r="P2294" t="str">
            <v>info@serramentiriva.it</v>
          </cell>
          <cell r="R2294" t="str">
            <v>BONIFICO BANCARIO, ALLA DATA DELLA NOSTRA CONFERMA D'ORDINE</v>
          </cell>
          <cell r="X2294">
            <v>0.25</v>
          </cell>
          <cell r="Y2294">
            <v>-0.04</v>
          </cell>
          <cell r="AB2294">
            <v>0.25</v>
          </cell>
          <cell r="AC2294">
            <v>0.25</v>
          </cell>
          <cell r="AD2294">
            <v>0.25</v>
          </cell>
          <cell r="AE2294">
            <v>0.25</v>
          </cell>
          <cell r="AF2294">
            <v>0.25</v>
          </cell>
          <cell r="AG2294">
            <v>0.25</v>
          </cell>
          <cell r="AH2294">
            <v>0.25</v>
          </cell>
          <cell r="AI2294">
            <v>0.25</v>
          </cell>
          <cell r="AJ2294">
            <v>0.25</v>
          </cell>
          <cell r="AK2294">
            <v>0.25</v>
          </cell>
          <cell r="AL2294">
            <v>0.25</v>
          </cell>
          <cell r="AM2294">
            <v>0.25</v>
          </cell>
          <cell r="AN2294">
            <v>0.25</v>
          </cell>
          <cell r="AO2294">
            <v>0.25</v>
          </cell>
          <cell r="AP2294">
            <v>0.25</v>
          </cell>
          <cell r="AQ2294">
            <v>0.25</v>
          </cell>
          <cell r="AR2294">
            <v>0.25</v>
          </cell>
          <cell r="AS2294">
            <v>0.25</v>
          </cell>
          <cell r="AT2294">
            <v>-0.04</v>
          </cell>
          <cell r="AU2294">
            <v>0.92</v>
          </cell>
          <cell r="AV2294">
            <v>20</v>
          </cell>
          <cell r="AZ2294">
            <v>0.25</v>
          </cell>
          <cell r="BA2294">
            <v>0.25</v>
          </cell>
        </row>
        <row r="2295">
          <cell r="A2295" t="str">
            <v>SERRAMENTI RIVIERA</v>
          </cell>
          <cell r="B2295" t="str">
            <v>2 sede, e 2 filliali : Genova e Chiavari Sig.PAOLO NS REFERENTE - TITOLARE SIG.RA CHIARA</v>
          </cell>
          <cell r="D2295" t="str">
            <v>VIA G. LATIRO 55</v>
          </cell>
          <cell r="E2295" t="str">
            <v>16039</v>
          </cell>
          <cell r="F2295" t="str">
            <v>SESTRI LEVANTE</v>
          </cell>
          <cell r="G2295" t="str">
            <v>GE</v>
          </cell>
          <cell r="H2295" t="str">
            <v>ITALIA</v>
          </cell>
          <cell r="I2295" t="str">
            <v>01057010991</v>
          </cell>
          <cell r="J2295" t="str">
            <v>01057010991</v>
          </cell>
          <cell r="K2295" t="str">
            <v>M5UXCR1</v>
          </cell>
          <cell r="M2295" t="str">
            <v>UFFICIO ACQUISTI</v>
          </cell>
          <cell r="N2295" t="str">
            <v>0185 457474</v>
          </cell>
          <cell r="P2295" t="str">
            <v>serramentiriviera@yahoo.it</v>
          </cell>
          <cell r="R2295" t="str">
            <v>BONIFICO BANCARIO, ALLA DATA DELLA NOSTRA CONFERMA D'ORDINE</v>
          </cell>
          <cell r="X2295">
            <v>0.25</v>
          </cell>
          <cell r="Y2295">
            <v>-0.04</v>
          </cell>
          <cell r="AB2295">
            <v>0.25</v>
          </cell>
          <cell r="AC2295">
            <v>0.25</v>
          </cell>
          <cell r="AD2295">
            <v>0.25</v>
          </cell>
          <cell r="AE2295">
            <v>0.25</v>
          </cell>
          <cell r="AF2295">
            <v>0.25</v>
          </cell>
          <cell r="AG2295">
            <v>0.25</v>
          </cell>
          <cell r="AH2295">
            <v>0.25</v>
          </cell>
          <cell r="AI2295">
            <v>0.25</v>
          </cell>
          <cell r="AJ2295">
            <v>0.25</v>
          </cell>
          <cell r="AK2295">
            <v>0.25</v>
          </cell>
          <cell r="AL2295">
            <v>0.25</v>
          </cell>
          <cell r="AM2295">
            <v>0.25</v>
          </cell>
          <cell r="AN2295">
            <v>0.25</v>
          </cell>
          <cell r="AO2295">
            <v>0.25</v>
          </cell>
          <cell r="AP2295">
            <v>0.25</v>
          </cell>
          <cell r="AQ2295">
            <v>0.25</v>
          </cell>
          <cell r="AR2295">
            <v>0.25</v>
          </cell>
          <cell r="AS2295">
            <v>0.25</v>
          </cell>
          <cell r="AT2295">
            <v>-0.04</v>
          </cell>
          <cell r="AU2295">
            <v>0.92</v>
          </cell>
          <cell r="AV2295">
            <v>20</v>
          </cell>
          <cell r="AZ2295">
            <v>0.25</v>
          </cell>
          <cell r="BA2295">
            <v>0.25</v>
          </cell>
          <cell r="BF2295" t="str">
            <v>CLICK RAPID con espositore 19/11/2021</v>
          </cell>
        </row>
        <row r="2296">
          <cell r="A2296" t="str">
            <v>SERRAMENTI SANTANGELO</v>
          </cell>
          <cell r="D2296" t="str">
            <v>VIA D.SCINA' 125</v>
          </cell>
          <cell r="E2296">
            <v>98051</v>
          </cell>
          <cell r="F2296" t="str">
            <v>BARCELLONA P.DI G.</v>
          </cell>
          <cell r="G2296" t="str">
            <v>ME</v>
          </cell>
          <cell r="H2296" t="str">
            <v>ITALIA</v>
          </cell>
          <cell r="M2296" t="str">
            <v>UFFICIO ACQUISTI</v>
          </cell>
          <cell r="N2296" t="str">
            <v>090 9701232</v>
          </cell>
          <cell r="P2296" t="str">
            <v>serrament.santangelo@libero.it</v>
          </cell>
          <cell r="R2296" t="str">
            <v>BONIFICO BANCARIO, ALLA DATA DELLA NOSTRA CONFERMA D'ORDINE</v>
          </cell>
          <cell r="X2296">
            <v>0.25</v>
          </cell>
          <cell r="Y2296">
            <v>-0.04</v>
          </cell>
          <cell r="AB2296">
            <v>0.25</v>
          </cell>
          <cell r="AC2296">
            <v>0.25</v>
          </cell>
          <cell r="AD2296">
            <v>0.25</v>
          </cell>
          <cell r="AE2296">
            <v>0.25</v>
          </cell>
          <cell r="AF2296">
            <v>0.25</v>
          </cell>
          <cell r="AG2296">
            <v>0.25</v>
          </cell>
          <cell r="AH2296">
            <v>0.25</v>
          </cell>
          <cell r="AI2296">
            <v>0.25</v>
          </cell>
          <cell r="AJ2296">
            <v>0.25</v>
          </cell>
          <cell r="AK2296">
            <v>0.25</v>
          </cell>
          <cell r="AL2296">
            <v>0.25</v>
          </cell>
          <cell r="AM2296">
            <v>0.25</v>
          </cell>
          <cell r="AN2296">
            <v>0.25</v>
          </cell>
          <cell r="AO2296">
            <v>0.25</v>
          </cell>
          <cell r="AP2296">
            <v>0.25</v>
          </cell>
          <cell r="AQ2296">
            <v>0.25</v>
          </cell>
          <cell r="AR2296">
            <v>0.25</v>
          </cell>
          <cell r="AS2296">
            <v>0.25</v>
          </cell>
          <cell r="AT2296">
            <v>-0.04</v>
          </cell>
          <cell r="AU2296">
            <v>0.92</v>
          </cell>
          <cell r="AV2296">
            <v>20</v>
          </cell>
          <cell r="AZ2296">
            <v>0.25</v>
          </cell>
          <cell r="BA2296">
            <v>0.25</v>
          </cell>
        </row>
        <row r="2297">
          <cell r="A2297" t="str">
            <v>SERRAMENTI SNC</v>
          </cell>
          <cell r="D2297" t="str">
            <v>VIA ETRURIA, 18</v>
          </cell>
          <cell r="E2297">
            <v>56021</v>
          </cell>
          <cell r="F2297" t="str">
            <v>CASCINA</v>
          </cell>
          <cell r="G2297" t="str">
            <v>PI</v>
          </cell>
          <cell r="H2297" t="str">
            <v>ITALIA</v>
          </cell>
          <cell r="J2297" t="str">
            <v>01400700504</v>
          </cell>
          <cell r="M2297" t="str">
            <v>UFFICIO ACQUISTI</v>
          </cell>
          <cell r="N2297" t="str">
            <v>050 701999</v>
          </cell>
          <cell r="P2297" t="str">
            <v>info@serramenticascina.com</v>
          </cell>
          <cell r="R2297" t="str">
            <v>BONIFICO BANCARIO, ALLA DATA DELLA NOSTRA CONFERMA D'ORDINE</v>
          </cell>
          <cell r="X2297">
            <v>0.25</v>
          </cell>
          <cell r="Y2297">
            <v>-0.04</v>
          </cell>
          <cell r="AB2297">
            <v>0.25</v>
          </cell>
          <cell r="AC2297">
            <v>0.25</v>
          </cell>
          <cell r="AD2297">
            <v>0.25</v>
          </cell>
          <cell r="AE2297">
            <v>0.25</v>
          </cell>
          <cell r="AF2297">
            <v>0.25</v>
          </cell>
          <cell r="AG2297">
            <v>0.25</v>
          </cell>
          <cell r="AH2297">
            <v>0.25</v>
          </cell>
          <cell r="AI2297">
            <v>0.25</v>
          </cell>
          <cell r="AJ2297">
            <v>0.25</v>
          </cell>
          <cell r="AK2297">
            <v>0.25</v>
          </cell>
          <cell r="AL2297">
            <v>0.25</v>
          </cell>
          <cell r="AM2297">
            <v>0.25</v>
          </cell>
          <cell r="AN2297">
            <v>0.25</v>
          </cell>
          <cell r="AO2297">
            <v>0.25</v>
          </cell>
          <cell r="AP2297">
            <v>0.25</v>
          </cell>
          <cell r="AQ2297">
            <v>0.25</v>
          </cell>
          <cell r="AR2297">
            <v>0.25</v>
          </cell>
          <cell r="AS2297">
            <v>0.25</v>
          </cell>
          <cell r="AT2297">
            <v>-0.04</v>
          </cell>
          <cell r="AU2297">
            <v>0.92</v>
          </cell>
          <cell r="AV2297">
            <v>20</v>
          </cell>
          <cell r="AZ2297">
            <v>0.25</v>
          </cell>
          <cell r="BA2297">
            <v>0.25</v>
          </cell>
        </row>
        <row r="2298">
          <cell r="A2298" t="str">
            <v>SERRAMENTI TIZIANO PONSANU</v>
          </cell>
          <cell r="D2298" t="str">
            <v>VIA LOMBARDIA, 3</v>
          </cell>
          <cell r="E2298" t="str">
            <v>08020</v>
          </cell>
          <cell r="F2298" t="str">
            <v>BUDONI</v>
          </cell>
          <cell r="G2298" t="str">
            <v>SS</v>
          </cell>
          <cell r="H2298" t="str">
            <v>ITALIA</v>
          </cell>
          <cell r="J2298" t="str">
            <v>01156730941</v>
          </cell>
          <cell r="M2298" t="str">
            <v>UFFICIO ACQUISTI</v>
          </cell>
          <cell r="O2298" t="str">
            <v>328 2997447</v>
          </cell>
          <cell r="P2298" t="str">
            <v>tizianoponsanu@libero.it</v>
          </cell>
          <cell r="R2298" t="str">
            <v>BONIFICO BANCARIO, ALLA DATA DELLA NOSTRA CONFERMA D'ORDINE</v>
          </cell>
          <cell r="X2298">
            <v>0.2</v>
          </cell>
          <cell r="Y2298">
            <v>-0.04</v>
          </cell>
          <cell r="AB2298">
            <v>0.2</v>
          </cell>
          <cell r="AC2298">
            <v>0.2</v>
          </cell>
          <cell r="AD2298">
            <v>0.2</v>
          </cell>
          <cell r="AE2298">
            <v>0.2</v>
          </cell>
          <cell r="AF2298">
            <v>0.2</v>
          </cell>
          <cell r="AG2298">
            <v>0.2</v>
          </cell>
          <cell r="AH2298">
            <v>0.2</v>
          </cell>
          <cell r="AI2298">
            <v>0.2</v>
          </cell>
          <cell r="AJ2298">
            <v>0.2</v>
          </cell>
          <cell r="AK2298">
            <v>0.2</v>
          </cell>
          <cell r="AL2298">
            <v>0.2</v>
          </cell>
          <cell r="AM2298">
            <v>0.2</v>
          </cell>
          <cell r="AN2298">
            <v>0.2</v>
          </cell>
          <cell r="AO2298">
            <v>0.2</v>
          </cell>
          <cell r="AP2298">
            <v>0.2</v>
          </cell>
          <cell r="AQ2298">
            <v>0.2</v>
          </cell>
          <cell r="AR2298">
            <v>0.2</v>
          </cell>
          <cell r="AS2298">
            <v>0.2</v>
          </cell>
          <cell r="AT2298">
            <v>-0.04</v>
          </cell>
          <cell r="AU2298">
            <v>0.92</v>
          </cell>
          <cell r="AV2298">
            <v>20</v>
          </cell>
          <cell r="AZ2298">
            <v>0.2</v>
          </cell>
          <cell r="BA2298">
            <v>0.2</v>
          </cell>
        </row>
        <row r="2299">
          <cell r="A2299" t="str">
            <v>SERRAMENTI TOMATIS</v>
          </cell>
          <cell r="D2299" t="str">
            <v>VIA TORRE, 48</v>
          </cell>
          <cell r="E2299">
            <v>12080</v>
          </cell>
          <cell r="F2299" t="str">
            <v>S.MICHELE MONDOVI'</v>
          </cell>
          <cell r="G2299" t="str">
            <v>CN</v>
          </cell>
          <cell r="H2299" t="str">
            <v>ITALIA</v>
          </cell>
          <cell r="M2299" t="str">
            <v>UFFICIO ACQUISTI</v>
          </cell>
          <cell r="O2299" t="str">
            <v>340 7869618</v>
          </cell>
          <cell r="R2299" t="str">
            <v>BONIFICO BANCARIO, ALLA DATA DELLA NOSTRA CONFERMA D'ORDINE</v>
          </cell>
          <cell r="X2299">
            <v>0.25</v>
          </cell>
          <cell r="Y2299">
            <v>-0.04</v>
          </cell>
          <cell r="AB2299">
            <v>0.25</v>
          </cell>
          <cell r="AC2299">
            <v>0.25</v>
          </cell>
          <cell r="AD2299">
            <v>0.25</v>
          </cell>
          <cell r="AE2299">
            <v>0.25</v>
          </cell>
          <cell r="AF2299">
            <v>0.25</v>
          </cell>
          <cell r="AG2299">
            <v>0.25</v>
          </cell>
          <cell r="AH2299">
            <v>0.25</v>
          </cell>
          <cell r="AI2299">
            <v>0.25</v>
          </cell>
          <cell r="AJ2299">
            <v>0.25</v>
          </cell>
          <cell r="AK2299">
            <v>0.25</v>
          </cell>
          <cell r="AL2299">
            <v>0.25</v>
          </cell>
          <cell r="AM2299">
            <v>0.25</v>
          </cell>
          <cell r="AN2299">
            <v>0.25</v>
          </cell>
          <cell r="AO2299">
            <v>0.25</v>
          </cell>
          <cell r="AP2299">
            <v>0.25</v>
          </cell>
          <cell r="AQ2299">
            <v>0.25</v>
          </cell>
          <cell r="AR2299">
            <v>0.25</v>
          </cell>
          <cell r="AS2299">
            <v>0.25</v>
          </cell>
          <cell r="AT2299">
            <v>-0.04</v>
          </cell>
          <cell r="AU2299">
            <v>0.92</v>
          </cell>
          <cell r="AV2299">
            <v>20</v>
          </cell>
          <cell r="AZ2299">
            <v>0.25</v>
          </cell>
          <cell r="BA2299">
            <v>0.25</v>
          </cell>
        </row>
        <row r="2300">
          <cell r="A2300" t="str">
            <v>SERRAMENTI TSC</v>
          </cell>
          <cell r="D2300" t="str">
            <v>VIA VIGONOVESE, 105</v>
          </cell>
          <cell r="E2300">
            <v>35127</v>
          </cell>
          <cell r="F2300" t="str">
            <v>PADOVA CAMIN</v>
          </cell>
          <cell r="G2300" t="str">
            <v>PD</v>
          </cell>
          <cell r="H2300" t="str">
            <v>ITALIA</v>
          </cell>
          <cell r="M2300" t="str">
            <v>UFFICIO ACQUISTI</v>
          </cell>
          <cell r="O2300" t="str">
            <v>Corrado 393 0967185 Adriano 329 5326625</v>
          </cell>
          <cell r="R2300" t="str">
            <v>BONIFICO BANCARIO, ALLA DATA DELLA NOSTRA CONFERMA D'ORDINE</v>
          </cell>
          <cell r="X2300">
            <v>0.25</v>
          </cell>
          <cell r="Y2300">
            <v>-0.04</v>
          </cell>
          <cell r="AB2300">
            <v>0.25</v>
          </cell>
          <cell r="AC2300">
            <v>0.25</v>
          </cell>
          <cell r="AD2300">
            <v>0.25</v>
          </cell>
          <cell r="AE2300">
            <v>0.25</v>
          </cell>
          <cell r="AF2300">
            <v>0.25</v>
          </cell>
          <cell r="AG2300">
            <v>0.25</v>
          </cell>
          <cell r="AH2300">
            <v>0.25</v>
          </cell>
          <cell r="AI2300">
            <v>0.25</v>
          </cell>
          <cell r="AJ2300">
            <v>0.25</v>
          </cell>
          <cell r="AK2300">
            <v>0.25</v>
          </cell>
          <cell r="AL2300">
            <v>0.25</v>
          </cell>
          <cell r="AM2300">
            <v>0.25</v>
          </cell>
          <cell r="AN2300">
            <v>0.25</v>
          </cell>
          <cell r="AO2300">
            <v>0.25</v>
          </cell>
          <cell r="AP2300">
            <v>0.25</v>
          </cell>
          <cell r="AQ2300">
            <v>0.25</v>
          </cell>
          <cell r="AR2300">
            <v>0.25</v>
          </cell>
          <cell r="AS2300">
            <v>0.25</v>
          </cell>
          <cell r="AT2300">
            <v>-0.04</v>
          </cell>
          <cell r="AU2300">
            <v>0.92</v>
          </cell>
          <cell r="AV2300">
            <v>20</v>
          </cell>
          <cell r="AZ2300">
            <v>0.25</v>
          </cell>
          <cell r="BA2300">
            <v>0.25</v>
          </cell>
        </row>
        <row r="2301">
          <cell r="A2301" t="str">
            <v>SERRAMENTI VACCHER ADRIANO</v>
          </cell>
          <cell r="D2301" t="str">
            <v>VIA VENZONE 2</v>
          </cell>
          <cell r="E2301" t="str">
            <v>33078</v>
          </cell>
          <cell r="F2301" t="str">
            <v>SAN VITO AL TAGLIAMENTO</v>
          </cell>
          <cell r="G2301" t="str">
            <v>PN</v>
          </cell>
          <cell r="H2301" t="str">
            <v>ITALIA</v>
          </cell>
          <cell r="M2301" t="str">
            <v>UFFICIO ACQUISTI</v>
          </cell>
          <cell r="N2301" t="str">
            <v>0434 85029</v>
          </cell>
          <cell r="P2301" t="str">
            <v>ditta.vaccher@libero.it</v>
          </cell>
          <cell r="R2301" t="str">
            <v>BONIFICO BANCARIO, ALLA DATA DELLA NOSTRA CONFERMA D'ORDINE</v>
          </cell>
          <cell r="X2301">
            <v>0.25</v>
          </cell>
          <cell r="Y2301">
            <v>-0.04</v>
          </cell>
          <cell r="AB2301">
            <v>0.25</v>
          </cell>
          <cell r="AC2301">
            <v>0.25</v>
          </cell>
          <cell r="AD2301">
            <v>0.25</v>
          </cell>
          <cell r="AE2301">
            <v>0.25</v>
          </cell>
          <cell r="AF2301">
            <v>0.25</v>
          </cell>
          <cell r="AG2301">
            <v>0.25</v>
          </cell>
          <cell r="AH2301">
            <v>0.25</v>
          </cell>
          <cell r="AI2301">
            <v>0.25</v>
          </cell>
          <cell r="AJ2301">
            <v>0.25</v>
          </cell>
          <cell r="AK2301">
            <v>0.25</v>
          </cell>
          <cell r="AL2301">
            <v>0.25</v>
          </cell>
          <cell r="AM2301">
            <v>0.25</v>
          </cell>
          <cell r="AN2301">
            <v>0.25</v>
          </cell>
          <cell r="AO2301">
            <v>0.25</v>
          </cell>
          <cell r="AP2301">
            <v>0.25</v>
          </cell>
          <cell r="AQ2301">
            <v>0.25</v>
          </cell>
          <cell r="AR2301">
            <v>0.25</v>
          </cell>
          <cell r="AS2301">
            <v>0.25</v>
          </cell>
          <cell r="AT2301">
            <v>-0.04</v>
          </cell>
          <cell r="AU2301">
            <v>0.92</v>
          </cell>
          <cell r="AV2301">
            <v>20</v>
          </cell>
          <cell r="AZ2301">
            <v>0.25</v>
          </cell>
          <cell r="BA2301">
            <v>0.25</v>
          </cell>
        </row>
        <row r="2302">
          <cell r="A2302" t="str">
            <v>SERRAMENTI VALENTI</v>
          </cell>
          <cell r="D2302" t="str">
            <v>VIA DEI PELAGHI, 298  300</v>
          </cell>
          <cell r="E2302">
            <v>57124</v>
          </cell>
          <cell r="F2302" t="str">
            <v>LIVORNO</v>
          </cell>
          <cell r="G2302" t="str">
            <v>LI</v>
          </cell>
          <cell r="H2302" t="str">
            <v>ITALIA</v>
          </cell>
          <cell r="M2302" t="str">
            <v>UFFICIO ACQUISTI</v>
          </cell>
          <cell r="N2302" t="str">
            <v>0586 426135</v>
          </cell>
          <cell r="O2302" t="str">
            <v>339 1399627</v>
          </cell>
          <cell r="P2302" t="str">
            <v>info@centroassistenzainfissi.com</v>
          </cell>
          <cell r="R2302" t="str">
            <v>BONIFICO BANCARIO, ALLA DATA DELLA NOSTRA CONFERMA D'ORDINE</v>
          </cell>
          <cell r="X2302">
            <v>0.25</v>
          </cell>
          <cell r="Y2302">
            <v>-0.04</v>
          </cell>
          <cell r="AB2302">
            <v>0.25</v>
          </cell>
          <cell r="AC2302">
            <v>0.25</v>
          </cell>
          <cell r="AD2302">
            <v>0.25</v>
          </cell>
          <cell r="AE2302">
            <v>0.25</v>
          </cell>
          <cell r="AF2302">
            <v>0.25</v>
          </cell>
          <cell r="AG2302">
            <v>0.25</v>
          </cell>
          <cell r="AH2302">
            <v>0.25</v>
          </cell>
          <cell r="AI2302">
            <v>0.25</v>
          </cell>
          <cell r="AJ2302">
            <v>0.25</v>
          </cell>
          <cell r="AK2302">
            <v>0.25</v>
          </cell>
          <cell r="AL2302">
            <v>0.25</v>
          </cell>
          <cell r="AM2302">
            <v>0.25</v>
          </cell>
          <cell r="AN2302">
            <v>0.25</v>
          </cell>
          <cell r="AO2302">
            <v>0.25</v>
          </cell>
          <cell r="AP2302">
            <v>0.25</v>
          </cell>
          <cell r="AQ2302">
            <v>0.25</v>
          </cell>
          <cell r="AR2302">
            <v>0.25</v>
          </cell>
          <cell r="AS2302">
            <v>0.25</v>
          </cell>
          <cell r="AT2302">
            <v>-0.04</v>
          </cell>
          <cell r="AU2302">
            <v>0.92</v>
          </cell>
          <cell r="AV2302">
            <v>20</v>
          </cell>
          <cell r="AZ2302">
            <v>0.25</v>
          </cell>
          <cell r="BA2302">
            <v>0.25</v>
          </cell>
        </row>
        <row r="2303">
          <cell r="A2303" t="str">
            <v>SERRAMENTI VICARI</v>
          </cell>
          <cell r="D2303" t="str">
            <v>VIA DANTE ALIGHIERI , 192</v>
          </cell>
          <cell r="E2303">
            <v>18038</v>
          </cell>
          <cell r="F2303" t="str">
            <v>SANREMO</v>
          </cell>
          <cell r="G2303" t="str">
            <v>IM</v>
          </cell>
          <cell r="H2303" t="str">
            <v>ITALIA</v>
          </cell>
          <cell r="M2303" t="str">
            <v>UFFICIO ACQUISTI</v>
          </cell>
          <cell r="N2303" t="str">
            <v>0184 509290</v>
          </cell>
          <cell r="O2303" t="str">
            <v>347 9798305</v>
          </cell>
          <cell r="P2303" t="str">
            <v>serramentivicari@email.it</v>
          </cell>
          <cell r="R2303" t="str">
            <v>BONIFICO BANCARIO, ALLA DATA DELLA NOSTRA CONFERMA D'ORDINE</v>
          </cell>
          <cell r="X2303">
            <v>0.25</v>
          </cell>
          <cell r="Y2303">
            <v>-0.04</v>
          </cell>
          <cell r="AB2303">
            <v>0.25</v>
          </cell>
          <cell r="AC2303">
            <v>0.25</v>
          </cell>
          <cell r="AD2303">
            <v>0.25</v>
          </cell>
          <cell r="AE2303">
            <v>0.25</v>
          </cell>
          <cell r="AF2303">
            <v>0.25</v>
          </cell>
          <cell r="AG2303">
            <v>0.25</v>
          </cell>
          <cell r="AH2303">
            <v>0.25</v>
          </cell>
          <cell r="AI2303">
            <v>0.25</v>
          </cell>
          <cell r="AJ2303">
            <v>0.25</v>
          </cell>
          <cell r="AK2303">
            <v>0.25</v>
          </cell>
          <cell r="AL2303">
            <v>0.25</v>
          </cell>
          <cell r="AM2303">
            <v>0.25</v>
          </cell>
          <cell r="AN2303">
            <v>0.25</v>
          </cell>
          <cell r="AO2303">
            <v>0.25</v>
          </cell>
          <cell r="AP2303">
            <v>0.25</v>
          </cell>
          <cell r="AQ2303">
            <v>0.25</v>
          </cell>
          <cell r="AR2303">
            <v>0.25</v>
          </cell>
          <cell r="AS2303">
            <v>0.25</v>
          </cell>
          <cell r="AT2303">
            <v>-0.04</v>
          </cell>
          <cell r="AU2303">
            <v>0.92</v>
          </cell>
          <cell r="AV2303">
            <v>20</v>
          </cell>
          <cell r="AZ2303">
            <v>0.25</v>
          </cell>
          <cell r="BA2303">
            <v>0.25</v>
          </cell>
        </row>
        <row r="2304">
          <cell r="A2304" t="str">
            <v>SERRAMENTISTICA LIGURE</v>
          </cell>
          <cell r="D2304" t="str">
            <v>VIA A.G. BARRILI, 31 R</v>
          </cell>
          <cell r="E2304" t="str">
            <v>16143</v>
          </cell>
          <cell r="F2304" t="str">
            <v>GENOVA</v>
          </cell>
          <cell r="G2304" t="str">
            <v>GE</v>
          </cell>
          <cell r="H2304" t="str">
            <v>ITALIA</v>
          </cell>
          <cell r="M2304" t="str">
            <v>UFFICIO ACQUISTI</v>
          </cell>
          <cell r="N2304" t="str">
            <v>010 513052</v>
          </cell>
          <cell r="P2304" t="str">
            <v>s.l.barrili@hotmail.it</v>
          </cell>
          <cell r="R2304" t="str">
            <v>BONIFICO BANCARIO, ALLA DATA DELLA NOSTRA CONFERMA D'ORDINE</v>
          </cell>
          <cell r="X2304">
            <v>0.2</v>
          </cell>
          <cell r="Y2304">
            <v>-0.04</v>
          </cell>
          <cell r="AB2304">
            <v>0.2</v>
          </cell>
          <cell r="AC2304">
            <v>0.2</v>
          </cell>
          <cell r="AD2304">
            <v>0.2</v>
          </cell>
          <cell r="AE2304">
            <v>0.2</v>
          </cell>
          <cell r="AF2304">
            <v>0.2</v>
          </cell>
          <cell r="AG2304">
            <v>0.2</v>
          </cell>
          <cell r="AH2304">
            <v>0.2</v>
          </cell>
          <cell r="AI2304">
            <v>0.2</v>
          </cell>
          <cell r="AJ2304">
            <v>0.2</v>
          </cell>
          <cell r="AK2304">
            <v>0.2</v>
          </cell>
          <cell r="AL2304">
            <v>0.2</v>
          </cell>
          <cell r="AM2304">
            <v>0.2</v>
          </cell>
          <cell r="AN2304">
            <v>0.2</v>
          </cell>
          <cell r="AO2304">
            <v>0.2</v>
          </cell>
          <cell r="AP2304">
            <v>0.2</v>
          </cell>
          <cell r="AQ2304">
            <v>0.2</v>
          </cell>
          <cell r="AR2304">
            <v>0.2</v>
          </cell>
          <cell r="AS2304">
            <v>0.2</v>
          </cell>
          <cell r="AT2304">
            <v>-0.04</v>
          </cell>
          <cell r="AU2304">
            <v>0.92</v>
          </cell>
          <cell r="AV2304">
            <v>20</v>
          </cell>
          <cell r="AZ2304">
            <v>0.2</v>
          </cell>
          <cell r="BA2304">
            <v>0.2</v>
          </cell>
        </row>
        <row r="2305">
          <cell r="A2305" t="str">
            <v>SERRANDE FARRIS DAL 1979</v>
          </cell>
          <cell r="B2305" t="str">
            <v xml:space="preserve">SOLO BIGLIETTO DA VISITA </v>
          </cell>
          <cell r="D2305" t="str">
            <v>VIA TIRSO, 3</v>
          </cell>
          <cell r="E2305" t="str">
            <v>09023</v>
          </cell>
          <cell r="F2305" t="str">
            <v>MONASTIR</v>
          </cell>
          <cell r="G2305" t="str">
            <v>CA</v>
          </cell>
          <cell r="H2305" t="str">
            <v>ITALIA</v>
          </cell>
          <cell r="M2305" t="str">
            <v>UFFICIO ACQUISTI</v>
          </cell>
          <cell r="N2305" t="str">
            <v>070 9177568</v>
          </cell>
          <cell r="O2305" t="str">
            <v>346 4195244 CRISTIAN</v>
          </cell>
          <cell r="P2305" t="str">
            <v>serrandefarris@gmail.com</v>
          </cell>
          <cell r="R2305" t="str">
            <v>BONIFICO BANCARIO, ALLA DATA DELLA NOSTRA CONFERMA D'ORDINE</v>
          </cell>
          <cell r="X2305">
            <v>0.25</v>
          </cell>
          <cell r="Y2305">
            <v>-0.04</v>
          </cell>
          <cell r="AB2305">
            <v>0.25</v>
          </cell>
          <cell r="AC2305">
            <v>0.25</v>
          </cell>
          <cell r="AD2305">
            <v>0.25</v>
          </cell>
          <cell r="AE2305">
            <v>0.25</v>
          </cell>
          <cell r="AF2305">
            <v>0.25</v>
          </cell>
          <cell r="AG2305">
            <v>0.25</v>
          </cell>
          <cell r="AH2305">
            <v>0.25</v>
          </cell>
          <cell r="AI2305">
            <v>0.25</v>
          </cell>
          <cell r="AJ2305">
            <v>0.25</v>
          </cell>
          <cell r="AK2305">
            <v>0.25</v>
          </cell>
          <cell r="AL2305">
            <v>0.25</v>
          </cell>
          <cell r="AM2305">
            <v>0.25</v>
          </cell>
          <cell r="AN2305">
            <v>0.25</v>
          </cell>
          <cell r="AO2305">
            <v>0.25</v>
          </cell>
          <cell r="AP2305">
            <v>0.25</v>
          </cell>
          <cell r="AQ2305">
            <v>0.25</v>
          </cell>
          <cell r="AR2305">
            <v>0.25</v>
          </cell>
          <cell r="AS2305">
            <v>0.25</v>
          </cell>
          <cell r="AT2305">
            <v>-0.04</v>
          </cell>
          <cell r="AU2305">
            <v>0.92</v>
          </cell>
          <cell r="AV2305">
            <v>20</v>
          </cell>
          <cell r="AZ2305">
            <v>0.25</v>
          </cell>
          <cell r="BA2305">
            <v>0.25</v>
          </cell>
        </row>
        <row r="2306">
          <cell r="A2306" t="str">
            <v>SERRANDE SCOPELLITI</v>
          </cell>
          <cell r="D2306" t="str">
            <v>VIA TRENSASCO, 13 CANC.</v>
          </cell>
          <cell r="E2306" t="str">
            <v>16138</v>
          </cell>
          <cell r="F2306" t="str">
            <v>GENOVA</v>
          </cell>
          <cell r="G2306" t="str">
            <v>GE</v>
          </cell>
          <cell r="H2306" t="str">
            <v>ITALIA</v>
          </cell>
          <cell r="I2306" t="str">
            <v>02624890998</v>
          </cell>
          <cell r="J2306" t="str">
            <v>02624890998</v>
          </cell>
          <cell r="M2306" t="str">
            <v>UFFICIO ACQUISTI</v>
          </cell>
          <cell r="N2306" t="str">
            <v>010 4559114</v>
          </cell>
          <cell r="O2306" t="str">
            <v>340 7452257</v>
          </cell>
          <cell r="R2306" t="str">
            <v>BONIFICO BANCARIO, ALLA DATA DELLA NOSTRA CONFERMA D'ORDINE</v>
          </cell>
          <cell r="X2306">
            <v>0.25</v>
          </cell>
          <cell r="Y2306">
            <v>-0.04</v>
          </cell>
          <cell r="AB2306">
            <v>0.25</v>
          </cell>
          <cell r="AC2306">
            <v>0.25</v>
          </cell>
          <cell r="AD2306">
            <v>0.25</v>
          </cell>
          <cell r="AE2306">
            <v>0.25</v>
          </cell>
          <cell r="AF2306">
            <v>0.25</v>
          </cell>
          <cell r="AG2306">
            <v>0.25</v>
          </cell>
          <cell r="AH2306">
            <v>0.25</v>
          </cell>
          <cell r="AI2306">
            <v>0.25</v>
          </cell>
          <cell r="AJ2306">
            <v>0.25</v>
          </cell>
          <cell r="AK2306">
            <v>0.25</v>
          </cell>
          <cell r="AL2306">
            <v>0.25</v>
          </cell>
          <cell r="AM2306">
            <v>0.25</v>
          </cell>
          <cell r="AN2306">
            <v>0.25</v>
          </cell>
          <cell r="AO2306">
            <v>0.25</v>
          </cell>
          <cell r="AP2306">
            <v>0.25</v>
          </cell>
          <cell r="AQ2306">
            <v>0.25</v>
          </cell>
          <cell r="AR2306">
            <v>0.25</v>
          </cell>
          <cell r="AS2306">
            <v>0.25</v>
          </cell>
          <cell r="AT2306">
            <v>-0.04</v>
          </cell>
          <cell r="AU2306">
            <v>0.92</v>
          </cell>
          <cell r="AV2306">
            <v>20</v>
          </cell>
          <cell r="AZ2306">
            <v>0.25</v>
          </cell>
          <cell r="BA2306">
            <v>0.25</v>
          </cell>
        </row>
        <row r="2307">
          <cell r="A2307" t="str">
            <v>SERRATURE EXPRESS</v>
          </cell>
          <cell r="D2307" t="str">
            <v xml:space="preserve">VIA IVREA 2 </v>
          </cell>
          <cell r="E2307" t="str">
            <v>35142</v>
          </cell>
          <cell r="F2307" t="str">
            <v>PADOVA</v>
          </cell>
          <cell r="G2307" t="str">
            <v>PD</v>
          </cell>
          <cell r="H2307" t="str">
            <v>ITALIA</v>
          </cell>
          <cell r="M2307" t="str">
            <v>UFFICIO ACQUISTI</v>
          </cell>
          <cell r="N2307" t="str">
            <v>049  8760851</v>
          </cell>
          <cell r="O2307" t="str">
            <v>335 5483777</v>
          </cell>
          <cell r="P2307" t="str">
            <v>andrea.paccagnella@hotmail.it</v>
          </cell>
          <cell r="R2307" t="str">
            <v>BONIFICO BANCARIO, ALLA DATA DELLA NOSTRA CONFERMA D'ORDINE</v>
          </cell>
          <cell r="X2307">
            <v>0.25</v>
          </cell>
          <cell r="Y2307">
            <v>-0.04</v>
          </cell>
          <cell r="AB2307">
            <v>0.25</v>
          </cell>
          <cell r="AC2307">
            <v>0.25</v>
          </cell>
          <cell r="AD2307">
            <v>0.25</v>
          </cell>
          <cell r="AE2307">
            <v>0.25</v>
          </cell>
          <cell r="AF2307">
            <v>0.25</v>
          </cell>
          <cell r="AG2307">
            <v>0.25</v>
          </cell>
          <cell r="AH2307">
            <v>0.25</v>
          </cell>
          <cell r="AI2307">
            <v>0.25</v>
          </cell>
          <cell r="AJ2307">
            <v>0.25</v>
          </cell>
          <cell r="AK2307">
            <v>0.25</v>
          </cell>
          <cell r="AL2307">
            <v>0.25</v>
          </cell>
          <cell r="AM2307">
            <v>0.25</v>
          </cell>
          <cell r="AN2307">
            <v>0.25</v>
          </cell>
          <cell r="AO2307">
            <v>0.25</v>
          </cell>
          <cell r="AP2307">
            <v>0.25</v>
          </cell>
          <cell r="AQ2307">
            <v>0.25</v>
          </cell>
          <cell r="AR2307">
            <v>0.25</v>
          </cell>
          <cell r="AS2307">
            <v>0.25</v>
          </cell>
          <cell r="AT2307">
            <v>-0.04</v>
          </cell>
          <cell r="AU2307">
            <v>0.92</v>
          </cell>
          <cell r="AV2307">
            <v>20</v>
          </cell>
          <cell r="AZ2307">
            <v>0.25</v>
          </cell>
          <cell r="BA2307">
            <v>0.25</v>
          </cell>
        </row>
        <row r="2308">
          <cell r="A2308" t="str">
            <v>SERRIDEA DI MARCO CARAMANNA</v>
          </cell>
          <cell r="D2308" t="str">
            <v>VIA L.PIRANDELLO, 42</v>
          </cell>
          <cell r="E2308">
            <v>50053</v>
          </cell>
          <cell r="F2308" t="str">
            <v>EMPOLI</v>
          </cell>
          <cell r="G2308" t="str">
            <v>FI</v>
          </cell>
          <cell r="H2308" t="str">
            <v>ITALIA</v>
          </cell>
          <cell r="I2308" t="str">
            <v>CRMMRC66T18D403G</v>
          </cell>
          <cell r="J2308" t="str">
            <v>04548770488</v>
          </cell>
          <cell r="M2308" t="str">
            <v>UFFICIO ACQUISTI</v>
          </cell>
          <cell r="N2308" t="str">
            <v>0571 920065</v>
          </cell>
          <cell r="O2308" t="str">
            <v>335 1370751</v>
          </cell>
          <cell r="P2308" t="str">
            <v>serridea@marcocara.191.it</v>
          </cell>
          <cell r="R2308" t="str">
            <v>BONIFICO BANCARIO, ALLA DATA DELLA NOSTRA CONFERMA D'ORDINE</v>
          </cell>
          <cell r="X2308">
            <v>0.25</v>
          </cell>
          <cell r="Y2308">
            <v>-0.04</v>
          </cell>
          <cell r="AB2308">
            <v>0.25</v>
          </cell>
          <cell r="AC2308">
            <v>0.25</v>
          </cell>
          <cell r="AD2308">
            <v>0.25</v>
          </cell>
          <cell r="AE2308">
            <v>0.25</v>
          </cell>
          <cell r="AF2308">
            <v>0.25</v>
          </cell>
          <cell r="AG2308">
            <v>0.25</v>
          </cell>
          <cell r="AH2308">
            <v>0.25</v>
          </cell>
          <cell r="AI2308">
            <v>0.25</v>
          </cell>
          <cell r="AJ2308">
            <v>0.25</v>
          </cell>
          <cell r="AK2308">
            <v>0.25</v>
          </cell>
          <cell r="AL2308">
            <v>0.25</v>
          </cell>
          <cell r="AM2308">
            <v>0.25</v>
          </cell>
          <cell r="AN2308">
            <v>0.25</v>
          </cell>
          <cell r="AO2308">
            <v>0.25</v>
          </cell>
          <cell r="AP2308">
            <v>0.25</v>
          </cell>
          <cell r="AQ2308">
            <v>0.25</v>
          </cell>
          <cell r="AR2308">
            <v>0.25</v>
          </cell>
          <cell r="AS2308">
            <v>0.25</v>
          </cell>
          <cell r="AT2308">
            <v>-0.04</v>
          </cell>
          <cell r="AU2308">
            <v>0.92</v>
          </cell>
          <cell r="AV2308">
            <v>20</v>
          </cell>
          <cell r="AZ2308">
            <v>0.25</v>
          </cell>
          <cell r="BA2308">
            <v>0.25</v>
          </cell>
        </row>
        <row r="2309">
          <cell r="A2309" t="str">
            <v>SERRMETIC SNC DI FRANCO ELIO E C.</v>
          </cell>
          <cell r="B2309" t="str">
            <v>SIG. MASSIMO, FORSE CAMPIONE. GIA' VISITATO  HA CHIESTO PREVENTIVO MA NON E' ANDATO A BUON FINE</v>
          </cell>
          <cell r="D2309" t="str">
            <v>VIA XXIV MAGGIO, 24</v>
          </cell>
          <cell r="E2309" t="str">
            <v>33050</v>
          </cell>
          <cell r="F2309" t="str">
            <v>BAGNARIA ARSA</v>
          </cell>
          <cell r="G2309" t="str">
            <v>UD</v>
          </cell>
          <cell r="H2309" t="str">
            <v>ITALIA</v>
          </cell>
          <cell r="J2309" t="str">
            <v>01906380306</v>
          </cell>
          <cell r="M2309" t="str">
            <v>UFFICIO ACQUISTI</v>
          </cell>
          <cell r="N2309" t="str">
            <v>0432 928904</v>
          </cell>
          <cell r="P2309" t="str">
            <v>info@serrmetic.it</v>
          </cell>
          <cell r="R2309" t="str">
            <v>BONIFICO BANCARIO, ALLA DATA DELLA NOSTRA CONFERMA D'ORDINE</v>
          </cell>
          <cell r="X2309">
            <v>0.25</v>
          </cell>
          <cell r="Y2309">
            <v>-0.04</v>
          </cell>
          <cell r="AB2309">
            <v>0.25</v>
          </cell>
          <cell r="AC2309">
            <v>0.25</v>
          </cell>
          <cell r="AD2309">
            <v>0.25</v>
          </cell>
          <cell r="AE2309">
            <v>0.25</v>
          </cell>
          <cell r="AF2309">
            <v>0.25</v>
          </cell>
          <cell r="AG2309">
            <v>0.25</v>
          </cell>
          <cell r="AH2309">
            <v>0.25</v>
          </cell>
          <cell r="AI2309">
            <v>0.25</v>
          </cell>
          <cell r="AJ2309">
            <v>0.25</v>
          </cell>
          <cell r="AK2309">
            <v>0.25</v>
          </cell>
          <cell r="AL2309">
            <v>0.25</v>
          </cell>
          <cell r="AM2309">
            <v>0.25</v>
          </cell>
          <cell r="AN2309">
            <v>0.25</v>
          </cell>
          <cell r="AO2309">
            <v>0.25</v>
          </cell>
          <cell r="AP2309">
            <v>0.25</v>
          </cell>
          <cell r="AQ2309">
            <v>0.25</v>
          </cell>
          <cell r="AR2309">
            <v>0.25</v>
          </cell>
          <cell r="AS2309">
            <v>0.25</v>
          </cell>
          <cell r="AT2309">
            <v>-0.04</v>
          </cell>
          <cell r="AU2309">
            <v>0.92</v>
          </cell>
          <cell r="AV2309">
            <v>20</v>
          </cell>
          <cell r="AZ2309">
            <v>0.25</v>
          </cell>
          <cell r="BA2309">
            <v>0.25</v>
          </cell>
        </row>
        <row r="2310">
          <cell r="A2310" t="str">
            <v>SERRO MARCHE INFISSI SRL</v>
          </cell>
          <cell r="D2310" t="str">
            <v>VIA UMBRIA, 51</v>
          </cell>
          <cell r="E2310">
            <v>62014</v>
          </cell>
          <cell r="F2310" t="str">
            <v>CALBUCCARO DI CORRIDONIA</v>
          </cell>
          <cell r="G2310" t="str">
            <v>MC</v>
          </cell>
          <cell r="H2310" t="str">
            <v>ITALIA</v>
          </cell>
          <cell r="M2310" t="str">
            <v>UFFICIO ACQUISTI</v>
          </cell>
          <cell r="N2310" t="str">
            <v>0733 202019</v>
          </cell>
          <cell r="P2310" t="str">
            <v>info@serromarche.it - e.appignanesi@serromarche.it</v>
          </cell>
          <cell r="R2310" t="str">
            <v>BONIFICO BANCARIO, ALLA DATA DELLA NOSTRA CONFERMA D'ORDINE</v>
          </cell>
          <cell r="X2310">
            <v>0.25</v>
          </cell>
          <cell r="Y2310">
            <v>-0.04</v>
          </cell>
          <cell r="AB2310">
            <v>0.25</v>
          </cell>
          <cell r="AC2310">
            <v>0.25</v>
          </cell>
          <cell r="AD2310">
            <v>0.25</v>
          </cell>
          <cell r="AE2310">
            <v>0.25</v>
          </cell>
          <cell r="AF2310">
            <v>0.25</v>
          </cell>
          <cell r="AG2310">
            <v>0.25</v>
          </cell>
          <cell r="AH2310">
            <v>0.25</v>
          </cell>
          <cell r="AI2310">
            <v>0.25</v>
          </cell>
          <cell r="AJ2310">
            <v>0.25</v>
          </cell>
          <cell r="AK2310">
            <v>0.25</v>
          </cell>
          <cell r="AL2310">
            <v>0.25</v>
          </cell>
          <cell r="AM2310">
            <v>0.25</v>
          </cell>
          <cell r="AN2310">
            <v>0.25</v>
          </cell>
          <cell r="AO2310">
            <v>0.25</v>
          </cell>
          <cell r="AP2310">
            <v>0.25</v>
          </cell>
          <cell r="AQ2310">
            <v>0.25</v>
          </cell>
          <cell r="AR2310">
            <v>0.25</v>
          </cell>
          <cell r="AS2310">
            <v>0.25</v>
          </cell>
          <cell r="AT2310">
            <v>-0.04</v>
          </cell>
          <cell r="AU2310">
            <v>0.92</v>
          </cell>
          <cell r="AV2310">
            <v>20</v>
          </cell>
          <cell r="AZ2310">
            <v>0.25</v>
          </cell>
          <cell r="BA2310">
            <v>0.25</v>
          </cell>
        </row>
        <row r="2311">
          <cell r="A2311" t="str">
            <v>SEVIDO SERRAMENTI SRLS DI AZZARA E PELLEGRINO</v>
          </cell>
          <cell r="D2311" t="str">
            <v>STRADA VITTORIA SANTA CROCE, 12</v>
          </cell>
          <cell r="E2311" t="str">
            <v>97019</v>
          </cell>
          <cell r="F2311" t="str">
            <v>VITTORIA</v>
          </cell>
          <cell r="G2311" t="str">
            <v>RG</v>
          </cell>
          <cell r="H2311" t="str">
            <v>ITALIA</v>
          </cell>
          <cell r="J2311" t="str">
            <v>01699550883</v>
          </cell>
          <cell r="M2311" t="str">
            <v>UFFICIO ACQUISTI</v>
          </cell>
          <cell r="N2311" t="str">
            <v>0932 987799</v>
          </cell>
          <cell r="O2311" t="str">
            <v>338 4810530</v>
          </cell>
          <cell r="P2311" t="str">
            <v>sevidosrls@libero.it</v>
          </cell>
          <cell r="R2311" t="str">
            <v>BONIFICO BANCARIO, ALLA DATA DELLA NOSTRA CONFERMA D'ORDINE</v>
          </cell>
          <cell r="X2311">
            <v>0.2</v>
          </cell>
          <cell r="Y2311">
            <v>-0.04</v>
          </cell>
          <cell r="AB2311">
            <v>0.2</v>
          </cell>
          <cell r="AC2311">
            <v>0.2</v>
          </cell>
          <cell r="AD2311">
            <v>0.2</v>
          </cell>
          <cell r="AE2311">
            <v>0.2</v>
          </cell>
          <cell r="AF2311">
            <v>0.2</v>
          </cell>
          <cell r="AG2311">
            <v>0.2</v>
          </cell>
          <cell r="AH2311">
            <v>0.2</v>
          </cell>
          <cell r="AI2311">
            <v>0.2</v>
          </cell>
          <cell r="AJ2311">
            <v>0.2</v>
          </cell>
          <cell r="AK2311">
            <v>0.2</v>
          </cell>
          <cell r="AL2311">
            <v>0.2</v>
          </cell>
          <cell r="AM2311">
            <v>0.2</v>
          </cell>
          <cell r="AN2311">
            <v>0.2</v>
          </cell>
          <cell r="AO2311">
            <v>0.2</v>
          </cell>
          <cell r="AP2311">
            <v>0.2</v>
          </cell>
          <cell r="AQ2311">
            <v>0.2</v>
          </cell>
          <cell r="AR2311">
            <v>0.2</v>
          </cell>
          <cell r="AS2311">
            <v>0.2</v>
          </cell>
          <cell r="AT2311">
            <v>-0.04</v>
          </cell>
          <cell r="AU2311">
            <v>0.92</v>
          </cell>
          <cell r="AV2311">
            <v>20</v>
          </cell>
          <cell r="AZ2311">
            <v>0.2</v>
          </cell>
          <cell r="BA2311">
            <v>0.2</v>
          </cell>
        </row>
        <row r="2312">
          <cell r="A2312" t="str">
            <v>SF SERRAMENTI FIRENZE</v>
          </cell>
          <cell r="D2312" t="str">
            <v>VIA GIAMPAOLO ORSINI 74</v>
          </cell>
          <cell r="E2312" t="str">
            <v>50126</v>
          </cell>
          <cell r="F2312" t="str">
            <v>FIRENZE</v>
          </cell>
          <cell r="G2312" t="str">
            <v>FI</v>
          </cell>
          <cell r="H2312" t="str">
            <v>ITALIA</v>
          </cell>
          <cell r="J2312" t="str">
            <v>06131610484</v>
          </cell>
          <cell r="M2312" t="str">
            <v>UFFICIO ACQUISTI</v>
          </cell>
          <cell r="N2312" t="str">
            <v>055 6812140</v>
          </cell>
          <cell r="R2312" t="str">
            <v>BONIFICO BANCARIO, ALLA DATA DELLA NOSTRA CONFERMA D'ORDINE</v>
          </cell>
          <cell r="X2312">
            <v>0.25</v>
          </cell>
          <cell r="Y2312">
            <v>-0.04</v>
          </cell>
          <cell r="AB2312">
            <v>0.25</v>
          </cell>
          <cell r="AC2312">
            <v>0.25</v>
          </cell>
          <cell r="AD2312">
            <v>0.25</v>
          </cell>
          <cell r="AE2312">
            <v>0.25</v>
          </cell>
          <cell r="AF2312">
            <v>0.25</v>
          </cell>
          <cell r="AG2312">
            <v>0.25</v>
          </cell>
          <cell r="AH2312">
            <v>0.25</v>
          </cell>
          <cell r="AI2312">
            <v>0.25</v>
          </cell>
          <cell r="AJ2312">
            <v>0.25</v>
          </cell>
          <cell r="AK2312">
            <v>0.25</v>
          </cell>
          <cell r="AL2312">
            <v>0.25</v>
          </cell>
          <cell r="AM2312">
            <v>0.25</v>
          </cell>
          <cell r="AN2312">
            <v>0.25</v>
          </cell>
          <cell r="AO2312">
            <v>0.25</v>
          </cell>
          <cell r="AP2312">
            <v>0.25</v>
          </cell>
          <cell r="AQ2312">
            <v>0.25</v>
          </cell>
          <cell r="AR2312">
            <v>0.25</v>
          </cell>
          <cell r="AS2312">
            <v>0.25</v>
          </cell>
          <cell r="AT2312">
            <v>-0.04</v>
          </cell>
          <cell r="AU2312">
            <v>0.92</v>
          </cell>
          <cell r="AV2312">
            <v>20</v>
          </cell>
          <cell r="AZ2312">
            <v>0.25</v>
          </cell>
          <cell r="BA2312">
            <v>0.25</v>
          </cell>
        </row>
        <row r="2313">
          <cell r="A2313" t="str">
            <v>SG SERRAMENTI SNC DI SEBASTIANI GIOVANNI E C.</v>
          </cell>
          <cell r="D2313" t="str">
            <v>VIA GINA MAZZA 23</v>
          </cell>
          <cell r="E2313" t="str">
            <v>00156</v>
          </cell>
          <cell r="F2313" t="str">
            <v>ROMA</v>
          </cell>
          <cell r="G2313" t="str">
            <v>RM</v>
          </cell>
          <cell r="H2313" t="str">
            <v>ITALIA</v>
          </cell>
          <cell r="M2313" t="str">
            <v>UFFICIO ACQUISTI</v>
          </cell>
          <cell r="O2313" t="str">
            <v>328 1611811</v>
          </cell>
          <cell r="R2313" t="str">
            <v>BONIFICO BANCARIO, ALLA DATA DELLA NOSTRA CONFERMA D'ORDINE</v>
          </cell>
          <cell r="X2313">
            <v>0.25</v>
          </cell>
          <cell r="Y2313">
            <v>-0.04</v>
          </cell>
          <cell r="AB2313">
            <v>0.25</v>
          </cell>
          <cell r="AC2313">
            <v>0.25</v>
          </cell>
          <cell r="AD2313">
            <v>0.25</v>
          </cell>
          <cell r="AE2313">
            <v>0.25</v>
          </cell>
          <cell r="AF2313">
            <v>0.25</v>
          </cell>
          <cell r="AG2313">
            <v>0.25</v>
          </cell>
          <cell r="AH2313">
            <v>0.25</v>
          </cell>
          <cell r="AI2313">
            <v>0.25</v>
          </cell>
          <cell r="AJ2313">
            <v>0.25</v>
          </cell>
          <cell r="AK2313">
            <v>0.25</v>
          </cell>
          <cell r="AL2313">
            <v>0.25</v>
          </cell>
          <cell r="AM2313">
            <v>0.25</v>
          </cell>
          <cell r="AN2313">
            <v>0.25</v>
          </cell>
          <cell r="AO2313">
            <v>0.25</v>
          </cell>
          <cell r="AP2313">
            <v>0.25</v>
          </cell>
          <cell r="AQ2313">
            <v>0.25</v>
          </cell>
          <cell r="AR2313">
            <v>0.25</v>
          </cell>
          <cell r="AS2313">
            <v>0.25</v>
          </cell>
          <cell r="AT2313">
            <v>-0.04</v>
          </cell>
          <cell r="AU2313">
            <v>0.92</v>
          </cell>
          <cell r="AV2313">
            <v>20</v>
          </cell>
          <cell r="AZ2313">
            <v>0.25</v>
          </cell>
          <cell r="BA2313">
            <v>0.25</v>
          </cell>
        </row>
        <row r="2314">
          <cell r="A2314" t="str">
            <v>SGN INFISSI DI SULAS GIAN NICOLA</v>
          </cell>
          <cell r="D2314" t="str">
            <v>ZONA ARTIGIANALE LOTTO, 22</v>
          </cell>
          <cell r="E2314" t="str">
            <v>07052</v>
          </cell>
          <cell r="F2314" t="str">
            <v>SAN TEODORO</v>
          </cell>
          <cell r="G2314" t="str">
            <v>SS</v>
          </cell>
          <cell r="H2314" t="str">
            <v>ITALIA</v>
          </cell>
          <cell r="I2314" t="str">
            <v>GNN72H20Z110K</v>
          </cell>
          <cell r="J2314" t="str">
            <v>01197170911</v>
          </cell>
          <cell r="K2314" t="str">
            <v>KRRH6B9</v>
          </cell>
          <cell r="M2314" t="str">
            <v>UFFICIO ACQUISTI</v>
          </cell>
          <cell r="O2314" t="str">
            <v>348 240 5565</v>
          </cell>
          <cell r="P2314" t="str">
            <v>sgn.infissi@yahoo.it</v>
          </cell>
          <cell r="R2314" t="str">
            <v>BONIFICO BANCARIO, ALLA DATA DELLA NOSTRA CONFERMA D'ORDINE</v>
          </cell>
          <cell r="X2314">
            <v>0.25</v>
          </cell>
          <cell r="Y2314">
            <v>-0.04</v>
          </cell>
          <cell r="AB2314">
            <v>0.25</v>
          </cell>
          <cell r="AC2314">
            <v>0.25</v>
          </cell>
          <cell r="AD2314">
            <v>0.25</v>
          </cell>
          <cell r="AE2314">
            <v>0.25</v>
          </cell>
          <cell r="AF2314">
            <v>0.25</v>
          </cell>
          <cell r="AG2314">
            <v>0.25</v>
          </cell>
          <cell r="AH2314">
            <v>0.25</v>
          </cell>
          <cell r="AI2314">
            <v>0.25</v>
          </cell>
          <cell r="AJ2314">
            <v>0.25</v>
          </cell>
          <cell r="AK2314">
            <v>0.25</v>
          </cell>
          <cell r="AL2314">
            <v>0.25</v>
          </cell>
          <cell r="AM2314">
            <v>0.25</v>
          </cell>
          <cell r="AN2314">
            <v>0.25</v>
          </cell>
          <cell r="AO2314">
            <v>0.25</v>
          </cell>
          <cell r="AP2314">
            <v>0.25</v>
          </cell>
          <cell r="AQ2314">
            <v>0.25</v>
          </cell>
          <cell r="AR2314">
            <v>0.25</v>
          </cell>
          <cell r="AS2314">
            <v>0.25</v>
          </cell>
          <cell r="AT2314">
            <v>-0.04</v>
          </cell>
          <cell r="AU2314">
            <v>0.92</v>
          </cell>
          <cell r="AV2314">
            <v>20</v>
          </cell>
          <cell r="AZ2314">
            <v>0.25</v>
          </cell>
          <cell r="BA2314">
            <v>0.25</v>
          </cell>
        </row>
        <row r="2315">
          <cell r="A2315" t="str">
            <v>SHOWROOM &amp; DESIGN SRL</v>
          </cell>
          <cell r="B2315" t="str">
            <v xml:space="preserve">Z.I.PREDDA NIEDDA SUD STR.27 (SS) VIA LA FRASSA 32 ANG V.MAZZINI ALGHERO </v>
          </cell>
          <cell r="D2315" t="str">
            <v>VIA CALVIA, 2</v>
          </cell>
          <cell r="E2315" t="str">
            <v>07036</v>
          </cell>
          <cell r="F2315" t="str">
            <v>SENNORI</v>
          </cell>
          <cell r="G2315" t="str">
            <v>SS</v>
          </cell>
          <cell r="H2315" t="str">
            <v>ITALIA</v>
          </cell>
          <cell r="M2315" t="str">
            <v>UFFICIO ACQUISTI</v>
          </cell>
          <cell r="N2315" t="str">
            <v>079 2633031</v>
          </cell>
          <cell r="O2315" t="str">
            <v>393 9771815 MARIO SOLINAS</v>
          </cell>
          <cell r="P2315" t="str">
            <v>showroomdesign@tiscali.it</v>
          </cell>
          <cell r="R2315" t="str">
            <v>BONIFICO BANCARIO, ALLA DATA DELLA NOSTRA CONFERMA D'ORDINE</v>
          </cell>
          <cell r="X2315">
            <v>0.2</v>
          </cell>
          <cell r="Y2315">
            <v>-0.04</v>
          </cell>
          <cell r="AB2315">
            <v>0.2</v>
          </cell>
          <cell r="AC2315">
            <v>0.2</v>
          </cell>
          <cell r="AD2315">
            <v>0.2</v>
          </cell>
          <cell r="AE2315">
            <v>0.2</v>
          </cell>
          <cell r="AF2315">
            <v>0.2</v>
          </cell>
          <cell r="AG2315">
            <v>0.2</v>
          </cell>
          <cell r="AH2315">
            <v>0.2</v>
          </cell>
          <cell r="AI2315">
            <v>0.2</v>
          </cell>
          <cell r="AJ2315">
            <v>0.2</v>
          </cell>
          <cell r="AK2315">
            <v>0.2</v>
          </cell>
          <cell r="AL2315">
            <v>0.2</v>
          </cell>
          <cell r="AM2315">
            <v>0.2</v>
          </cell>
          <cell r="AN2315">
            <v>0.2</v>
          </cell>
          <cell r="AO2315">
            <v>0.2</v>
          </cell>
          <cell r="AP2315">
            <v>0.2</v>
          </cell>
          <cell r="AQ2315">
            <v>0.2</v>
          </cell>
          <cell r="AR2315">
            <v>0.2</v>
          </cell>
          <cell r="AS2315">
            <v>0.2</v>
          </cell>
          <cell r="AT2315">
            <v>-0.04</v>
          </cell>
          <cell r="AU2315">
            <v>0.92</v>
          </cell>
          <cell r="AV2315">
            <v>20</v>
          </cell>
          <cell r="AZ2315">
            <v>0.2</v>
          </cell>
          <cell r="BA2315">
            <v>0.2</v>
          </cell>
        </row>
        <row r="2316">
          <cell r="A2316" t="str">
            <v>SHOWROOM INGENIO</v>
          </cell>
          <cell r="B2316" t="str">
            <v>ING.MARIO MURA     1000 VOLANTINI</v>
          </cell>
          <cell r="D2316" t="str">
            <v>VIA G.PUCCINI, 71</v>
          </cell>
          <cell r="E2316" t="str">
            <v>09124</v>
          </cell>
          <cell r="F2316" t="str">
            <v>CAGLIARI</v>
          </cell>
          <cell r="G2316" t="str">
            <v>CA</v>
          </cell>
          <cell r="H2316" t="str">
            <v>ITALIA</v>
          </cell>
          <cell r="J2316" t="str">
            <v>03526810928</v>
          </cell>
          <cell r="K2316" t="str">
            <v>KRRH6B9</v>
          </cell>
          <cell r="M2316" t="str">
            <v>UFFICIO ACQUISTI</v>
          </cell>
          <cell r="N2316" t="str">
            <v>070 2043952</v>
          </cell>
          <cell r="P2316" t="str">
            <v>info@showroomingenio.it</v>
          </cell>
          <cell r="R2316" t="str">
            <v>BONIFICO BANCARIO, ALLA DATA DELLA NOSTRA CONFERMA D'ORDINE</v>
          </cell>
          <cell r="X2316">
            <v>0.25</v>
          </cell>
          <cell r="Y2316">
            <v>-0.04</v>
          </cell>
          <cell r="AB2316">
            <v>0.25</v>
          </cell>
          <cell r="AC2316">
            <v>0.25</v>
          </cell>
          <cell r="AD2316">
            <v>0.25</v>
          </cell>
          <cell r="AE2316">
            <v>0.25</v>
          </cell>
          <cell r="AF2316">
            <v>0.25</v>
          </cell>
          <cell r="AG2316">
            <v>0.25</v>
          </cell>
          <cell r="AH2316">
            <v>0.25</v>
          </cell>
          <cell r="AI2316">
            <v>0.25</v>
          </cell>
          <cell r="AJ2316">
            <v>0.25</v>
          </cell>
          <cell r="AK2316">
            <v>0.25</v>
          </cell>
          <cell r="AL2316">
            <v>0.25</v>
          </cell>
          <cell r="AM2316">
            <v>0.25</v>
          </cell>
          <cell r="AN2316">
            <v>0.25</v>
          </cell>
          <cell r="AO2316">
            <v>0.25</v>
          </cell>
          <cell r="AP2316">
            <v>0.25</v>
          </cell>
          <cell r="AQ2316">
            <v>0.25</v>
          </cell>
          <cell r="AR2316">
            <v>0.25</v>
          </cell>
          <cell r="AS2316">
            <v>0.25</v>
          </cell>
          <cell r="AT2316">
            <v>-0.04</v>
          </cell>
          <cell r="AU2316">
            <v>0.92</v>
          </cell>
          <cell r="AV2316">
            <v>20</v>
          </cell>
          <cell r="AZ2316">
            <v>0.25</v>
          </cell>
          <cell r="BA2316">
            <v>0.25</v>
          </cell>
        </row>
        <row r="2317">
          <cell r="A2317" t="str">
            <v>SHOWROOM MARTIRE S.A.S.</v>
          </cell>
          <cell r="D2317" t="str">
            <v>VIA CAVOUR, 19</v>
          </cell>
          <cell r="E2317">
            <v>80053</v>
          </cell>
          <cell r="F2317" t="str">
            <v>CASTELL. DI STABIA</v>
          </cell>
          <cell r="G2317" t="str">
            <v>NA</v>
          </cell>
          <cell r="H2317" t="str">
            <v>ITALIA</v>
          </cell>
          <cell r="I2317" t="str">
            <v>06140381218</v>
          </cell>
          <cell r="J2317" t="str">
            <v>06140381218</v>
          </cell>
          <cell r="M2317" t="str">
            <v>UFFICIO ACQUISTI</v>
          </cell>
          <cell r="N2317" t="str">
            <v>081 8727753</v>
          </cell>
          <cell r="O2317" t="str">
            <v>368 3178741  348 0803263</v>
          </cell>
          <cell r="P2317" t="str">
            <v>shroommartire@libero.it</v>
          </cell>
          <cell r="R2317" t="str">
            <v>BONIFICO BANCARIO, ALLA DATA DELLA NOSTRA CONFERMA D'ORDINE</v>
          </cell>
          <cell r="X2317">
            <v>0.25</v>
          </cell>
          <cell r="Y2317">
            <v>-0.04</v>
          </cell>
          <cell r="AB2317">
            <v>0.25</v>
          </cell>
          <cell r="AC2317">
            <v>0.25</v>
          </cell>
          <cell r="AD2317">
            <v>0.25</v>
          </cell>
          <cell r="AE2317">
            <v>0.25</v>
          </cell>
          <cell r="AF2317">
            <v>0.25</v>
          </cell>
          <cell r="AG2317">
            <v>0.25</v>
          </cell>
          <cell r="AH2317">
            <v>0.25</v>
          </cell>
          <cell r="AI2317">
            <v>0.25</v>
          </cell>
          <cell r="AJ2317">
            <v>0.25</v>
          </cell>
          <cell r="AK2317">
            <v>0.25</v>
          </cell>
          <cell r="AL2317">
            <v>0.25</v>
          </cell>
          <cell r="AM2317">
            <v>0.25</v>
          </cell>
          <cell r="AN2317">
            <v>0.25</v>
          </cell>
          <cell r="AO2317">
            <v>0.25</v>
          </cell>
          <cell r="AP2317">
            <v>0.25</v>
          </cell>
          <cell r="AQ2317">
            <v>0.25</v>
          </cell>
          <cell r="AR2317">
            <v>0.25</v>
          </cell>
          <cell r="AS2317">
            <v>0.25</v>
          </cell>
          <cell r="AT2317">
            <v>-0.04</v>
          </cell>
          <cell r="AU2317">
            <v>0.92</v>
          </cell>
          <cell r="AV2317">
            <v>20</v>
          </cell>
          <cell r="AZ2317">
            <v>0.25</v>
          </cell>
          <cell r="BA2317">
            <v>0.25</v>
          </cell>
        </row>
        <row r="2318">
          <cell r="A2318" t="str">
            <v>SI.CO.TEND DI SEVERGNINI GIOVANNA</v>
          </cell>
          <cell r="D2318" t="str">
            <v>VIA ZENALE E BUTTINONE, 7</v>
          </cell>
          <cell r="E2318" t="str">
            <v>24043</v>
          </cell>
          <cell r="F2318" t="str">
            <v>CARAVAGGIO</v>
          </cell>
          <cell r="G2318" t="str">
            <v>BG</v>
          </cell>
          <cell r="H2318" t="str">
            <v>ITALIA</v>
          </cell>
          <cell r="I2318" t="str">
            <v>SVRGNN40E64B731E</v>
          </cell>
          <cell r="J2318" t="str">
            <v>01502590167</v>
          </cell>
          <cell r="M2318" t="str">
            <v>UFFICIO ACQUISTI</v>
          </cell>
          <cell r="N2318" t="str">
            <v>0363 50727</v>
          </cell>
          <cell r="P2318" t="str">
            <v>info@sicotend.it</v>
          </cell>
          <cell r="R2318" t="str">
            <v>BONIFICO BANCARIO, ALLA DATA DELLA NOSTRA CONFERMA D'ORDINE</v>
          </cell>
          <cell r="X2318">
            <v>0.2</v>
          </cell>
          <cell r="Y2318">
            <v>-0.04</v>
          </cell>
          <cell r="AB2318">
            <v>0.2</v>
          </cell>
          <cell r="AC2318">
            <v>0.2</v>
          </cell>
          <cell r="AD2318">
            <v>0.2</v>
          </cell>
          <cell r="AE2318">
            <v>0.2</v>
          </cell>
          <cell r="AF2318">
            <v>0.2</v>
          </cell>
          <cell r="AG2318">
            <v>0.2</v>
          </cell>
          <cell r="AH2318">
            <v>0.2</v>
          </cell>
          <cell r="AI2318">
            <v>0.2</v>
          </cell>
          <cell r="AJ2318">
            <v>0.2</v>
          </cell>
          <cell r="AK2318">
            <v>0.2</v>
          </cell>
          <cell r="AL2318">
            <v>0.2</v>
          </cell>
          <cell r="AM2318">
            <v>0.2</v>
          </cell>
          <cell r="AN2318">
            <v>0.2</v>
          </cell>
          <cell r="AO2318">
            <v>0.2</v>
          </cell>
          <cell r="AP2318">
            <v>0.2</v>
          </cell>
          <cell r="AQ2318">
            <v>0.2</v>
          </cell>
          <cell r="AR2318">
            <v>0.2</v>
          </cell>
          <cell r="AS2318">
            <v>0.2</v>
          </cell>
          <cell r="AT2318">
            <v>-0.04</v>
          </cell>
          <cell r="AU2318">
            <v>0.92</v>
          </cell>
          <cell r="AV2318">
            <v>20</v>
          </cell>
          <cell r="AZ2318">
            <v>0.2</v>
          </cell>
          <cell r="BA2318">
            <v>0.2</v>
          </cell>
        </row>
        <row r="2319">
          <cell r="A2319" t="str">
            <v xml:space="preserve">SICIL ALLUMINIO </v>
          </cell>
          <cell r="D2319" t="str">
            <v>VIA CAVALIERE SPANO' 245 A</v>
          </cell>
          <cell r="E2319">
            <v>91025</v>
          </cell>
          <cell r="F2319" t="str">
            <v>STRASATTI DI MARSALA</v>
          </cell>
          <cell r="G2319" t="str">
            <v>TP</v>
          </cell>
          <cell r="H2319" t="str">
            <v>ITALIA</v>
          </cell>
          <cell r="M2319" t="str">
            <v>UFFICIO ACQUISTI</v>
          </cell>
          <cell r="N2319" t="str">
            <v>0923 962258</v>
          </cell>
          <cell r="O2319" t="str">
            <v>329 4507650</v>
          </cell>
          <cell r="P2319" t="str">
            <v>info@sicilalluminio.it</v>
          </cell>
          <cell r="R2319" t="str">
            <v>BONIFICO BANCARIO, ALLA DATA DELLA NOSTRA CONFERMA D'ORDINE</v>
          </cell>
          <cell r="X2319">
            <v>0.25</v>
          </cell>
          <cell r="Y2319">
            <v>-0.04</v>
          </cell>
          <cell r="AB2319">
            <v>0.25</v>
          </cell>
          <cell r="AC2319">
            <v>0.25</v>
          </cell>
          <cell r="AD2319">
            <v>0.25</v>
          </cell>
          <cell r="AE2319">
            <v>0.25</v>
          </cell>
          <cell r="AF2319">
            <v>0.25</v>
          </cell>
          <cell r="AG2319">
            <v>0.25</v>
          </cell>
          <cell r="AH2319">
            <v>0.25</v>
          </cell>
          <cell r="AI2319">
            <v>0.25</v>
          </cell>
          <cell r="AJ2319">
            <v>0.25</v>
          </cell>
          <cell r="AK2319">
            <v>0.25</v>
          </cell>
          <cell r="AL2319">
            <v>0.25</v>
          </cell>
          <cell r="AM2319">
            <v>0.25</v>
          </cell>
          <cell r="AN2319">
            <v>0.25</v>
          </cell>
          <cell r="AO2319">
            <v>0.25</v>
          </cell>
          <cell r="AP2319">
            <v>0.25</v>
          </cell>
          <cell r="AQ2319">
            <v>0.25</v>
          </cell>
          <cell r="AR2319">
            <v>0.25</v>
          </cell>
          <cell r="AS2319">
            <v>0.25</v>
          </cell>
          <cell r="AT2319">
            <v>-0.04</v>
          </cell>
          <cell r="AU2319">
            <v>0.92</v>
          </cell>
          <cell r="AV2319">
            <v>20</v>
          </cell>
          <cell r="AZ2319">
            <v>0.25</v>
          </cell>
          <cell r="BA2319">
            <v>0.25</v>
          </cell>
        </row>
        <row r="2320">
          <cell r="A2320" t="str">
            <v>SICILCIMA</v>
          </cell>
          <cell r="B2320" t="str">
            <v>ING. MARCO OROFINO 22/11 NON HANNO INTERESSE NEL PRODOTTO</v>
          </cell>
          <cell r="D2320" t="str">
            <v>VIALE AFRICA, 42</v>
          </cell>
          <cell r="E2320" t="str">
            <v>95129</v>
          </cell>
          <cell r="F2320" t="str">
            <v>CATANIA</v>
          </cell>
          <cell r="G2320" t="str">
            <v>CT</v>
          </cell>
          <cell r="H2320" t="str">
            <v>ITALIA</v>
          </cell>
          <cell r="M2320" t="str">
            <v>UFFICIO ACQUISTI</v>
          </cell>
          <cell r="N2320" t="str">
            <v>0933 946769 - 095 8188927</v>
          </cell>
          <cell r="P2320" t="str">
            <v>m.orofino@sicilclima.it</v>
          </cell>
          <cell r="R2320" t="str">
            <v>BONIFICO BANCARIO, ALLA DATA DELLA NOSTRA CONFERMA D'ORDINE</v>
          </cell>
          <cell r="X2320">
            <v>0.2</v>
          </cell>
          <cell r="Y2320">
            <v>-0.04</v>
          </cell>
          <cell r="AB2320">
            <v>0.2</v>
          </cell>
          <cell r="AC2320">
            <v>0.2</v>
          </cell>
          <cell r="AD2320">
            <v>0.2</v>
          </cell>
          <cell r="AE2320">
            <v>0.2</v>
          </cell>
          <cell r="AF2320">
            <v>0.2</v>
          </cell>
          <cell r="AG2320">
            <v>0.2</v>
          </cell>
          <cell r="AH2320">
            <v>0.2</v>
          </cell>
          <cell r="AI2320">
            <v>0.2</v>
          </cell>
          <cell r="AJ2320">
            <v>0.2</v>
          </cell>
          <cell r="AK2320">
            <v>0.2</v>
          </cell>
          <cell r="AL2320">
            <v>0.2</v>
          </cell>
          <cell r="AM2320">
            <v>0.2</v>
          </cell>
          <cell r="AN2320">
            <v>0.2</v>
          </cell>
          <cell r="AO2320">
            <v>0.2</v>
          </cell>
          <cell r="AP2320">
            <v>0.2</v>
          </cell>
          <cell r="AQ2320">
            <v>0.2</v>
          </cell>
          <cell r="AR2320">
            <v>0.2</v>
          </cell>
          <cell r="AS2320">
            <v>0.2</v>
          </cell>
          <cell r="AT2320">
            <v>-0.04</v>
          </cell>
          <cell r="AU2320">
            <v>0.92</v>
          </cell>
          <cell r="AV2320">
            <v>20</v>
          </cell>
          <cell r="AZ2320">
            <v>0.2</v>
          </cell>
          <cell r="BA2320">
            <v>0.2</v>
          </cell>
        </row>
        <row r="2321">
          <cell r="A2321" t="str">
            <v xml:space="preserve">SICLARI SERRAMENTI </v>
          </cell>
          <cell r="D2321" t="str">
            <v>VIA PROV.LE OLIVETO, 13</v>
          </cell>
          <cell r="E2321">
            <v>89134</v>
          </cell>
          <cell r="F2321" t="str">
            <v>CROCE VALANIDI</v>
          </cell>
          <cell r="G2321" t="str">
            <v>RC</v>
          </cell>
          <cell r="H2321" t="str">
            <v>ITALIA</v>
          </cell>
          <cell r="J2321" t="str">
            <v>02765720806</v>
          </cell>
          <cell r="M2321" t="str">
            <v>UFFICIO ACQUISTI</v>
          </cell>
          <cell r="N2321" t="str">
            <v>0965 642022</v>
          </cell>
          <cell r="O2321" t="str">
            <v>338 6362539 - 340 2774930</v>
          </cell>
          <cell r="P2321" t="str">
            <v>siclari_serrsmenti@virgilio.it - info@siclariserramenti.com</v>
          </cell>
          <cell r="R2321" t="str">
            <v>BONIFICO BANCARIO, ALLA DATA DELLA NOSTRA CONFERMA D'ORDINE</v>
          </cell>
          <cell r="X2321">
            <v>0.25</v>
          </cell>
          <cell r="Y2321">
            <v>-0.04</v>
          </cell>
          <cell r="AB2321">
            <v>0.25</v>
          </cell>
          <cell r="AC2321">
            <v>0.25</v>
          </cell>
          <cell r="AD2321">
            <v>0.25</v>
          </cell>
          <cell r="AE2321">
            <v>0.25</v>
          </cell>
          <cell r="AF2321">
            <v>0.25</v>
          </cell>
          <cell r="AG2321">
            <v>0.25</v>
          </cell>
          <cell r="AH2321">
            <v>0.25</v>
          </cell>
          <cell r="AI2321">
            <v>0.25</v>
          </cell>
          <cell r="AJ2321">
            <v>0.25</v>
          </cell>
          <cell r="AK2321">
            <v>0.25</v>
          </cell>
          <cell r="AL2321">
            <v>0.25</v>
          </cell>
          <cell r="AM2321">
            <v>0.25</v>
          </cell>
          <cell r="AN2321">
            <v>0.25</v>
          </cell>
          <cell r="AO2321">
            <v>0.25</v>
          </cell>
          <cell r="AP2321">
            <v>0.25</v>
          </cell>
          <cell r="AQ2321">
            <v>0.25</v>
          </cell>
          <cell r="AR2321">
            <v>0.25</v>
          </cell>
          <cell r="AS2321">
            <v>0.25</v>
          </cell>
          <cell r="AT2321">
            <v>-0.04</v>
          </cell>
          <cell r="AU2321">
            <v>0.92</v>
          </cell>
          <cell r="AV2321">
            <v>20</v>
          </cell>
          <cell r="AW2321" t="str">
            <v>PIETRO OLIVADOTI</v>
          </cell>
          <cell r="AX2321">
            <v>0.95</v>
          </cell>
          <cell r="AY2321" t="str">
            <v/>
          </cell>
          <cell r="AZ2321">
            <v>0.25</v>
          </cell>
          <cell r="BA2321">
            <v>0.25</v>
          </cell>
        </row>
        <row r="2322">
          <cell r="A2322" t="str">
            <v>SICUR FER SRL DI BIASI L.</v>
          </cell>
          <cell r="D2322" t="str">
            <v>VIA CASETTE, 19</v>
          </cell>
          <cell r="E2322" t="str">
            <v>37024</v>
          </cell>
          <cell r="F2322" t="str">
            <v>SANTA MARIA DI NEGRAR</v>
          </cell>
          <cell r="G2322" t="str">
            <v>VR</v>
          </cell>
          <cell r="H2322" t="str">
            <v>ITALIA</v>
          </cell>
          <cell r="J2322" t="str">
            <v>03810550230</v>
          </cell>
          <cell r="M2322" t="str">
            <v>UFFICIO ACQUISTI</v>
          </cell>
          <cell r="N2322" t="str">
            <v>045 7514297</v>
          </cell>
          <cell r="O2322" t="str">
            <v>333 1712840</v>
          </cell>
          <cell r="P2322" t="str">
            <v>info@sicurfer@libero.it</v>
          </cell>
          <cell r="R2322" t="str">
            <v>BONIFICO BANCARIO, ALLA DATA DELLA NOSTRA CONFERMA D'ORDINE</v>
          </cell>
          <cell r="Y2322">
            <v>-0.04</v>
          </cell>
          <cell r="AT2322">
            <v>-0.04</v>
          </cell>
          <cell r="AV2322">
            <v>20</v>
          </cell>
          <cell r="AZ2322">
            <v>0</v>
          </cell>
          <cell r="BA2322">
            <v>0</v>
          </cell>
        </row>
        <row r="2323">
          <cell r="A2323" t="str">
            <v>SICUR SERRAMENTI</v>
          </cell>
          <cell r="D2323" t="str">
            <v>VIA A. DE GASPERI, 34</v>
          </cell>
          <cell r="E2323">
            <v>50019</v>
          </cell>
          <cell r="F2323" t="str">
            <v>SESTO FIORENTINO</v>
          </cell>
          <cell r="G2323" t="str">
            <v>FI</v>
          </cell>
          <cell r="H2323" t="str">
            <v>ITALIA</v>
          </cell>
          <cell r="M2323" t="str">
            <v>UFFICIO ACQUISTI</v>
          </cell>
          <cell r="N2323" t="str">
            <v>055 4200272</v>
          </cell>
          <cell r="O2323" t="str">
            <v>335 350593</v>
          </cell>
          <cell r="P2323" t="str">
            <v>info@sicurserramenti.it</v>
          </cell>
          <cell r="R2323" t="str">
            <v>BONIFICO BANCARIO, ALLA DATA DELLA NOSTRA CONFERMA D'ORDINE</v>
          </cell>
          <cell r="X2323">
            <v>0.25</v>
          </cell>
          <cell r="Y2323">
            <v>-0.04</v>
          </cell>
          <cell r="AB2323">
            <v>0.25</v>
          </cell>
          <cell r="AC2323">
            <v>0.25</v>
          </cell>
          <cell r="AD2323">
            <v>0.25</v>
          </cell>
          <cell r="AE2323">
            <v>0.25</v>
          </cell>
          <cell r="AF2323">
            <v>0.25</v>
          </cell>
          <cell r="AG2323">
            <v>0.25</v>
          </cell>
          <cell r="AH2323">
            <v>0.25</v>
          </cell>
          <cell r="AI2323">
            <v>0.25</v>
          </cell>
          <cell r="AJ2323">
            <v>0.25</v>
          </cell>
          <cell r="AK2323">
            <v>0.25</v>
          </cell>
          <cell r="AL2323">
            <v>0.25</v>
          </cell>
          <cell r="AM2323">
            <v>0.25</v>
          </cell>
          <cell r="AN2323">
            <v>0.25</v>
          </cell>
          <cell r="AO2323">
            <v>0.25</v>
          </cell>
          <cell r="AP2323">
            <v>0.25</v>
          </cell>
          <cell r="AQ2323">
            <v>0.25</v>
          </cell>
          <cell r="AR2323">
            <v>0.25</v>
          </cell>
          <cell r="AS2323">
            <v>0.25</v>
          </cell>
          <cell r="AT2323">
            <v>-0.04</v>
          </cell>
          <cell r="AU2323">
            <v>0.92</v>
          </cell>
          <cell r="AV2323">
            <v>20</v>
          </cell>
          <cell r="AZ2323">
            <v>0.25</v>
          </cell>
          <cell r="BA2323">
            <v>0.25</v>
          </cell>
        </row>
        <row r="2324">
          <cell r="A2324" t="str">
            <v>SICUR TIVOLI DI DOMENICO NICOLAI SRL</v>
          </cell>
          <cell r="D2324" t="str">
            <v>VIA MAREMMAMA INFERIORE KM 0,5</v>
          </cell>
          <cell r="E2324" t="str">
            <v>00019</v>
          </cell>
          <cell r="F2324" t="str">
            <v>TIVOLI</v>
          </cell>
          <cell r="G2324" t="str">
            <v>RM</v>
          </cell>
          <cell r="H2324" t="str">
            <v>ITALIA</v>
          </cell>
          <cell r="M2324" t="str">
            <v>UFFICIO ACQUISTI</v>
          </cell>
          <cell r="N2324" t="str">
            <v>0774 381771</v>
          </cell>
          <cell r="O2324" t="str">
            <v>340 8308127</v>
          </cell>
          <cell r="P2324" t="str">
            <v>info@sicurtivoli.it</v>
          </cell>
          <cell r="R2324" t="str">
            <v>BONIFICO BANCARIO, ALLA DATA DELLA NOSTRA CONFERMA D'ORDINE</v>
          </cell>
          <cell r="X2324">
            <v>0.25</v>
          </cell>
          <cell r="Y2324">
            <v>-0.04</v>
          </cell>
          <cell r="AB2324">
            <v>0.25</v>
          </cell>
          <cell r="AC2324">
            <v>0.25</v>
          </cell>
          <cell r="AD2324">
            <v>0.25</v>
          </cell>
          <cell r="AE2324">
            <v>0.25</v>
          </cell>
          <cell r="AF2324">
            <v>0.25</v>
          </cell>
          <cell r="AG2324">
            <v>0.25</v>
          </cell>
          <cell r="AH2324">
            <v>0.25</v>
          </cell>
          <cell r="AI2324">
            <v>0.25</v>
          </cell>
          <cell r="AJ2324">
            <v>0.25</v>
          </cell>
          <cell r="AK2324">
            <v>0.25</v>
          </cell>
          <cell r="AL2324">
            <v>0.25</v>
          </cell>
          <cell r="AM2324">
            <v>0.25</v>
          </cell>
          <cell r="AN2324">
            <v>0.25</v>
          </cell>
          <cell r="AO2324">
            <v>0.25</v>
          </cell>
          <cell r="AP2324">
            <v>0.25</v>
          </cell>
          <cell r="AQ2324">
            <v>0.25</v>
          </cell>
          <cell r="AR2324">
            <v>0.25</v>
          </cell>
          <cell r="AS2324">
            <v>0.25</v>
          </cell>
          <cell r="AT2324">
            <v>-0.04</v>
          </cell>
          <cell r="AU2324">
            <v>0.92</v>
          </cell>
          <cell r="AV2324">
            <v>20</v>
          </cell>
          <cell r="AZ2324">
            <v>0.25</v>
          </cell>
          <cell r="BA2324">
            <v>0.25</v>
          </cell>
        </row>
        <row r="2325">
          <cell r="A2325" t="str">
            <v>SICURCASA DI FILIPPONE MAURO E C. SAS</v>
          </cell>
          <cell r="D2325" t="str">
            <v>VIA IV NOVEMBRE 61</v>
          </cell>
          <cell r="E2325" t="str">
            <v>16030</v>
          </cell>
          <cell r="F2325" t="str">
            <v>CASARZA LIGURE</v>
          </cell>
          <cell r="G2325" t="str">
            <v>GE</v>
          </cell>
          <cell r="H2325" t="str">
            <v>ITALIA</v>
          </cell>
          <cell r="J2325" t="str">
            <v>01320010992</v>
          </cell>
          <cell r="M2325" t="str">
            <v>UFFICIO ACQUISTI</v>
          </cell>
          <cell r="N2325" t="str">
            <v>0185 467887 - 0185 1871791</v>
          </cell>
          <cell r="R2325" t="str">
            <v>BONIFICO BANCARIO, ALLA DATA DELLA NOSTRA CONFERMA D'ORDINE</v>
          </cell>
          <cell r="X2325">
            <v>0.25</v>
          </cell>
          <cell r="Y2325">
            <v>-0.04</v>
          </cell>
          <cell r="AB2325">
            <v>0.25</v>
          </cell>
          <cell r="AC2325">
            <v>0.25</v>
          </cell>
          <cell r="AD2325">
            <v>0.25</v>
          </cell>
          <cell r="AE2325">
            <v>0.25</v>
          </cell>
          <cell r="AF2325">
            <v>0.25</v>
          </cell>
          <cell r="AG2325">
            <v>0.25</v>
          </cell>
          <cell r="AH2325">
            <v>0.25</v>
          </cell>
          <cell r="AI2325">
            <v>0.25</v>
          </cell>
          <cell r="AJ2325">
            <v>0.25</v>
          </cell>
          <cell r="AK2325">
            <v>0.25</v>
          </cell>
          <cell r="AL2325">
            <v>0.25</v>
          </cell>
          <cell r="AM2325">
            <v>0.25</v>
          </cell>
          <cell r="AN2325">
            <v>0.25</v>
          </cell>
          <cell r="AO2325">
            <v>0.25</v>
          </cell>
          <cell r="AP2325">
            <v>0.25</v>
          </cell>
          <cell r="AQ2325">
            <v>0.25</v>
          </cell>
          <cell r="AR2325">
            <v>0.25</v>
          </cell>
          <cell r="AS2325">
            <v>0.25</v>
          </cell>
          <cell r="AT2325">
            <v>-0.04</v>
          </cell>
          <cell r="AU2325">
            <v>0.92</v>
          </cell>
          <cell r="AV2325">
            <v>20</v>
          </cell>
          <cell r="AZ2325">
            <v>0.25</v>
          </cell>
          <cell r="BA2325">
            <v>0.25</v>
          </cell>
        </row>
        <row r="2326">
          <cell r="A2326" t="str">
            <v>SICURFER SRL</v>
          </cell>
          <cell r="B2326" t="str">
            <v>COMP. 30%</v>
          </cell>
          <cell r="D2326" t="str">
            <v>VIA CASETTE, 19</v>
          </cell>
          <cell r="E2326">
            <v>37024</v>
          </cell>
          <cell r="F2326" t="str">
            <v>N.DI VALPOLICELLA</v>
          </cell>
          <cell r="G2326" t="str">
            <v>VR</v>
          </cell>
          <cell r="H2326" t="str">
            <v>ITALIA</v>
          </cell>
          <cell r="I2326" t="str">
            <v>03810550230</v>
          </cell>
          <cell r="J2326" t="str">
            <v>03810550230</v>
          </cell>
          <cell r="M2326" t="str">
            <v>UFFICIO ACQUISTI</v>
          </cell>
          <cell r="N2326" t="str">
            <v>045 7514297</v>
          </cell>
          <cell r="P2326" t="str">
            <v>info.sicurfer@libero.it</v>
          </cell>
          <cell r="R2326" t="str">
            <v>BONIFICO BANCARIO, ALLA DATA DELLA NOSTRA CONFERMA D'ORDINE</v>
          </cell>
          <cell r="X2326">
            <v>0.25</v>
          </cell>
          <cell r="Y2326">
            <v>-0.04</v>
          </cell>
          <cell r="AB2326">
            <v>0.25</v>
          </cell>
          <cell r="AC2326">
            <v>0.25</v>
          </cell>
          <cell r="AD2326">
            <v>0.25</v>
          </cell>
          <cell r="AE2326">
            <v>0.25</v>
          </cell>
          <cell r="AF2326">
            <v>0.25</v>
          </cell>
          <cell r="AG2326">
            <v>0.25</v>
          </cell>
          <cell r="AH2326">
            <v>0.25</v>
          </cell>
          <cell r="AI2326">
            <v>0.25</v>
          </cell>
          <cell r="AJ2326">
            <v>0.25</v>
          </cell>
          <cell r="AK2326">
            <v>0.25</v>
          </cell>
          <cell r="AL2326">
            <v>0.25</v>
          </cell>
          <cell r="AM2326">
            <v>0.25</v>
          </cell>
          <cell r="AN2326">
            <v>0.25</v>
          </cell>
          <cell r="AO2326">
            <v>0.25</v>
          </cell>
          <cell r="AP2326">
            <v>0.25</v>
          </cell>
          <cell r="AQ2326">
            <v>0.25</v>
          </cell>
          <cell r="AR2326">
            <v>0.25</v>
          </cell>
          <cell r="AS2326">
            <v>0.25</v>
          </cell>
          <cell r="AT2326">
            <v>-0.04</v>
          </cell>
          <cell r="AU2326">
            <v>0.92</v>
          </cell>
          <cell r="AV2326">
            <v>20</v>
          </cell>
          <cell r="AZ2326">
            <v>0.25</v>
          </cell>
          <cell r="BA2326">
            <v>0.25</v>
          </cell>
          <cell r="BF2326" t="str">
            <v>CLICK RAPID con carpenteria 02/03/2021</v>
          </cell>
        </row>
        <row r="2327">
          <cell r="A2327" t="str">
            <v xml:space="preserve">SICURMETAL SRL </v>
          </cell>
          <cell r="D2327" t="str">
            <v>VIA DEGOLA, 2R</v>
          </cell>
          <cell r="E2327">
            <v>16151</v>
          </cell>
          <cell r="F2327" t="str">
            <v>SAMPIERDARENA</v>
          </cell>
          <cell r="G2327" t="str">
            <v>GE</v>
          </cell>
          <cell r="H2327" t="str">
            <v>ITALIA</v>
          </cell>
          <cell r="J2327" t="str">
            <v>02461530996</v>
          </cell>
          <cell r="K2327" t="str">
            <v>SU9YNJA</v>
          </cell>
          <cell r="M2327" t="str">
            <v>UFFICIO ACQUISTI</v>
          </cell>
          <cell r="N2327" t="str">
            <v>010 6454369</v>
          </cell>
          <cell r="P2327" t="str">
            <v>sicurmetal@libero.it</v>
          </cell>
          <cell r="R2327" t="str">
            <v>BONIFICO BANCARIO, ALLA DATA DELLA NOSTRA CONFERMA D'ORDINE</v>
          </cell>
          <cell r="X2327">
            <v>0.25</v>
          </cell>
          <cell r="Y2327">
            <v>-0.04</v>
          </cell>
          <cell r="AB2327">
            <v>0.25</v>
          </cell>
          <cell r="AC2327">
            <v>0.25</v>
          </cell>
          <cell r="AD2327">
            <v>0.25</v>
          </cell>
          <cell r="AE2327">
            <v>0.25</v>
          </cell>
          <cell r="AF2327">
            <v>0.25</v>
          </cell>
          <cell r="AG2327">
            <v>0.25</v>
          </cell>
          <cell r="AH2327">
            <v>0.25</v>
          </cell>
          <cell r="AI2327">
            <v>0.25</v>
          </cell>
          <cell r="AJ2327">
            <v>0.25</v>
          </cell>
          <cell r="AK2327">
            <v>0.25</v>
          </cell>
          <cell r="AL2327">
            <v>0.25</v>
          </cell>
          <cell r="AM2327">
            <v>0.25</v>
          </cell>
          <cell r="AN2327">
            <v>0.25</v>
          </cell>
          <cell r="AO2327">
            <v>0.25</v>
          </cell>
          <cell r="AP2327">
            <v>0.25</v>
          </cell>
          <cell r="AQ2327">
            <v>0.25</v>
          </cell>
          <cell r="AR2327">
            <v>0.25</v>
          </cell>
          <cell r="AS2327">
            <v>0.25</v>
          </cell>
          <cell r="AT2327">
            <v>-0.04</v>
          </cell>
          <cell r="AU2327">
            <v>0.92</v>
          </cell>
          <cell r="AV2327">
            <v>20</v>
          </cell>
          <cell r="AZ2327">
            <v>0.25</v>
          </cell>
          <cell r="BA2327">
            <v>0.25</v>
          </cell>
          <cell r="BF2327" t="str">
            <v>CLICK RAPID con carpenteria 21/12/2020</v>
          </cell>
        </row>
        <row r="2328">
          <cell r="A2328" t="str">
            <v>SICURTIVOLI</v>
          </cell>
          <cell r="D2328" t="str">
            <v>VIA MAREMMANA INF.KM 0,500</v>
          </cell>
          <cell r="E2328" t="str">
            <v>00019</v>
          </cell>
          <cell r="F2328" t="str">
            <v>VILLA ADRIANA DI TIVOLI</v>
          </cell>
          <cell r="G2328" t="str">
            <v>RM</v>
          </cell>
          <cell r="H2328" t="str">
            <v>ITALIA</v>
          </cell>
          <cell r="J2328" t="str">
            <v>05532911004</v>
          </cell>
          <cell r="M2328" t="str">
            <v>UFFICIO ACQUISTI</v>
          </cell>
          <cell r="N2328" t="str">
            <v>0774 381771</v>
          </cell>
          <cell r="O2328" t="str">
            <v>DOMENICO 340 8308127 UFF.329 8073881</v>
          </cell>
          <cell r="P2328" t="str">
            <v>info@sicurtivoli.it</v>
          </cell>
          <cell r="R2328" t="str">
            <v>BONIFICO BANCARIO, ALLA DATA DELLA NOSTRA CONFERMA D'ORDINE</v>
          </cell>
          <cell r="X2328">
            <v>0.2</v>
          </cell>
          <cell r="Y2328">
            <v>-0.04</v>
          </cell>
          <cell r="AB2328">
            <v>0.2</v>
          </cell>
          <cell r="AC2328">
            <v>0.2</v>
          </cell>
          <cell r="AD2328">
            <v>0.2</v>
          </cell>
          <cell r="AE2328">
            <v>0.2</v>
          </cell>
          <cell r="AF2328">
            <v>0.2</v>
          </cell>
          <cell r="AG2328">
            <v>0.2</v>
          </cell>
          <cell r="AH2328">
            <v>0.2</v>
          </cell>
          <cell r="AI2328">
            <v>0.2</v>
          </cell>
          <cell r="AJ2328">
            <v>0.2</v>
          </cell>
          <cell r="AK2328">
            <v>0.2</v>
          </cell>
          <cell r="AL2328">
            <v>0.2</v>
          </cell>
          <cell r="AM2328">
            <v>0.2</v>
          </cell>
          <cell r="AN2328">
            <v>0.2</v>
          </cell>
          <cell r="AO2328">
            <v>0.2</v>
          </cell>
          <cell r="AP2328">
            <v>0.2</v>
          </cell>
          <cell r="AQ2328">
            <v>0.2</v>
          </cell>
          <cell r="AR2328">
            <v>0.2</v>
          </cell>
          <cell r="AS2328">
            <v>0.2</v>
          </cell>
          <cell r="AT2328">
            <v>-0.04</v>
          </cell>
          <cell r="AU2328">
            <v>0.92</v>
          </cell>
          <cell r="AV2328">
            <v>20</v>
          </cell>
          <cell r="AZ2328">
            <v>0.2</v>
          </cell>
          <cell r="BA2328">
            <v>0.2</v>
          </cell>
        </row>
        <row r="2329">
          <cell r="A2329" t="str">
            <v>SIDER CISTERNA</v>
          </cell>
          <cell r="D2329" t="str">
            <v>VIA APPIA, KM 56,900</v>
          </cell>
          <cell r="E2329" t="str">
            <v>04012</v>
          </cell>
          <cell r="F2329" t="str">
            <v>CISTERNA DI LATINA</v>
          </cell>
          <cell r="G2329" t="str">
            <v>LT</v>
          </cell>
          <cell r="H2329" t="str">
            <v>ITALIA</v>
          </cell>
          <cell r="M2329" t="str">
            <v>UFFICIO ACQUISTI</v>
          </cell>
          <cell r="N2329" t="str">
            <v>06 9696638/9</v>
          </cell>
          <cell r="P2329" t="str">
            <v>www.sidercisterna.it</v>
          </cell>
          <cell r="R2329" t="str">
            <v>BONIFICO BANCARIO, ALLA DATA DELLA NOSTRA CONFERMA D'ORDINE</v>
          </cell>
          <cell r="X2329">
            <v>0.2</v>
          </cell>
          <cell r="Y2329">
            <v>-0.04</v>
          </cell>
          <cell r="AB2329">
            <v>0.2</v>
          </cell>
          <cell r="AC2329">
            <v>0.2</v>
          </cell>
          <cell r="AD2329">
            <v>0.2</v>
          </cell>
          <cell r="AE2329">
            <v>0.2</v>
          </cell>
          <cell r="AF2329">
            <v>0.2</v>
          </cell>
          <cell r="AG2329">
            <v>0.2</v>
          </cell>
          <cell r="AH2329">
            <v>0.2</v>
          </cell>
          <cell r="AI2329">
            <v>0.2</v>
          </cell>
          <cell r="AJ2329">
            <v>0.2</v>
          </cell>
          <cell r="AK2329">
            <v>0.2</v>
          </cell>
          <cell r="AL2329">
            <v>0.2</v>
          </cell>
          <cell r="AM2329">
            <v>0.2</v>
          </cell>
          <cell r="AN2329">
            <v>0.2</v>
          </cell>
          <cell r="AO2329">
            <v>0.2</v>
          </cell>
          <cell r="AP2329">
            <v>0.2</v>
          </cell>
          <cell r="AQ2329">
            <v>0.2</v>
          </cell>
          <cell r="AR2329">
            <v>0.2</v>
          </cell>
          <cell r="AS2329">
            <v>0.2</v>
          </cell>
          <cell r="AT2329">
            <v>-0.04</v>
          </cell>
          <cell r="AU2329">
            <v>0.92</v>
          </cell>
          <cell r="AV2329">
            <v>20</v>
          </cell>
          <cell r="AZ2329">
            <v>0.2</v>
          </cell>
          <cell r="BA2329">
            <v>0.2</v>
          </cell>
        </row>
        <row r="2330">
          <cell r="A2330" t="str">
            <v>SIGHIERI E PAGNOLI VETRERIA SNC</v>
          </cell>
          <cell r="D2330" t="str">
            <v>VIA F.FILZI, 31  33 INT.6</v>
          </cell>
          <cell r="E2330">
            <v>57124</v>
          </cell>
          <cell r="F2330" t="str">
            <v>LIVORNO</v>
          </cell>
          <cell r="G2330" t="str">
            <v>LI</v>
          </cell>
          <cell r="H2330" t="str">
            <v>ITALIA</v>
          </cell>
          <cell r="J2330" t="str">
            <v>01011420492</v>
          </cell>
          <cell r="M2330" t="str">
            <v>UFFICIO ACQUISTI</v>
          </cell>
          <cell r="N2330" t="str">
            <v>0586 410022</v>
          </cell>
          <cell r="O2330" t="str">
            <v>Enrico 393 4233848  Alessandro  389 6739135</v>
          </cell>
          <cell r="P2330" t="str">
            <v>vetreriasighieriespagnoli@yahoo.it</v>
          </cell>
          <cell r="R2330" t="str">
            <v>BONIFICO BANCARIO, ALLA DATA DELLA NOSTRA CONFERMA D'ORDINE</v>
          </cell>
          <cell r="X2330">
            <v>0.25</v>
          </cell>
          <cell r="Y2330">
            <v>-0.04</v>
          </cell>
          <cell r="AB2330">
            <v>0.25</v>
          </cell>
          <cell r="AC2330">
            <v>0.25</v>
          </cell>
          <cell r="AD2330">
            <v>0.25</v>
          </cell>
          <cell r="AE2330">
            <v>0.25</v>
          </cell>
          <cell r="AF2330">
            <v>0.25</v>
          </cell>
          <cell r="AG2330">
            <v>0.25</v>
          </cell>
          <cell r="AH2330">
            <v>0.25</v>
          </cell>
          <cell r="AI2330">
            <v>0.25</v>
          </cell>
          <cell r="AJ2330">
            <v>0.25</v>
          </cell>
          <cell r="AK2330">
            <v>0.25</v>
          </cell>
          <cell r="AL2330">
            <v>0.25</v>
          </cell>
          <cell r="AM2330">
            <v>0.25</v>
          </cell>
          <cell r="AN2330">
            <v>0.25</v>
          </cell>
          <cell r="AO2330">
            <v>0.25</v>
          </cell>
          <cell r="AP2330">
            <v>0.25</v>
          </cell>
          <cell r="AQ2330">
            <v>0.25</v>
          </cell>
          <cell r="AR2330">
            <v>0.25</v>
          </cell>
          <cell r="AS2330">
            <v>0.25</v>
          </cell>
          <cell r="AT2330">
            <v>-0.04</v>
          </cell>
          <cell r="AU2330">
            <v>0.92</v>
          </cell>
          <cell r="AV2330">
            <v>20</v>
          </cell>
          <cell r="AZ2330">
            <v>0.25</v>
          </cell>
          <cell r="BA2330">
            <v>0.25</v>
          </cell>
        </row>
        <row r="2331">
          <cell r="A2331" t="str">
            <v>SIGNORELLI DI PM SRL</v>
          </cell>
          <cell r="D2331" t="str">
            <v>VIA SAN PARDO 16-18</v>
          </cell>
          <cell r="E2331" t="str">
            <v>75100</v>
          </cell>
          <cell r="F2331" t="str">
            <v xml:space="preserve">MATERA </v>
          </cell>
          <cell r="G2331" t="str">
            <v>MT</v>
          </cell>
          <cell r="H2331" t="str">
            <v>ITALIA</v>
          </cell>
          <cell r="J2331" t="str">
            <v>01355040773</v>
          </cell>
          <cell r="M2331" t="str">
            <v>UFFICIO ACQUISTI</v>
          </cell>
          <cell r="N2331" t="str">
            <v>0835 387659</v>
          </cell>
          <cell r="O2331" t="str">
            <v>320 8968971</v>
          </cell>
          <cell r="P2331" t="str">
            <v>signorelliinfissi@virgilio.it</v>
          </cell>
          <cell r="R2331" t="str">
            <v>BONIFICO BANCARIO, ALLA DATA DELLA NOSTRA CONFERMA D'ORDINE</v>
          </cell>
          <cell r="X2331">
            <v>0.25</v>
          </cell>
          <cell r="Y2331">
            <v>-0.04</v>
          </cell>
          <cell r="AB2331">
            <v>0.25</v>
          </cell>
          <cell r="AC2331">
            <v>0.25</v>
          </cell>
          <cell r="AD2331">
            <v>0.25</v>
          </cell>
          <cell r="AE2331">
            <v>0.25</v>
          </cell>
          <cell r="AF2331">
            <v>0.25</v>
          </cell>
          <cell r="AG2331">
            <v>0.25</v>
          </cell>
          <cell r="AH2331">
            <v>0.25</v>
          </cell>
          <cell r="AI2331">
            <v>0.25</v>
          </cell>
          <cell r="AJ2331">
            <v>0.25</v>
          </cell>
          <cell r="AK2331">
            <v>0.25</v>
          </cell>
          <cell r="AL2331">
            <v>0.25</v>
          </cell>
          <cell r="AM2331">
            <v>0.25</v>
          </cell>
          <cell r="AN2331">
            <v>0.25</v>
          </cell>
          <cell r="AO2331">
            <v>0.25</v>
          </cell>
          <cell r="AP2331">
            <v>0.25</v>
          </cell>
          <cell r="AQ2331">
            <v>0.25</v>
          </cell>
          <cell r="AR2331">
            <v>0.25</v>
          </cell>
          <cell r="AS2331">
            <v>0.25</v>
          </cell>
          <cell r="AT2331">
            <v>-0.04</v>
          </cell>
          <cell r="AU2331">
            <v>0.92</v>
          </cell>
          <cell r="AV2331">
            <v>20</v>
          </cell>
          <cell r="AZ2331">
            <v>0.25</v>
          </cell>
          <cell r="BA2331">
            <v>0.25</v>
          </cell>
        </row>
        <row r="2332">
          <cell r="A2332" t="str">
            <v>SIGNORELLI INFISSI di Peragine Maria SRLS</v>
          </cell>
          <cell r="D2332" t="str">
            <v>C.DA PANTATNO SNC</v>
          </cell>
          <cell r="E2332">
            <v>75100</v>
          </cell>
          <cell r="F2332" t="str">
            <v>MATERA</v>
          </cell>
          <cell r="G2332" t="str">
            <v>MT</v>
          </cell>
          <cell r="H2332" t="str">
            <v>ITALIA</v>
          </cell>
          <cell r="J2332" t="str">
            <v>01355040773</v>
          </cell>
          <cell r="K2332" t="str">
            <v>5RUO82D</v>
          </cell>
          <cell r="M2332" t="str">
            <v>UFFICIO ACQUISTI</v>
          </cell>
          <cell r="N2332" t="str">
            <v>0835 387659</v>
          </cell>
          <cell r="O2332" t="str">
            <v>320 8968971</v>
          </cell>
          <cell r="P2332" t="str">
            <v>signorelliinfissi@virgilio.it</v>
          </cell>
          <cell r="R2332" t="str">
            <v>BONIFICO BANCARIO, ALLA DATA DELLA NOSTRA CONFERMA D'ORDINE</v>
          </cell>
          <cell r="X2332">
            <v>0.25</v>
          </cell>
          <cell r="Y2332">
            <v>-0.04</v>
          </cell>
          <cell r="AB2332">
            <v>0.25</v>
          </cell>
          <cell r="AC2332">
            <v>0.25</v>
          </cell>
          <cell r="AD2332">
            <v>0.25</v>
          </cell>
          <cell r="AE2332">
            <v>0.25</v>
          </cell>
          <cell r="AF2332">
            <v>0.25</v>
          </cell>
          <cell r="AG2332">
            <v>0.25</v>
          </cell>
          <cell r="AH2332">
            <v>0.25</v>
          </cell>
          <cell r="AI2332">
            <v>0.25</v>
          </cell>
          <cell r="AJ2332">
            <v>0.25</v>
          </cell>
          <cell r="AK2332">
            <v>0.25</v>
          </cell>
          <cell r="AL2332">
            <v>0.25</v>
          </cell>
          <cell r="AM2332">
            <v>0.25</v>
          </cell>
          <cell r="AN2332">
            <v>0.25</v>
          </cell>
          <cell r="AO2332">
            <v>0.25</v>
          </cell>
          <cell r="AP2332">
            <v>0.25</v>
          </cell>
          <cell r="AQ2332">
            <v>0.25</v>
          </cell>
          <cell r="AR2332">
            <v>0.25</v>
          </cell>
          <cell r="AS2332">
            <v>0.25</v>
          </cell>
          <cell r="AT2332">
            <v>-0.04</v>
          </cell>
          <cell r="AU2332">
            <v>0.92</v>
          </cell>
          <cell r="AV2332">
            <v>20</v>
          </cell>
          <cell r="AZ2332">
            <v>0.25</v>
          </cell>
          <cell r="BA2332">
            <v>0.25</v>
          </cell>
        </row>
        <row r="2333">
          <cell r="A2333" t="str">
            <v>SIKUR HOME</v>
          </cell>
          <cell r="D2333" t="str">
            <v>VIA DEI CEDRI, S.N.</v>
          </cell>
          <cell r="E2333">
            <v>70026</v>
          </cell>
          <cell r="F2333" t="str">
            <v>MODUGNO</v>
          </cell>
          <cell r="G2333" t="str">
            <v>BA</v>
          </cell>
          <cell r="H2333" t="str">
            <v>ITALIA</v>
          </cell>
          <cell r="J2333" t="str">
            <v>06560600725</v>
          </cell>
          <cell r="M2333" t="str">
            <v>UFFICIO ACQUISTI</v>
          </cell>
          <cell r="N2333" t="str">
            <v>080 5321992</v>
          </cell>
          <cell r="O2333" t="str">
            <v>327 1870033</v>
          </cell>
          <cell r="P2333" t="str">
            <v>info@sikurhome.it</v>
          </cell>
          <cell r="R2333" t="str">
            <v>BONIFICO BANCARIO, ALLA DATA DELLA NOSTRA CONFERMA D'ORDINE</v>
          </cell>
          <cell r="X2333">
            <v>0.25</v>
          </cell>
          <cell r="Y2333">
            <v>-0.04</v>
          </cell>
          <cell r="AB2333">
            <v>0.25</v>
          </cell>
          <cell r="AC2333">
            <v>0.25</v>
          </cell>
          <cell r="AD2333">
            <v>0.25</v>
          </cell>
          <cell r="AE2333">
            <v>0.25</v>
          </cell>
          <cell r="AF2333">
            <v>0.25</v>
          </cell>
          <cell r="AG2333">
            <v>0.25</v>
          </cell>
          <cell r="AH2333">
            <v>0.25</v>
          </cell>
          <cell r="AI2333">
            <v>0.25</v>
          </cell>
          <cell r="AJ2333">
            <v>0.25</v>
          </cell>
          <cell r="AK2333">
            <v>0.25</v>
          </cell>
          <cell r="AL2333">
            <v>0.25</v>
          </cell>
          <cell r="AM2333">
            <v>0.25</v>
          </cell>
          <cell r="AN2333">
            <v>0.25</v>
          </cell>
          <cell r="AO2333">
            <v>0.25</v>
          </cell>
          <cell r="AP2333">
            <v>0.25</v>
          </cell>
          <cell r="AQ2333">
            <v>0.25</v>
          </cell>
          <cell r="AR2333">
            <v>0.25</v>
          </cell>
          <cell r="AS2333">
            <v>0.25</v>
          </cell>
          <cell r="AT2333">
            <v>-0.04</v>
          </cell>
          <cell r="AU2333">
            <v>0.92</v>
          </cell>
          <cell r="AV2333">
            <v>20</v>
          </cell>
          <cell r="AZ2333">
            <v>0.25</v>
          </cell>
          <cell r="BA2333">
            <v>0.25</v>
          </cell>
        </row>
        <row r="2334">
          <cell r="A2334" t="str">
            <v>SILERI MAURIZIO SNC DI SILERI KATIA</v>
          </cell>
          <cell r="B2334" t="str">
            <v xml:space="preserve">LAB E UFF:VIA DELLE BOSCARE,4 </v>
          </cell>
          <cell r="D2334" t="str">
            <v xml:space="preserve">VIA PALAVERTA, 27 </v>
          </cell>
          <cell r="E2334" t="str">
            <v>00040</v>
          </cell>
          <cell r="F2334" t="str">
            <v>FRATTOCCHIE DI  MARINO RM</v>
          </cell>
          <cell r="G2334" t="str">
            <v>RM</v>
          </cell>
          <cell r="H2334" t="str">
            <v>ITALIA</v>
          </cell>
          <cell r="J2334" t="str">
            <v>0934632004</v>
          </cell>
          <cell r="M2334" t="str">
            <v>UFFICIO ACQUISTI</v>
          </cell>
          <cell r="N2334" t="str">
            <v>06 93547717</v>
          </cell>
          <cell r="O2334" t="str">
            <v>338 3106051 ANGELO RESPONSABILE</v>
          </cell>
          <cell r="P2334" t="str">
            <v>ang.ric@alice.it</v>
          </cell>
          <cell r="R2334" t="str">
            <v>BONIFICO BANCARIO, ALLA DATA DELLA NOSTRA CONFERMA D'ORDINE</v>
          </cell>
          <cell r="X2334">
            <v>0.2</v>
          </cell>
          <cell r="Y2334">
            <v>-0.04</v>
          </cell>
          <cell r="AB2334">
            <v>0.2</v>
          </cell>
          <cell r="AC2334">
            <v>0.2</v>
          </cell>
          <cell r="AD2334">
            <v>0.2</v>
          </cell>
          <cell r="AE2334">
            <v>0.2</v>
          </cell>
          <cell r="AF2334">
            <v>0.2</v>
          </cell>
          <cell r="AG2334">
            <v>0.2</v>
          </cell>
          <cell r="AH2334">
            <v>0.2</v>
          </cell>
          <cell r="AI2334">
            <v>0.2</v>
          </cell>
          <cell r="AJ2334">
            <v>0.2</v>
          </cell>
          <cell r="AK2334">
            <v>0.2</v>
          </cell>
          <cell r="AL2334">
            <v>0.2</v>
          </cell>
          <cell r="AM2334">
            <v>0.2</v>
          </cell>
          <cell r="AN2334">
            <v>0.2</v>
          </cell>
          <cell r="AO2334">
            <v>0.2</v>
          </cell>
          <cell r="AP2334">
            <v>0.2</v>
          </cell>
          <cell r="AQ2334">
            <v>0.2</v>
          </cell>
          <cell r="AR2334">
            <v>0.2</v>
          </cell>
          <cell r="AS2334">
            <v>0.2</v>
          </cell>
          <cell r="AT2334">
            <v>-0.04</v>
          </cell>
          <cell r="AU2334">
            <v>0.92</v>
          </cell>
          <cell r="AV2334">
            <v>20</v>
          </cell>
          <cell r="AZ2334">
            <v>0.2</v>
          </cell>
          <cell r="BA2334">
            <v>0.2</v>
          </cell>
        </row>
        <row r="2335">
          <cell r="A2335" t="str">
            <v>SILVESTRIS INFISSI SRL</v>
          </cell>
          <cell r="B2335" t="str">
            <v>NO SCONTI, GIOACCHINO.</v>
          </cell>
          <cell r="D2335" t="str">
            <v>VIA BERLINO 32/36</v>
          </cell>
          <cell r="E2335" t="str">
            <v>76011</v>
          </cell>
          <cell r="F2335" t="str">
            <v xml:space="preserve">BISCEGLIE </v>
          </cell>
          <cell r="G2335" t="str">
            <v>BT</v>
          </cell>
          <cell r="H2335" t="str">
            <v>ITALIA</v>
          </cell>
          <cell r="J2335" t="str">
            <v>07166630728</v>
          </cell>
          <cell r="M2335" t="str">
            <v>UFFICIO ACQUISTI</v>
          </cell>
          <cell r="N2335" t="str">
            <v>080 3925166</v>
          </cell>
          <cell r="P2335" t="str">
            <v>info@silvestrisinfissi.com</v>
          </cell>
          <cell r="R2335" t="str">
            <v>BONIFICO BANCARIO, ALLA DATA DELLA NOSTRA CONFERMA D'ORDINE</v>
          </cell>
          <cell r="X2335">
            <v>0.25</v>
          </cell>
          <cell r="Y2335">
            <v>-0.04</v>
          </cell>
          <cell r="AB2335">
            <v>0.25</v>
          </cell>
          <cell r="AC2335">
            <v>0.25</v>
          </cell>
          <cell r="AD2335">
            <v>0.25</v>
          </cell>
          <cell r="AE2335">
            <v>0.25</v>
          </cell>
          <cell r="AF2335">
            <v>0.25</v>
          </cell>
          <cell r="AG2335">
            <v>0.25</v>
          </cell>
          <cell r="AH2335">
            <v>0.25</v>
          </cell>
          <cell r="AI2335">
            <v>0.25</v>
          </cell>
          <cell r="AJ2335">
            <v>0.25</v>
          </cell>
          <cell r="AK2335">
            <v>0.25</v>
          </cell>
          <cell r="AL2335">
            <v>0.25</v>
          </cell>
          <cell r="AM2335">
            <v>0.25</v>
          </cell>
          <cell r="AN2335">
            <v>0.25</v>
          </cell>
          <cell r="AO2335">
            <v>0.25</v>
          </cell>
          <cell r="AP2335">
            <v>0.25</v>
          </cell>
          <cell r="AQ2335">
            <v>0.25</v>
          </cell>
          <cell r="AR2335">
            <v>0.25</v>
          </cell>
          <cell r="AS2335">
            <v>0.25</v>
          </cell>
          <cell r="AT2335">
            <v>-0.04</v>
          </cell>
          <cell r="AU2335">
            <v>0.92</v>
          </cell>
          <cell r="AV2335">
            <v>20</v>
          </cell>
          <cell r="AZ2335">
            <v>0.25</v>
          </cell>
          <cell r="BA2335">
            <v>0.25</v>
          </cell>
        </row>
        <row r="2336">
          <cell r="A2336" t="str">
            <v>SILVIO PILIA</v>
          </cell>
          <cell r="D2336" t="str">
            <v>VIA FRA LOCCI BECCIU, 7 ZONA P.I.P.LOTTO 28</v>
          </cell>
          <cell r="E2336" t="str">
            <v>08048</v>
          </cell>
          <cell r="F2336" t="str">
            <v>TORTOLI'</v>
          </cell>
          <cell r="G2336" t="str">
            <v>NU</v>
          </cell>
          <cell r="H2336" t="str">
            <v>ITALIA</v>
          </cell>
          <cell r="J2336" t="str">
            <v>00112410915</v>
          </cell>
          <cell r="M2336" t="str">
            <v>UFFICIO ACQUISTI</v>
          </cell>
          <cell r="N2336" t="str">
            <v>0782 622026</v>
          </cell>
          <cell r="P2336" t="str">
            <v>pilia.silvio@tiscali.it</v>
          </cell>
          <cell r="R2336" t="str">
            <v>BONIFICO BANCARIO, ALLA DATA DELLA NOSTRA CONFERMA D'ORDINE</v>
          </cell>
          <cell r="X2336">
            <v>0.2</v>
          </cell>
          <cell r="Y2336">
            <v>-0.04</v>
          </cell>
          <cell r="AB2336">
            <v>0.2</v>
          </cell>
          <cell r="AC2336">
            <v>0.2</v>
          </cell>
          <cell r="AD2336">
            <v>0.2</v>
          </cell>
          <cell r="AE2336">
            <v>0.2</v>
          </cell>
          <cell r="AF2336">
            <v>0.2</v>
          </cell>
          <cell r="AG2336">
            <v>0.2</v>
          </cell>
          <cell r="AH2336">
            <v>0.2</v>
          </cell>
          <cell r="AI2336">
            <v>0.2</v>
          </cell>
          <cell r="AJ2336">
            <v>0.2</v>
          </cell>
          <cell r="AK2336">
            <v>0.2</v>
          </cell>
          <cell r="AL2336">
            <v>0.2</v>
          </cell>
          <cell r="AM2336">
            <v>0.2</v>
          </cell>
          <cell r="AN2336">
            <v>0.2</v>
          </cell>
          <cell r="AO2336">
            <v>0.2</v>
          </cell>
          <cell r="AP2336">
            <v>0.2</v>
          </cell>
          <cell r="AQ2336">
            <v>0.2</v>
          </cell>
          <cell r="AR2336">
            <v>0.2</v>
          </cell>
          <cell r="AS2336">
            <v>0.2</v>
          </cell>
          <cell r="AT2336">
            <v>-0.04</v>
          </cell>
          <cell r="AU2336">
            <v>0.92</v>
          </cell>
          <cell r="AV2336">
            <v>20</v>
          </cell>
          <cell r="AZ2336">
            <v>0.2</v>
          </cell>
          <cell r="BA2336">
            <v>0.2</v>
          </cell>
        </row>
        <row r="2337">
          <cell r="A2337" t="str">
            <v>SIMART SRL</v>
          </cell>
          <cell r="D2337" t="str">
            <v>VIA DEL PROGRESSO, 13</v>
          </cell>
          <cell r="E2337">
            <v>36100</v>
          </cell>
          <cell r="F2337" t="str">
            <v>VICENZA</v>
          </cell>
          <cell r="G2337" t="str">
            <v>VI</v>
          </cell>
          <cell r="H2337" t="str">
            <v>ITALIA</v>
          </cell>
          <cell r="M2337" t="str">
            <v>UFFICIO ACQUISTI</v>
          </cell>
          <cell r="N2337" t="str">
            <v>0444 911052</v>
          </cell>
          <cell r="O2337" t="str">
            <v>339 5449942 COGO MARTINO</v>
          </cell>
          <cell r="P2337" t="str">
            <v>info@simartsrl.it</v>
          </cell>
          <cell r="R2337" t="str">
            <v>BONIFICO BANCARIO, ALLA DATA DELLA NOSTRA CONFERMA D'ORDINE</v>
          </cell>
          <cell r="X2337">
            <v>0.2</v>
          </cell>
          <cell r="Y2337">
            <v>-0.04</v>
          </cell>
          <cell r="AB2337">
            <v>0.2</v>
          </cell>
          <cell r="AC2337">
            <v>0.2</v>
          </cell>
          <cell r="AD2337">
            <v>0.2</v>
          </cell>
          <cell r="AE2337">
            <v>0.2</v>
          </cell>
          <cell r="AF2337">
            <v>0.2</v>
          </cell>
          <cell r="AG2337">
            <v>0.2</v>
          </cell>
          <cell r="AH2337">
            <v>0.2</v>
          </cell>
          <cell r="AI2337">
            <v>0.2</v>
          </cell>
          <cell r="AJ2337">
            <v>0.2</v>
          </cell>
          <cell r="AK2337">
            <v>0.2</v>
          </cell>
          <cell r="AL2337">
            <v>0.2</v>
          </cell>
          <cell r="AM2337">
            <v>0.2</v>
          </cell>
          <cell r="AN2337">
            <v>0.2</v>
          </cell>
          <cell r="AO2337">
            <v>0.2</v>
          </cell>
          <cell r="AP2337">
            <v>0.2</v>
          </cell>
          <cell r="AQ2337">
            <v>0.2</v>
          </cell>
          <cell r="AR2337">
            <v>0.2</v>
          </cell>
          <cell r="AS2337">
            <v>0.2</v>
          </cell>
          <cell r="AT2337">
            <v>-0.04</v>
          </cell>
          <cell r="AU2337">
            <v>0.92</v>
          </cell>
          <cell r="AV2337">
            <v>20</v>
          </cell>
          <cell r="AZ2337">
            <v>0.2</v>
          </cell>
          <cell r="BA2337">
            <v>0.2</v>
          </cell>
        </row>
        <row r="2338">
          <cell r="A2338" t="str">
            <v xml:space="preserve">SIMONCELLI </v>
          </cell>
          <cell r="B2338" t="str">
            <v>05/12 ARRABBIATISSIMO! DICE CHE DOPO ALLUVIONE SIAMOARRIVATI COME I FALCHI E GLI ABBIAMO FATTO FARE UN PREV PER "VILLA SERENA" E POI NON CI SIAMO PIU' FATTI SENTIRE. NON CI CONSIDERA AZIENDA SERIA E NON NE VUOLE PIU' SAPERE. Marco diche che gli abbiamo fatto un prev che lui ha girato frettolosamente, ma non inserendo misure corrette. Il cliente così ha ordinato da altra azienda</v>
          </cell>
          <cell r="D2338" t="str">
            <v>VIA LITORANEA, 149 I</v>
          </cell>
          <cell r="E2338">
            <v>61035</v>
          </cell>
          <cell r="F2338" t="str">
            <v>MAROTTA</v>
          </cell>
          <cell r="G2338" t="str">
            <v>PU</v>
          </cell>
          <cell r="H2338" t="str">
            <v>ITALIA</v>
          </cell>
          <cell r="J2338" t="str">
            <v>02028200414</v>
          </cell>
          <cell r="M2338" t="str">
            <v>UFFICIO ACQUISTI</v>
          </cell>
          <cell r="N2338" t="str">
            <v>0721 960938</v>
          </cell>
          <cell r="O2338" t="str">
            <v>Delgo 335 7018410</v>
          </cell>
          <cell r="P2338" t="str">
            <v>simoncellidelgo@alice.it</v>
          </cell>
          <cell r="R2338" t="str">
            <v>BONIFICO BANCARIO, ALLA DATA DELLA NOSTRA CONFERMA D'ORDINE</v>
          </cell>
          <cell r="X2338">
            <v>0.2</v>
          </cell>
          <cell r="Y2338">
            <v>-0.04</v>
          </cell>
          <cell r="AB2338">
            <v>0.2</v>
          </cell>
          <cell r="AC2338">
            <v>0.2</v>
          </cell>
          <cell r="AD2338">
            <v>0.2</v>
          </cell>
          <cell r="AE2338">
            <v>0.2</v>
          </cell>
          <cell r="AF2338">
            <v>0.2</v>
          </cell>
          <cell r="AG2338">
            <v>0.2</v>
          </cell>
          <cell r="AH2338">
            <v>0.2</v>
          </cell>
          <cell r="AI2338">
            <v>0.2</v>
          </cell>
          <cell r="AJ2338">
            <v>0.2</v>
          </cell>
          <cell r="AK2338">
            <v>0.2</v>
          </cell>
          <cell r="AL2338">
            <v>0.2</v>
          </cell>
          <cell r="AM2338">
            <v>0.2</v>
          </cell>
          <cell r="AN2338">
            <v>0.2</v>
          </cell>
          <cell r="AO2338">
            <v>0.2</v>
          </cell>
          <cell r="AP2338">
            <v>0.2</v>
          </cell>
          <cell r="AQ2338">
            <v>0.2</v>
          </cell>
          <cell r="AR2338">
            <v>0.2</v>
          </cell>
          <cell r="AS2338">
            <v>0.2</v>
          </cell>
          <cell r="AT2338">
            <v>-0.04</v>
          </cell>
          <cell r="AU2338">
            <v>0.92</v>
          </cell>
          <cell r="AV2338">
            <v>20</v>
          </cell>
          <cell r="AZ2338">
            <v>0.2</v>
          </cell>
          <cell r="BA2338">
            <v>0.2</v>
          </cell>
        </row>
        <row r="2339">
          <cell r="A2339" t="str">
            <v>SIMONE SERRAMENTI</v>
          </cell>
          <cell r="D2339" t="str">
            <v>VIA BARTOLI, 33R</v>
          </cell>
          <cell r="E2339">
            <v>17100</v>
          </cell>
          <cell r="F2339" t="str">
            <v>SAVONA</v>
          </cell>
          <cell r="G2339" t="str">
            <v>SV</v>
          </cell>
          <cell r="H2339" t="str">
            <v>ITALIA</v>
          </cell>
          <cell r="I2339" t="str">
            <v>01016570093</v>
          </cell>
          <cell r="J2339" t="str">
            <v>01016570093</v>
          </cell>
          <cell r="M2339" t="str">
            <v>UFFICIO ACQUISTI</v>
          </cell>
          <cell r="O2339" t="str">
            <v>393 9144959</v>
          </cell>
          <cell r="P2339" t="str">
            <v>simoneserramenti@libero.it</v>
          </cell>
          <cell r="R2339" t="str">
            <v>BONIFICO BANCARIO, ALLA DATA DELLA NOSTRA CONFERMA D'ORDINE</v>
          </cell>
          <cell r="X2339">
            <v>0.2</v>
          </cell>
          <cell r="Y2339">
            <v>-0.04</v>
          </cell>
          <cell r="AB2339">
            <v>0.2</v>
          </cell>
          <cell r="AC2339">
            <v>0.2</v>
          </cell>
          <cell r="AD2339">
            <v>0.2</v>
          </cell>
          <cell r="AE2339">
            <v>0.2</v>
          </cell>
          <cell r="AF2339">
            <v>0.2</v>
          </cell>
          <cell r="AG2339">
            <v>0.2</v>
          </cell>
          <cell r="AH2339">
            <v>0.2</v>
          </cell>
          <cell r="AI2339">
            <v>0.2</v>
          </cell>
          <cell r="AJ2339">
            <v>0.2</v>
          </cell>
          <cell r="AK2339">
            <v>0.2</v>
          </cell>
          <cell r="AL2339">
            <v>0.2</v>
          </cell>
          <cell r="AM2339">
            <v>0.2</v>
          </cell>
          <cell r="AN2339">
            <v>0.2</v>
          </cell>
          <cell r="AO2339">
            <v>0.2</v>
          </cell>
          <cell r="AP2339">
            <v>0.2</v>
          </cell>
          <cell r="AQ2339">
            <v>0.2</v>
          </cell>
          <cell r="AR2339">
            <v>0.2</v>
          </cell>
          <cell r="AS2339">
            <v>0.2</v>
          </cell>
          <cell r="AT2339">
            <v>-0.04</v>
          </cell>
          <cell r="AU2339">
            <v>0.92</v>
          </cell>
          <cell r="AV2339">
            <v>20</v>
          </cell>
          <cell r="AZ2339">
            <v>0.2</v>
          </cell>
          <cell r="BA2339">
            <v>0.2</v>
          </cell>
        </row>
        <row r="2340">
          <cell r="A2340" t="str">
            <v>SIMS SRL</v>
          </cell>
          <cell r="D2340" t="str">
            <v>VIA DEL CANDEL , 9</v>
          </cell>
          <cell r="E2340" t="str">
            <v>32100</v>
          </cell>
          <cell r="F2340" t="str">
            <v>BELLUNO</v>
          </cell>
          <cell r="G2340" t="str">
            <v>BL</v>
          </cell>
          <cell r="H2340" t="str">
            <v>ITALIA</v>
          </cell>
          <cell r="I2340" t="str">
            <v>00993990258</v>
          </cell>
          <cell r="J2340" t="str">
            <v>00993990258</v>
          </cell>
          <cell r="M2340" t="str">
            <v>UFFICIO ACQUISTI</v>
          </cell>
          <cell r="N2340" t="str">
            <v>0437 31159</v>
          </cell>
          <cell r="P2340" t="str">
            <v>info@sims-italia.it</v>
          </cell>
          <cell r="R2340" t="str">
            <v>BONIFICO BANCARIO, ALLA DATA DELLA NOSTRA CONFERMA D'ORDINE</v>
          </cell>
          <cell r="X2340">
            <v>0.2</v>
          </cell>
          <cell r="Y2340">
            <v>-0.04</v>
          </cell>
          <cell r="AB2340">
            <v>0.2</v>
          </cell>
          <cell r="AC2340">
            <v>0.2</v>
          </cell>
          <cell r="AD2340">
            <v>0.2</v>
          </cell>
          <cell r="AE2340">
            <v>0.2</v>
          </cell>
          <cell r="AF2340">
            <v>0.2</v>
          </cell>
          <cell r="AG2340">
            <v>0.2</v>
          </cell>
          <cell r="AH2340">
            <v>0.2</v>
          </cell>
          <cell r="AI2340">
            <v>0.2</v>
          </cell>
          <cell r="AJ2340">
            <v>0.2</v>
          </cell>
          <cell r="AK2340">
            <v>0.2</v>
          </cell>
          <cell r="AL2340">
            <v>0.2</v>
          </cell>
          <cell r="AM2340">
            <v>0.2</v>
          </cell>
          <cell r="AN2340">
            <v>0.2</v>
          </cell>
          <cell r="AO2340">
            <v>0.2</v>
          </cell>
          <cell r="AP2340">
            <v>0.2</v>
          </cell>
          <cell r="AQ2340">
            <v>0.2</v>
          </cell>
          <cell r="AR2340">
            <v>0.2</v>
          </cell>
          <cell r="AS2340">
            <v>0.2</v>
          </cell>
          <cell r="AT2340">
            <v>-0.04</v>
          </cell>
          <cell r="AU2340">
            <v>0.92</v>
          </cell>
          <cell r="AV2340">
            <v>20</v>
          </cell>
          <cell r="AZ2340">
            <v>0.2</v>
          </cell>
          <cell r="BA2340">
            <v>0.2</v>
          </cell>
        </row>
        <row r="2341">
          <cell r="A2341" t="str">
            <v>SINTELUX SNC DI POLIDORO R &amp; C</v>
          </cell>
          <cell r="D2341" t="str">
            <v>VIA BRIONE, 20 C.P. 74</v>
          </cell>
          <cell r="E2341">
            <v>38066</v>
          </cell>
          <cell r="F2341" t="str">
            <v>RIVA DEL GARDA</v>
          </cell>
          <cell r="G2341" t="str">
            <v>TN</v>
          </cell>
          <cell r="H2341" t="str">
            <v>ITALIA</v>
          </cell>
          <cell r="I2341" t="str">
            <v>00242790228</v>
          </cell>
          <cell r="J2341" t="str">
            <v>00242790228</v>
          </cell>
          <cell r="M2341" t="str">
            <v>UFFICIO ACQUISTI</v>
          </cell>
          <cell r="N2341" t="str">
            <v>0464 552571</v>
          </cell>
          <cell r="O2341" t="str">
            <v>Andrea Polidoro 340 2981051</v>
          </cell>
          <cell r="P2341" t="str">
            <v>info@sintelux.it</v>
          </cell>
          <cell r="R2341" t="str">
            <v>BONIFICO BANCARIO, ALLA DATA DELLA NOSTRA CONFERMA D'ORDINE</v>
          </cell>
          <cell r="X2341">
            <v>0.2</v>
          </cell>
          <cell r="Y2341">
            <v>-0.04</v>
          </cell>
          <cell r="AB2341">
            <v>0.2</v>
          </cell>
          <cell r="AC2341">
            <v>0.2</v>
          </cell>
          <cell r="AD2341">
            <v>0.2</v>
          </cell>
          <cell r="AE2341">
            <v>0.2</v>
          </cell>
          <cell r="AF2341">
            <v>0.2</v>
          </cell>
          <cell r="AG2341">
            <v>0.2</v>
          </cell>
          <cell r="AH2341">
            <v>0.2</v>
          </cell>
          <cell r="AI2341">
            <v>0.2</v>
          </cell>
          <cell r="AJ2341">
            <v>0.2</v>
          </cell>
          <cell r="AK2341">
            <v>0.2</v>
          </cell>
          <cell r="AL2341">
            <v>0.2</v>
          </cell>
          <cell r="AM2341">
            <v>0.2</v>
          </cell>
          <cell r="AN2341">
            <v>0.2</v>
          </cell>
          <cell r="AO2341">
            <v>0.2</v>
          </cell>
          <cell r="AP2341">
            <v>0.2</v>
          </cell>
          <cell r="AQ2341">
            <v>0.2</v>
          </cell>
          <cell r="AR2341">
            <v>0.2</v>
          </cell>
          <cell r="AS2341">
            <v>0.2</v>
          </cell>
          <cell r="AT2341">
            <v>-0.04</v>
          </cell>
          <cell r="AU2341">
            <v>0.92</v>
          </cell>
          <cell r="AV2341">
            <v>20</v>
          </cell>
          <cell r="AZ2341">
            <v>0.2</v>
          </cell>
          <cell r="BA2341">
            <v>0.2</v>
          </cell>
        </row>
        <row r="2342">
          <cell r="A2342" t="str">
            <v>SIPLA RODELLA EMILIO E C. SAS</v>
          </cell>
          <cell r="D2342" t="str">
            <v>VIA FOSSADONE, 81/83</v>
          </cell>
          <cell r="E2342" t="str">
            <v>46043</v>
          </cell>
          <cell r="F2342" t="str">
            <v>CASTIGLIONE DELLE STIVIERE</v>
          </cell>
          <cell r="G2342" t="str">
            <v>MN</v>
          </cell>
          <cell r="H2342" t="str">
            <v>ITALIA</v>
          </cell>
          <cell r="J2342" t="str">
            <v>00416560209</v>
          </cell>
          <cell r="M2342" t="str">
            <v>UFFICIO ACQUISTI</v>
          </cell>
          <cell r="P2342" t="str">
            <v>info@siplarodellaemilio.191.it</v>
          </cell>
          <cell r="R2342" t="str">
            <v>BONIFICO BANCARIO, ALLA DATA DELLA NOSTRA CONFERMA D'ORDINE</v>
          </cell>
          <cell r="Y2342">
            <v>-0.04</v>
          </cell>
          <cell r="AT2342">
            <v>-0.04</v>
          </cell>
          <cell r="AV2342">
            <v>20</v>
          </cell>
          <cell r="AZ2342">
            <v>0</v>
          </cell>
          <cell r="BA2342">
            <v>0</v>
          </cell>
        </row>
        <row r="2343">
          <cell r="A2343" t="str">
            <v>SIRI STEFANO</v>
          </cell>
          <cell r="B2343" t="str">
            <v>LASCIATO DEPLIAN -MP</v>
          </cell>
          <cell r="D2343" t="str">
            <v>VIA PIAVE, 1</v>
          </cell>
          <cell r="E2343">
            <v>17019</v>
          </cell>
          <cell r="F2343" t="str">
            <v>VARAZZE</v>
          </cell>
          <cell r="G2343" t="str">
            <v>SV</v>
          </cell>
          <cell r="H2343" t="str">
            <v>ITALIA</v>
          </cell>
          <cell r="I2343" t="str">
            <v>SRISFN78M24L675K</v>
          </cell>
          <cell r="J2343" t="str">
            <v>01315390094</v>
          </cell>
          <cell r="M2343" t="str">
            <v>UFFICIO ACQUISTI</v>
          </cell>
          <cell r="N2343" t="str">
            <v>019 96583</v>
          </cell>
          <cell r="O2343" t="str">
            <v>347 0910302</v>
          </cell>
          <cell r="R2343" t="str">
            <v>BONIFICO BANCARIO, ALLA DATA DELLA NOSTRA CONFERMA D'ORDINE</v>
          </cell>
          <cell r="X2343">
            <v>0.25</v>
          </cell>
          <cell r="Y2343">
            <v>-0.04</v>
          </cell>
          <cell r="AB2343">
            <v>0.25</v>
          </cell>
          <cell r="AC2343">
            <v>0.25</v>
          </cell>
          <cell r="AD2343">
            <v>0.25</v>
          </cell>
          <cell r="AE2343">
            <v>0.25</v>
          </cell>
          <cell r="AF2343">
            <v>0.25</v>
          </cell>
          <cell r="AG2343">
            <v>0.25</v>
          </cell>
          <cell r="AH2343">
            <v>0.25</v>
          </cell>
          <cell r="AI2343">
            <v>0.25</v>
          </cell>
          <cell r="AJ2343">
            <v>0.25</v>
          </cell>
          <cell r="AK2343">
            <v>0.25</v>
          </cell>
          <cell r="AL2343">
            <v>0.25</v>
          </cell>
          <cell r="AM2343">
            <v>0.25</v>
          </cell>
          <cell r="AN2343">
            <v>0.25</v>
          </cell>
          <cell r="AO2343">
            <v>0.25</v>
          </cell>
          <cell r="AP2343">
            <v>0.25</v>
          </cell>
          <cell r="AQ2343">
            <v>0.25</v>
          </cell>
          <cell r="AR2343">
            <v>0.25</v>
          </cell>
          <cell r="AS2343">
            <v>0.25</v>
          </cell>
          <cell r="AT2343">
            <v>-0.04</v>
          </cell>
          <cell r="AU2343">
            <v>0.92</v>
          </cell>
          <cell r="AV2343">
            <v>20</v>
          </cell>
          <cell r="AZ2343">
            <v>0.25</v>
          </cell>
          <cell r="BA2343">
            <v>0.25</v>
          </cell>
        </row>
        <row r="2344">
          <cell r="A2344" t="str">
            <v>SIRIO S.R.L.</v>
          </cell>
          <cell r="D2344" t="str">
            <v xml:space="preserve">VIA S. ANDREA, 16 L </v>
          </cell>
          <cell r="E2344">
            <v>38062</v>
          </cell>
          <cell r="F2344" t="str">
            <v>ARCO</v>
          </cell>
          <cell r="G2344" t="str">
            <v>TN</v>
          </cell>
          <cell r="H2344" t="str">
            <v>ITALIA</v>
          </cell>
          <cell r="J2344" t="str">
            <v>01753020229</v>
          </cell>
          <cell r="M2344" t="str">
            <v>UFFICIO ACQUISTI</v>
          </cell>
          <cell r="N2344" t="str">
            <v>0464 515260</v>
          </cell>
          <cell r="O2344" t="str">
            <v>Tavernini Renato 335 261450</v>
          </cell>
          <cell r="P2344" t="str">
            <v>info@sirioporte.it</v>
          </cell>
          <cell r="R2344" t="str">
            <v>BONIFICO BANCARIO, ALLA DATA DELLA NOSTRA CONFERMA D'ORDINE</v>
          </cell>
          <cell r="X2344">
            <v>0.25</v>
          </cell>
          <cell r="Y2344">
            <v>-0.04</v>
          </cell>
          <cell r="AB2344">
            <v>0.25</v>
          </cell>
          <cell r="AC2344">
            <v>0.25</v>
          </cell>
          <cell r="AD2344">
            <v>0.25</v>
          </cell>
          <cell r="AE2344">
            <v>0.25</v>
          </cell>
          <cell r="AF2344">
            <v>0.25</v>
          </cell>
          <cell r="AG2344">
            <v>0.25</v>
          </cell>
          <cell r="AH2344">
            <v>0.25</v>
          </cell>
          <cell r="AI2344">
            <v>0.25</v>
          </cell>
          <cell r="AJ2344">
            <v>0.25</v>
          </cell>
          <cell r="AK2344">
            <v>0.25</v>
          </cell>
          <cell r="AL2344">
            <v>0.25</v>
          </cell>
          <cell r="AM2344">
            <v>0.25</v>
          </cell>
          <cell r="AN2344">
            <v>0.25</v>
          </cell>
          <cell r="AO2344">
            <v>0.25</v>
          </cell>
          <cell r="AP2344">
            <v>0.25</v>
          </cell>
          <cell r="AQ2344">
            <v>0.25</v>
          </cell>
          <cell r="AR2344">
            <v>0.25</v>
          </cell>
          <cell r="AS2344">
            <v>0.25</v>
          </cell>
          <cell r="AT2344">
            <v>-0.04</v>
          </cell>
          <cell r="AU2344">
            <v>0.92</v>
          </cell>
          <cell r="AV2344">
            <v>20</v>
          </cell>
          <cell r="AZ2344">
            <v>0.25</v>
          </cell>
          <cell r="BA2344">
            <v>0.25</v>
          </cell>
        </row>
        <row r="2345">
          <cell r="A2345" t="str">
            <v xml:space="preserve">SISTEMA CASA S.R.L. </v>
          </cell>
          <cell r="D2345" t="str">
            <v>VIA LITTA, 21 A</v>
          </cell>
          <cell r="E2345">
            <v>26100</v>
          </cell>
          <cell r="F2345" t="str">
            <v>CREMONA</v>
          </cell>
          <cell r="G2345" t="str">
            <v>CR</v>
          </cell>
          <cell r="H2345" t="str">
            <v>ITALIA</v>
          </cell>
          <cell r="J2345" t="str">
            <v>01603520196</v>
          </cell>
          <cell r="M2345" t="str">
            <v>UFFICIO ACQUISTI</v>
          </cell>
          <cell r="N2345" t="str">
            <v>0372 454241</v>
          </cell>
          <cell r="R2345" t="str">
            <v>BONIFICO BANCARIO, ALLA DATA DELLA NOSTRA CONFERMA D'ORDINE</v>
          </cell>
          <cell r="X2345">
            <v>0.2</v>
          </cell>
          <cell r="Y2345">
            <v>-0.04</v>
          </cell>
          <cell r="AB2345">
            <v>0.2</v>
          </cell>
          <cell r="AC2345">
            <v>0.2</v>
          </cell>
          <cell r="AD2345">
            <v>0.2</v>
          </cell>
          <cell r="AE2345">
            <v>0.2</v>
          </cell>
          <cell r="AF2345">
            <v>0.2</v>
          </cell>
          <cell r="AG2345">
            <v>0.2</v>
          </cell>
          <cell r="AH2345">
            <v>0.2</v>
          </cell>
          <cell r="AI2345">
            <v>0.2</v>
          </cell>
          <cell r="AJ2345">
            <v>0.2</v>
          </cell>
          <cell r="AK2345">
            <v>0.2</v>
          </cell>
          <cell r="AL2345">
            <v>0.2</v>
          </cell>
          <cell r="AM2345">
            <v>0.2</v>
          </cell>
          <cell r="AN2345">
            <v>0.2</v>
          </cell>
          <cell r="AO2345">
            <v>0.2</v>
          </cell>
          <cell r="AP2345">
            <v>0.2</v>
          </cell>
          <cell r="AQ2345">
            <v>0.2</v>
          </cell>
          <cell r="AR2345">
            <v>0.2</v>
          </cell>
          <cell r="AS2345">
            <v>0.2</v>
          </cell>
          <cell r="AT2345">
            <v>-0.04</v>
          </cell>
          <cell r="AU2345">
            <v>0.92</v>
          </cell>
          <cell r="AV2345">
            <v>20</v>
          </cell>
          <cell r="AZ2345">
            <v>0.2</v>
          </cell>
          <cell r="BA2345">
            <v>0.2</v>
          </cell>
        </row>
        <row r="2346">
          <cell r="A2346" t="str">
            <v>SISTEMA INFISSI</v>
          </cell>
          <cell r="D2346" t="str">
            <v>C.DA CASA BIANCA</v>
          </cell>
          <cell r="E2346">
            <v>89844</v>
          </cell>
          <cell r="F2346" t="str">
            <v xml:space="preserve">NICOTERA </v>
          </cell>
          <cell r="G2346" t="str">
            <v>VV</v>
          </cell>
          <cell r="H2346" t="str">
            <v>ITALIA</v>
          </cell>
          <cell r="M2346" t="str">
            <v>UFFICIO ACQUISTI</v>
          </cell>
          <cell r="N2346" t="str">
            <v>0963 84199</v>
          </cell>
          <cell r="O2346" t="str">
            <v>328 9540739</v>
          </cell>
          <cell r="P2346" t="str">
            <v>info@sistemainfissi.com</v>
          </cell>
          <cell r="R2346" t="str">
            <v>BONIFICO BANCARIO, ALLA DATA DELLA NOSTRA CONFERMA D'ORDINE</v>
          </cell>
          <cell r="X2346">
            <v>0.25</v>
          </cell>
          <cell r="Y2346">
            <v>-0.04</v>
          </cell>
          <cell r="AB2346">
            <v>0.25</v>
          </cell>
          <cell r="AC2346">
            <v>0.25</v>
          </cell>
          <cell r="AD2346">
            <v>0.25</v>
          </cell>
          <cell r="AE2346">
            <v>0.25</v>
          </cell>
          <cell r="AF2346">
            <v>0.25</v>
          </cell>
          <cell r="AG2346">
            <v>0.25</v>
          </cell>
          <cell r="AH2346">
            <v>0.25</v>
          </cell>
          <cell r="AI2346">
            <v>0.25</v>
          </cell>
          <cell r="AJ2346">
            <v>0.25</v>
          </cell>
          <cell r="AK2346">
            <v>0.25</v>
          </cell>
          <cell r="AL2346">
            <v>0.25</v>
          </cell>
          <cell r="AM2346">
            <v>0.25</v>
          </cell>
          <cell r="AN2346">
            <v>0.25</v>
          </cell>
          <cell r="AO2346">
            <v>0.25</v>
          </cell>
          <cell r="AP2346">
            <v>0.25</v>
          </cell>
          <cell r="AQ2346">
            <v>0.25</v>
          </cell>
          <cell r="AR2346">
            <v>0.25</v>
          </cell>
          <cell r="AS2346">
            <v>0.25</v>
          </cell>
          <cell r="AT2346">
            <v>-0.04</v>
          </cell>
          <cell r="AU2346">
            <v>0.92</v>
          </cell>
          <cell r="AV2346">
            <v>20</v>
          </cell>
          <cell r="AW2346" t="str">
            <v>PIETRO OLIVADOTI</v>
          </cell>
          <cell r="AX2346">
            <v>0.95</v>
          </cell>
          <cell r="AZ2346">
            <v>0.25</v>
          </cell>
          <cell r="BA2346">
            <v>0.25</v>
          </cell>
        </row>
        <row r="2347">
          <cell r="A2347" t="str">
            <v>SISTEMI 2.0 DI POLASTRI STEFANO</v>
          </cell>
          <cell r="D2347" t="str">
            <v>VIA ARGINELLO, 7</v>
          </cell>
          <cell r="E2347">
            <v>44011</v>
          </cell>
          <cell r="F2347" t="str">
            <v>ARGENTA</v>
          </cell>
          <cell r="G2347" t="str">
            <v>FE</v>
          </cell>
          <cell r="H2347" t="str">
            <v>ITALIA</v>
          </cell>
          <cell r="I2347" t="str">
            <v>PLSSFN75A28D548X</v>
          </cell>
          <cell r="J2347" t="str">
            <v>02066230380</v>
          </cell>
          <cell r="M2347" t="str">
            <v>UFFICIO ACQUISTI</v>
          </cell>
          <cell r="O2347" t="str">
            <v>377 4785885 POLASTRI STEFANO</v>
          </cell>
          <cell r="P2347" t="str">
            <v>pol.stefanosp@gmail.com</v>
          </cell>
          <cell r="R2347" t="str">
            <v>BONIFICO BANCARIO, ALLA DATA DELLA NOSTRA CONFERMA D'ORDINE</v>
          </cell>
          <cell r="X2347">
            <v>0.25</v>
          </cell>
          <cell r="Y2347">
            <v>-0.04</v>
          </cell>
          <cell r="AB2347">
            <v>0.25</v>
          </cell>
          <cell r="AC2347">
            <v>0.25</v>
          </cell>
          <cell r="AD2347">
            <v>0.25</v>
          </cell>
          <cell r="AE2347">
            <v>0.25</v>
          </cell>
          <cell r="AF2347">
            <v>0.25</v>
          </cell>
          <cell r="AG2347">
            <v>0.25</v>
          </cell>
          <cell r="AH2347">
            <v>0.25</v>
          </cell>
          <cell r="AI2347">
            <v>0.25</v>
          </cell>
          <cell r="AJ2347">
            <v>0.25</v>
          </cell>
          <cell r="AK2347">
            <v>0.25</v>
          </cell>
          <cell r="AL2347">
            <v>0.25</v>
          </cell>
          <cell r="AM2347">
            <v>0.25</v>
          </cell>
          <cell r="AN2347">
            <v>0.25</v>
          </cell>
          <cell r="AO2347">
            <v>0.25</v>
          </cell>
          <cell r="AP2347">
            <v>0.25</v>
          </cell>
          <cell r="AQ2347">
            <v>0.25</v>
          </cell>
          <cell r="AR2347">
            <v>0.25</v>
          </cell>
          <cell r="AS2347">
            <v>0.25</v>
          </cell>
          <cell r="AT2347">
            <v>-0.04</v>
          </cell>
          <cell r="AU2347">
            <v>0.92</v>
          </cell>
          <cell r="AV2347">
            <v>20</v>
          </cell>
          <cell r="AZ2347">
            <v>0.25</v>
          </cell>
          <cell r="BA2347">
            <v>0.25</v>
          </cell>
        </row>
        <row r="2348">
          <cell r="A2348" t="str">
            <v>SKYBRUDSKOMPAGNIET APS</v>
          </cell>
          <cell r="B2348" t="str">
            <v>DEALER AGGERES IN DENMARK  - promo LANCIO FINO A GENN 2022, SCONTO 20% SU TUTTI MODELLI, 25% MODERNA, 35% MODI-MODU</v>
          </cell>
          <cell r="D2348" t="str">
            <v>D. LAURITZENS VEJ 15</v>
          </cell>
          <cell r="E2348" t="str">
            <v xml:space="preserve">6700 </v>
          </cell>
          <cell r="F2348" t="str">
            <v>ESBJERG</v>
          </cell>
          <cell r="H2348" t="str">
            <v>DANIMARCA</v>
          </cell>
          <cell r="J2348" t="str">
            <v>DK36979232</v>
          </cell>
          <cell r="K2348" t="str">
            <v>XXXXXXX</v>
          </cell>
          <cell r="M2348" t="str">
            <v>UFFICIO ACQUISTI</v>
          </cell>
          <cell r="N2348" t="str">
            <v xml:space="preserve">+45 72 10 90 50 </v>
          </cell>
          <cell r="O2348" t="str">
            <v>+45 41 18 81 50</v>
          </cell>
          <cell r="P2348" t="str">
            <v>rwj@skybrudskompagniet.dk</v>
          </cell>
          <cell r="R2348" t="str">
            <v>BANK TRANSFER, ON THE DATE OF OUR ORDER CONFIRMATION</v>
          </cell>
          <cell r="X2348">
            <v>0.2</v>
          </cell>
          <cell r="AB2348">
            <v>0.2</v>
          </cell>
          <cell r="AC2348">
            <v>0.2</v>
          </cell>
          <cell r="AD2348">
            <v>0.2</v>
          </cell>
          <cell r="AE2348">
            <v>0.2</v>
          </cell>
          <cell r="AF2348">
            <v>0.2</v>
          </cell>
          <cell r="AG2348">
            <v>0.2</v>
          </cell>
          <cell r="AH2348">
            <v>0.2</v>
          </cell>
          <cell r="AI2348">
            <v>0.2</v>
          </cell>
          <cell r="AJ2348">
            <v>0.2</v>
          </cell>
          <cell r="AK2348">
            <v>0.2</v>
          </cell>
          <cell r="AL2348">
            <v>0.2</v>
          </cell>
          <cell r="AM2348">
            <v>0.2</v>
          </cell>
          <cell r="AN2348">
            <v>0.2</v>
          </cell>
          <cell r="AO2348">
            <v>0.2</v>
          </cell>
          <cell r="AP2348">
            <v>0.2</v>
          </cell>
          <cell r="AQ2348">
            <v>0.2</v>
          </cell>
          <cell r="AR2348">
            <v>0.2</v>
          </cell>
          <cell r="AS2348">
            <v>0.2</v>
          </cell>
          <cell r="AU2348">
            <v>0.75</v>
          </cell>
          <cell r="AV2348">
            <v>20</v>
          </cell>
          <cell r="AZ2348">
            <v>0.2</v>
          </cell>
          <cell r="BA2348">
            <v>0.2</v>
          </cell>
        </row>
        <row r="2349">
          <cell r="A2349" t="str">
            <v>SL GENERALI DONATO RONDINELLA</v>
          </cell>
          <cell r="D2349" t="str">
            <v>VIA BORRETTE 6</v>
          </cell>
          <cell r="F2349" t="str">
            <v xml:space="preserve">MERGOZZO </v>
          </cell>
          <cell r="G2349" t="str">
            <v>VT</v>
          </cell>
          <cell r="H2349" t="str">
            <v>ITALIA</v>
          </cell>
          <cell r="M2349" t="str">
            <v>UFFICIO ACQUISTI</v>
          </cell>
          <cell r="O2349" t="str">
            <v>3482441606</v>
          </cell>
          <cell r="P2349" t="str">
            <v>sl.generali@hotmail.com</v>
          </cell>
          <cell r="R2349" t="str">
            <v>BONIFICO BANCARIO, ALLA DATA DELLA NOSTRA CONFERMA D'ORDINE</v>
          </cell>
          <cell r="X2349">
            <v>0.25</v>
          </cell>
          <cell r="Y2349">
            <v>-0.04</v>
          </cell>
          <cell r="AB2349">
            <v>0.25</v>
          </cell>
          <cell r="AC2349">
            <v>0.25</v>
          </cell>
          <cell r="AD2349">
            <v>0.25</v>
          </cell>
          <cell r="AE2349">
            <v>0.25</v>
          </cell>
          <cell r="AF2349">
            <v>0.25</v>
          </cell>
          <cell r="AG2349">
            <v>0.25</v>
          </cell>
          <cell r="AH2349">
            <v>0.25</v>
          </cell>
          <cell r="AI2349">
            <v>0.25</v>
          </cell>
          <cell r="AJ2349">
            <v>0.25</v>
          </cell>
          <cell r="AK2349">
            <v>0.25</v>
          </cell>
          <cell r="AL2349">
            <v>0.25</v>
          </cell>
          <cell r="AM2349">
            <v>0.25</v>
          </cell>
          <cell r="AN2349">
            <v>0.25</v>
          </cell>
          <cell r="AO2349">
            <v>0.25</v>
          </cell>
          <cell r="AP2349">
            <v>0.25</v>
          </cell>
          <cell r="AQ2349">
            <v>0.25</v>
          </cell>
          <cell r="AR2349">
            <v>0.25</v>
          </cell>
          <cell r="AS2349">
            <v>0.25</v>
          </cell>
          <cell r="AT2349">
            <v>-0.04</v>
          </cell>
          <cell r="AU2349">
            <v>0.92</v>
          </cell>
          <cell r="AV2349">
            <v>20</v>
          </cell>
          <cell r="AZ2349">
            <v>0.25</v>
          </cell>
          <cell r="BA2349">
            <v>0.25</v>
          </cell>
        </row>
        <row r="2350">
          <cell r="A2350" t="str">
            <v xml:space="preserve">SM PORTE </v>
          </cell>
          <cell r="D2350" t="str">
            <v>VIA BORGORATTI, 2G 2H</v>
          </cell>
          <cell r="E2350">
            <v>16132</v>
          </cell>
          <cell r="F2350" t="str">
            <v>GENOVA</v>
          </cell>
          <cell r="G2350" t="str">
            <v>GE</v>
          </cell>
          <cell r="H2350" t="str">
            <v>ITALIA</v>
          </cell>
          <cell r="I2350" t="str">
            <v xml:space="preserve"> </v>
          </cell>
          <cell r="M2350" t="str">
            <v>UFFICIO ACQUISTI</v>
          </cell>
          <cell r="N2350" t="str">
            <v>010 8681564</v>
          </cell>
          <cell r="O2350" t="str">
            <v>F. Sassi 333 7413841</v>
          </cell>
          <cell r="P2350" t="str">
            <v>preventivi@smporte.it</v>
          </cell>
          <cell r="R2350" t="str">
            <v>BONIFICO BANCARIO, ALLA DATA DELLA NOSTRA CONFERMA D'ORDINE</v>
          </cell>
          <cell r="X2350">
            <v>0.25</v>
          </cell>
          <cell r="Y2350">
            <v>-0.04</v>
          </cell>
          <cell r="AB2350">
            <v>0.25</v>
          </cell>
          <cell r="AC2350">
            <v>0.25</v>
          </cell>
          <cell r="AD2350">
            <v>0.25</v>
          </cell>
          <cell r="AE2350">
            <v>0.25</v>
          </cell>
          <cell r="AF2350">
            <v>0.25</v>
          </cell>
          <cell r="AG2350">
            <v>0.25</v>
          </cell>
          <cell r="AH2350">
            <v>0.25</v>
          </cell>
          <cell r="AI2350">
            <v>0.25</v>
          </cell>
          <cell r="AJ2350">
            <v>0.25</v>
          </cell>
          <cell r="AK2350">
            <v>0.25</v>
          </cell>
          <cell r="AL2350">
            <v>0.25</v>
          </cell>
          <cell r="AM2350">
            <v>0.25</v>
          </cell>
          <cell r="AN2350">
            <v>0.25</v>
          </cell>
          <cell r="AO2350">
            <v>0.25</v>
          </cell>
          <cell r="AP2350">
            <v>0.25</v>
          </cell>
          <cell r="AQ2350">
            <v>0.25</v>
          </cell>
          <cell r="AR2350">
            <v>0.25</v>
          </cell>
          <cell r="AS2350">
            <v>0.25</v>
          </cell>
          <cell r="AT2350">
            <v>-0.04</v>
          </cell>
          <cell r="AU2350">
            <v>0.92</v>
          </cell>
          <cell r="AV2350">
            <v>20</v>
          </cell>
          <cell r="AZ2350">
            <v>0.25</v>
          </cell>
          <cell r="BA2350">
            <v>0.25</v>
          </cell>
        </row>
        <row r="2351">
          <cell r="A2351" t="str">
            <v>SM SRL</v>
          </cell>
          <cell r="D2351" t="str">
            <v>VIA PIEMONTE 19</v>
          </cell>
          <cell r="E2351" t="str">
            <v>27028</v>
          </cell>
          <cell r="F2351" t="str">
            <v>SAN MARTINO SICCOMARIO</v>
          </cell>
          <cell r="G2351" t="str">
            <v>PV</v>
          </cell>
          <cell r="H2351" t="str">
            <v>ITALIA</v>
          </cell>
          <cell r="J2351" t="str">
            <v>02280170180</v>
          </cell>
          <cell r="M2351" t="str">
            <v>UFFICIO ACQUISTI</v>
          </cell>
          <cell r="N2351" t="str">
            <v>0382 559108</v>
          </cell>
          <cell r="R2351" t="str">
            <v>BONIFICO BANCARIO, ALLA DATA DELLA NOSTRA CONFERMA D'ORDINE</v>
          </cell>
          <cell r="X2351">
            <v>0.25</v>
          </cell>
          <cell r="Y2351">
            <v>-0.04</v>
          </cell>
          <cell r="AB2351">
            <v>0.25</v>
          </cell>
          <cell r="AC2351">
            <v>0.25</v>
          </cell>
          <cell r="AD2351">
            <v>0.25</v>
          </cell>
          <cell r="AE2351">
            <v>0.25</v>
          </cell>
          <cell r="AF2351">
            <v>0.25</v>
          </cell>
          <cell r="AG2351">
            <v>0.25</v>
          </cell>
          <cell r="AH2351">
            <v>0.25</v>
          </cell>
          <cell r="AI2351">
            <v>0.25</v>
          </cell>
          <cell r="AJ2351">
            <v>0.25</v>
          </cell>
          <cell r="AK2351">
            <v>0.25</v>
          </cell>
          <cell r="AL2351">
            <v>0.25</v>
          </cell>
          <cell r="AM2351">
            <v>0.25</v>
          </cell>
          <cell r="AN2351">
            <v>0.25</v>
          </cell>
          <cell r="AO2351">
            <v>0.25</v>
          </cell>
          <cell r="AP2351">
            <v>0.25</v>
          </cell>
          <cell r="AQ2351">
            <v>0.25</v>
          </cell>
          <cell r="AR2351">
            <v>0.25</v>
          </cell>
          <cell r="AS2351">
            <v>0.25</v>
          </cell>
          <cell r="AT2351">
            <v>-0.04</v>
          </cell>
          <cell r="AU2351">
            <v>0.92</v>
          </cell>
          <cell r="AV2351">
            <v>20</v>
          </cell>
          <cell r="AZ2351">
            <v>0.25</v>
          </cell>
          <cell r="BA2351">
            <v>0.25</v>
          </cell>
        </row>
        <row r="2352">
          <cell r="A2352" t="str">
            <v>SOBO SNC</v>
          </cell>
          <cell r="B2352" t="str">
            <v>BUONO, NE HA FATTE UNA DECINA, LA PROSSIMA E' NOSTRA</v>
          </cell>
          <cell r="D2352" t="str">
            <v>VIA MONTE NEVOSO, 14</v>
          </cell>
          <cell r="E2352" t="str">
            <v>24044</v>
          </cell>
          <cell r="F2352" t="str">
            <v>DALMINE</v>
          </cell>
          <cell r="G2352" t="str">
            <v>BG</v>
          </cell>
          <cell r="H2352" t="str">
            <v>ITALIA</v>
          </cell>
          <cell r="M2352" t="str">
            <v>UFFICIO ACQUISTI</v>
          </cell>
          <cell r="N2352" t="str">
            <v>035 563375</v>
          </cell>
          <cell r="R2352" t="str">
            <v>BONIFICO BANCARIO, ALLA DATA DELLA NOSTRA CONFERMA D'ORDINE</v>
          </cell>
          <cell r="X2352">
            <v>0.2</v>
          </cell>
          <cell r="Y2352">
            <v>-0.04</v>
          </cell>
          <cell r="AB2352">
            <v>0.2</v>
          </cell>
          <cell r="AC2352">
            <v>0.2</v>
          </cell>
          <cell r="AD2352">
            <v>0.2</v>
          </cell>
          <cell r="AE2352">
            <v>0.2</v>
          </cell>
          <cell r="AF2352">
            <v>0.2</v>
          </cell>
          <cell r="AG2352">
            <v>0.2</v>
          </cell>
          <cell r="AH2352">
            <v>0.2</v>
          </cell>
          <cell r="AI2352">
            <v>0.2</v>
          </cell>
          <cell r="AJ2352">
            <v>0.2</v>
          </cell>
          <cell r="AK2352">
            <v>0.2</v>
          </cell>
          <cell r="AL2352">
            <v>0.2</v>
          </cell>
          <cell r="AM2352">
            <v>0.2</v>
          </cell>
          <cell r="AN2352">
            <v>0.2</v>
          </cell>
          <cell r="AO2352">
            <v>0.2</v>
          </cell>
          <cell r="AP2352">
            <v>0.2</v>
          </cell>
          <cell r="AQ2352">
            <v>0.2</v>
          </cell>
          <cell r="AR2352">
            <v>0.2</v>
          </cell>
          <cell r="AS2352">
            <v>0.2</v>
          </cell>
          <cell r="AT2352">
            <v>-0.04</v>
          </cell>
          <cell r="AU2352">
            <v>0.92</v>
          </cell>
          <cell r="AV2352">
            <v>20</v>
          </cell>
          <cell r="AZ2352">
            <v>0.2</v>
          </cell>
          <cell r="BA2352">
            <v>0.2</v>
          </cell>
        </row>
        <row r="2353">
          <cell r="A2353" t="str">
            <v>SOC.DE.SCA. SRL</v>
          </cell>
          <cell r="B2353" t="str">
            <v>MATERIALI  E CAMINETTI</v>
          </cell>
          <cell r="D2353" t="str">
            <v xml:space="preserve">VIA PIEMONTE, 18 </v>
          </cell>
          <cell r="E2353">
            <v>17035</v>
          </cell>
          <cell r="F2353" t="str">
            <v>CISANO SUL NEVA</v>
          </cell>
          <cell r="G2353" t="str">
            <v>SV</v>
          </cell>
          <cell r="H2353" t="str">
            <v>ITALIA</v>
          </cell>
          <cell r="M2353" t="str">
            <v>UFFICIO ACQUISTI</v>
          </cell>
          <cell r="N2353" t="str">
            <v>0182 595057</v>
          </cell>
          <cell r="R2353" t="str">
            <v>BONIFICO BANCARIO, ALLA DATA DELLA NOSTRA CONFERMA D'ORDINE</v>
          </cell>
          <cell r="X2353">
            <v>0.25</v>
          </cell>
          <cell r="Y2353">
            <v>-0.04</v>
          </cell>
          <cell r="AB2353">
            <v>0.25</v>
          </cell>
          <cell r="AC2353">
            <v>0.25</v>
          </cell>
          <cell r="AD2353">
            <v>0.25</v>
          </cell>
          <cell r="AE2353">
            <v>0.25</v>
          </cell>
          <cell r="AF2353">
            <v>0.25</v>
          </cell>
          <cell r="AG2353">
            <v>0.25</v>
          </cell>
          <cell r="AH2353">
            <v>0.25</v>
          </cell>
          <cell r="AI2353">
            <v>0.25</v>
          </cell>
          <cell r="AJ2353">
            <v>0.25</v>
          </cell>
          <cell r="AK2353">
            <v>0.25</v>
          </cell>
          <cell r="AL2353">
            <v>0.25</v>
          </cell>
          <cell r="AM2353">
            <v>0.25</v>
          </cell>
          <cell r="AN2353">
            <v>0.25</v>
          </cell>
          <cell r="AO2353">
            <v>0.25</v>
          </cell>
          <cell r="AP2353">
            <v>0.25</v>
          </cell>
          <cell r="AQ2353">
            <v>0.25</v>
          </cell>
          <cell r="AR2353">
            <v>0.25</v>
          </cell>
          <cell r="AS2353">
            <v>0.25</v>
          </cell>
          <cell r="AT2353">
            <v>-0.04</v>
          </cell>
          <cell r="AU2353">
            <v>0.92</v>
          </cell>
          <cell r="AV2353">
            <v>20</v>
          </cell>
          <cell r="AZ2353">
            <v>0.25</v>
          </cell>
          <cell r="BA2353">
            <v>0.25</v>
          </cell>
        </row>
        <row r="2354">
          <cell r="A2354" t="str">
            <v>SOC.GHISI M.</v>
          </cell>
          <cell r="D2354" t="str">
            <v>VIA VERRARA, 68</v>
          </cell>
          <cell r="E2354">
            <v>46035</v>
          </cell>
          <cell r="F2354" t="str">
            <v>OSTIGLIA</v>
          </cell>
          <cell r="G2354" t="str">
            <v>MN</v>
          </cell>
          <cell r="H2354" t="str">
            <v>ITALIA</v>
          </cell>
          <cell r="J2354">
            <v>1691720468</v>
          </cell>
          <cell r="M2354" t="str">
            <v>UFFICIO ACQUISTI</v>
          </cell>
          <cell r="R2354" t="str">
            <v>BONIFICO BANCARIO, ALLA DATA DELLA NOSTRA CONFERMA D'ORDINE</v>
          </cell>
          <cell r="X2354">
            <v>0.25</v>
          </cell>
          <cell r="Y2354">
            <v>-0.04</v>
          </cell>
          <cell r="AB2354">
            <v>0.25</v>
          </cell>
          <cell r="AC2354">
            <v>0.25</v>
          </cell>
          <cell r="AD2354">
            <v>0.25</v>
          </cell>
          <cell r="AE2354">
            <v>0.25</v>
          </cell>
          <cell r="AF2354">
            <v>0.25</v>
          </cell>
          <cell r="AG2354">
            <v>0.25</v>
          </cell>
          <cell r="AH2354">
            <v>0.25</v>
          </cell>
          <cell r="AI2354">
            <v>0.25</v>
          </cell>
          <cell r="AJ2354">
            <v>0.25</v>
          </cell>
          <cell r="AK2354">
            <v>0.25</v>
          </cell>
          <cell r="AL2354">
            <v>0.25</v>
          </cell>
          <cell r="AM2354">
            <v>0.25</v>
          </cell>
          <cell r="AN2354">
            <v>0.25</v>
          </cell>
          <cell r="AO2354">
            <v>0.25</v>
          </cell>
          <cell r="AP2354">
            <v>0.25</v>
          </cell>
          <cell r="AQ2354">
            <v>0.25</v>
          </cell>
          <cell r="AR2354">
            <v>0.25</v>
          </cell>
          <cell r="AS2354">
            <v>0.25</v>
          </cell>
          <cell r="AT2354">
            <v>-0.04</v>
          </cell>
          <cell r="AU2354">
            <v>0.92</v>
          </cell>
          <cell r="AV2354">
            <v>20</v>
          </cell>
          <cell r="AZ2354">
            <v>0.25</v>
          </cell>
          <cell r="BA2354">
            <v>0.25</v>
          </cell>
        </row>
        <row r="2355">
          <cell r="A2355" t="str">
            <v>SOGNANDO PORTE DI MONOPOLI PASQUALE OTELLO E C SAS</v>
          </cell>
          <cell r="D2355" t="str">
            <v>VIA STATALE 6/1</v>
          </cell>
          <cell r="E2355" t="str">
            <v>44042</v>
          </cell>
          <cell r="F2355" t="str">
            <v>CENTO</v>
          </cell>
          <cell r="G2355" t="str">
            <v>FE</v>
          </cell>
          <cell r="H2355" t="str">
            <v>ITALIA</v>
          </cell>
          <cell r="J2355" t="str">
            <v>01525560387</v>
          </cell>
          <cell r="M2355" t="str">
            <v>UFFICIO ACQUISTI</v>
          </cell>
          <cell r="N2355" t="str">
            <v>0532 845097</v>
          </cell>
          <cell r="P2355" t="str">
            <v>info@sognandoportesrl.it</v>
          </cell>
          <cell r="R2355" t="str">
            <v>BONIFICO BANCARIO, ALLA DATA DELLA NOSTRA CONFERMA D'ORDINE</v>
          </cell>
          <cell r="X2355">
            <v>0.25</v>
          </cell>
          <cell r="Y2355">
            <v>-0.04</v>
          </cell>
          <cell r="AB2355">
            <v>0.25</v>
          </cell>
          <cell r="AC2355">
            <v>0.25</v>
          </cell>
          <cell r="AD2355">
            <v>0.25</v>
          </cell>
          <cell r="AE2355">
            <v>0.25</v>
          </cell>
          <cell r="AF2355">
            <v>0.25</v>
          </cell>
          <cell r="AG2355">
            <v>0.25</v>
          </cell>
          <cell r="AH2355">
            <v>0.25</v>
          </cell>
          <cell r="AI2355">
            <v>0.25</v>
          </cell>
          <cell r="AJ2355">
            <v>0.25</v>
          </cell>
          <cell r="AK2355">
            <v>0.25</v>
          </cell>
          <cell r="AL2355">
            <v>0.25</v>
          </cell>
          <cell r="AM2355">
            <v>0.25</v>
          </cell>
          <cell r="AN2355">
            <v>0.25</v>
          </cell>
          <cell r="AO2355">
            <v>0.25</v>
          </cell>
          <cell r="AP2355">
            <v>0.25</v>
          </cell>
          <cell r="AQ2355">
            <v>0.25</v>
          </cell>
          <cell r="AR2355">
            <v>0.25</v>
          </cell>
          <cell r="AS2355">
            <v>0.25</v>
          </cell>
          <cell r="AT2355">
            <v>-0.04</v>
          </cell>
          <cell r="AU2355">
            <v>0.92</v>
          </cell>
          <cell r="AV2355">
            <v>20</v>
          </cell>
          <cell r="AZ2355">
            <v>0.25</v>
          </cell>
          <cell r="BA2355">
            <v>0.25</v>
          </cell>
        </row>
        <row r="2356">
          <cell r="A2356" t="str">
            <v xml:space="preserve">SOL SYSTEM </v>
          </cell>
          <cell r="B2356" t="str">
            <v>SILVIO BALDO CAPO</v>
          </cell>
          <cell r="D2356" t="str">
            <v>VIA ZONA INDUSTRIALE, 32M</v>
          </cell>
          <cell r="E2356" t="str">
            <v>45010</v>
          </cell>
          <cell r="F2356" t="str">
            <v>VILLADOSE</v>
          </cell>
          <cell r="G2356" t="str">
            <v>RO</v>
          </cell>
          <cell r="H2356" t="str">
            <v>ITALIA</v>
          </cell>
          <cell r="I2356" t="str">
            <v>01424810297</v>
          </cell>
          <cell r="J2356" t="str">
            <v>01424810297</v>
          </cell>
          <cell r="M2356" t="str">
            <v>UFFICIO ACQUISTI</v>
          </cell>
          <cell r="N2356" t="str">
            <v>0425 405033</v>
          </cell>
          <cell r="O2356" t="str">
            <v>335 7593882</v>
          </cell>
          <cell r="P2356" t="str">
            <v>info@solsystem.it</v>
          </cell>
          <cell r="R2356" t="str">
            <v>BONIFICO BANCARIO, ALLA DATA DELLA NOSTRA CONFERMA D'ORDINE</v>
          </cell>
          <cell r="X2356">
            <v>0.25</v>
          </cell>
          <cell r="Y2356">
            <v>-0.04</v>
          </cell>
          <cell r="AB2356">
            <v>0.25</v>
          </cell>
          <cell r="AC2356">
            <v>0.25</v>
          </cell>
          <cell r="AD2356">
            <v>0.25</v>
          </cell>
          <cell r="AE2356">
            <v>0.25</v>
          </cell>
          <cell r="AF2356">
            <v>0.25</v>
          </cell>
          <cell r="AG2356">
            <v>0.25</v>
          </cell>
          <cell r="AH2356">
            <v>0.25</v>
          </cell>
          <cell r="AI2356">
            <v>0.25</v>
          </cell>
          <cell r="AJ2356">
            <v>0.25</v>
          </cell>
          <cell r="AK2356">
            <v>0.25</v>
          </cell>
          <cell r="AL2356">
            <v>0.25</v>
          </cell>
          <cell r="AM2356">
            <v>0.25</v>
          </cell>
          <cell r="AN2356">
            <v>0.25</v>
          </cell>
          <cell r="AO2356">
            <v>0.25</v>
          </cell>
          <cell r="AP2356">
            <v>0.25</v>
          </cell>
          <cell r="AQ2356">
            <v>0.25</v>
          </cell>
          <cell r="AR2356">
            <v>0.25</v>
          </cell>
          <cell r="AS2356">
            <v>0.25</v>
          </cell>
          <cell r="AT2356">
            <v>-0.04</v>
          </cell>
          <cell r="AU2356">
            <v>0.92</v>
          </cell>
          <cell r="AV2356">
            <v>20</v>
          </cell>
          <cell r="AZ2356">
            <v>0.25</v>
          </cell>
          <cell r="BA2356">
            <v>0.25</v>
          </cell>
        </row>
        <row r="2357">
          <cell r="A2357" t="str">
            <v>SOLARA GENOVA</v>
          </cell>
          <cell r="D2357" t="str">
            <v>VIA FELICE CAVALLOTTI, 35 R</v>
          </cell>
          <cell r="E2357" t="str">
            <v>16146</v>
          </cell>
          <cell r="F2357" t="str">
            <v>GENOVA</v>
          </cell>
          <cell r="G2357" t="str">
            <v>GE</v>
          </cell>
          <cell r="H2357" t="str">
            <v>ITALIA</v>
          </cell>
          <cell r="J2357" t="str">
            <v>02281840997</v>
          </cell>
          <cell r="M2357" t="str">
            <v>UFFICIO ACQUISTI</v>
          </cell>
          <cell r="N2357" t="str">
            <v>010 3760137</v>
          </cell>
          <cell r="O2357" t="str">
            <v>348 6939096</v>
          </cell>
          <cell r="P2357" t="str">
            <v>solaragenova@libero.it</v>
          </cell>
          <cell r="R2357" t="str">
            <v>BONIFICO BANCARIO, ALLA DATA DELLA NOSTRA CONFERMA D'ORDINE</v>
          </cell>
          <cell r="X2357">
            <v>0.25</v>
          </cell>
          <cell r="Y2357">
            <v>-0.04</v>
          </cell>
          <cell r="AB2357">
            <v>0.25</v>
          </cell>
          <cell r="AC2357">
            <v>0.25</v>
          </cell>
          <cell r="AD2357">
            <v>0.25</v>
          </cell>
          <cell r="AE2357">
            <v>0.25</v>
          </cell>
          <cell r="AF2357">
            <v>0.25</v>
          </cell>
          <cell r="AG2357">
            <v>0.25</v>
          </cell>
          <cell r="AH2357">
            <v>0.25</v>
          </cell>
          <cell r="AI2357">
            <v>0.25</v>
          </cell>
          <cell r="AJ2357">
            <v>0.25</v>
          </cell>
          <cell r="AK2357">
            <v>0.25</v>
          </cell>
          <cell r="AL2357">
            <v>0.25</v>
          </cell>
          <cell r="AM2357">
            <v>0.25</v>
          </cell>
          <cell r="AN2357">
            <v>0.25</v>
          </cell>
          <cell r="AO2357">
            <v>0.25</v>
          </cell>
          <cell r="AP2357">
            <v>0.25</v>
          </cell>
          <cell r="AQ2357">
            <v>0.25</v>
          </cell>
          <cell r="AR2357">
            <v>0.25</v>
          </cell>
          <cell r="AS2357">
            <v>0.25</v>
          </cell>
          <cell r="AT2357">
            <v>-0.04</v>
          </cell>
          <cell r="AU2357">
            <v>0.92</v>
          </cell>
          <cell r="AV2357">
            <v>20</v>
          </cell>
          <cell r="AZ2357">
            <v>0.25</v>
          </cell>
          <cell r="BA2357">
            <v>0.25</v>
          </cell>
        </row>
        <row r="2358">
          <cell r="A2358" t="str">
            <v>SOLLA OMAR</v>
          </cell>
          <cell r="D2358" t="str">
            <v>VIA F. BAGHINI 17</v>
          </cell>
          <cell r="E2358" t="str">
            <v>58015</v>
          </cell>
          <cell r="F2358" t="str">
            <v>ORBETELLO</v>
          </cell>
          <cell r="G2358" t="str">
            <v>GR</v>
          </cell>
          <cell r="H2358" t="str">
            <v>ITALIA</v>
          </cell>
          <cell r="J2358" t="str">
            <v>01645750538</v>
          </cell>
          <cell r="M2358" t="str">
            <v>UFFICIO ACQUISTI</v>
          </cell>
          <cell r="N2358" t="str">
            <v>0564 867156</v>
          </cell>
          <cell r="R2358" t="str">
            <v>BONIFICO BANCARIO, ALLA DATA DELLA NOSTRA CONFERMA D'ORDINE</v>
          </cell>
          <cell r="X2358">
            <v>0.25</v>
          </cell>
          <cell r="Y2358">
            <v>-0.04</v>
          </cell>
          <cell r="AB2358">
            <v>0.25</v>
          </cell>
          <cell r="AC2358">
            <v>0.25</v>
          </cell>
          <cell r="AD2358">
            <v>0.25</v>
          </cell>
          <cell r="AE2358">
            <v>0.25</v>
          </cell>
          <cell r="AF2358">
            <v>0.25</v>
          </cell>
          <cell r="AG2358">
            <v>0.25</v>
          </cell>
          <cell r="AH2358">
            <v>0.25</v>
          </cell>
          <cell r="AI2358">
            <v>0.25</v>
          </cell>
          <cell r="AJ2358">
            <v>0.25</v>
          </cell>
          <cell r="AK2358">
            <v>0.25</v>
          </cell>
          <cell r="AL2358">
            <v>0.25</v>
          </cell>
          <cell r="AM2358">
            <v>0.25</v>
          </cell>
          <cell r="AN2358">
            <v>0.25</v>
          </cell>
          <cell r="AO2358">
            <v>0.25</v>
          </cell>
          <cell r="AP2358">
            <v>0.25</v>
          </cell>
          <cell r="AQ2358">
            <v>0.25</v>
          </cell>
          <cell r="AR2358">
            <v>0.25</v>
          </cell>
          <cell r="AS2358">
            <v>0.25</v>
          </cell>
          <cell r="AT2358">
            <v>-0.04</v>
          </cell>
          <cell r="AU2358">
            <v>0.92</v>
          </cell>
          <cell r="AV2358">
            <v>20</v>
          </cell>
          <cell r="AZ2358">
            <v>0.25</v>
          </cell>
          <cell r="BA2358">
            <v>0.25</v>
          </cell>
        </row>
        <row r="2359">
          <cell r="A2359" t="str">
            <v>SOLUZIONE FERRAMENTA</v>
          </cell>
          <cell r="B2359" t="str">
            <v>30/03/23 MI HA ATTACCATO IN FACCIA</v>
          </cell>
          <cell r="D2359" t="str">
            <v>VIA COL DI LANA, 47</v>
          </cell>
          <cell r="E2359" t="str">
            <v>63074</v>
          </cell>
          <cell r="F2359" t="str">
            <v>SAN BENEDETTO DEL TRONTO</v>
          </cell>
          <cell r="G2359" t="str">
            <v>AP</v>
          </cell>
          <cell r="H2359" t="str">
            <v>ITALIA</v>
          </cell>
          <cell r="J2359" t="str">
            <v>02201110448</v>
          </cell>
          <cell r="M2359" t="str">
            <v>UFFICIO ACQUISTI</v>
          </cell>
          <cell r="N2359" t="str">
            <v>0735 780850</v>
          </cell>
          <cell r="O2359" t="str">
            <v>348 1087539</v>
          </cell>
          <cell r="P2359" t="str">
            <v>gaetanovagnozzi@libero.it</v>
          </cell>
          <cell r="R2359" t="str">
            <v>BONIFICO BANCARIO, ALLA DATA DELLA NOSTRA CONFERMA D'ORDINE</v>
          </cell>
          <cell r="X2359">
            <v>0.2</v>
          </cell>
          <cell r="Y2359">
            <v>-0.04</v>
          </cell>
          <cell r="AB2359">
            <v>0.2</v>
          </cell>
          <cell r="AC2359">
            <v>0.2</v>
          </cell>
          <cell r="AD2359">
            <v>0.2</v>
          </cell>
          <cell r="AE2359">
            <v>0.2</v>
          </cell>
          <cell r="AF2359">
            <v>0.2</v>
          </cell>
          <cell r="AG2359">
            <v>0.2</v>
          </cell>
          <cell r="AH2359">
            <v>0.2</v>
          </cell>
          <cell r="AI2359">
            <v>0.2</v>
          </cell>
          <cell r="AJ2359">
            <v>0.2</v>
          </cell>
          <cell r="AK2359">
            <v>0.2</v>
          </cell>
          <cell r="AL2359">
            <v>0.2</v>
          </cell>
          <cell r="AM2359">
            <v>0.2</v>
          </cell>
          <cell r="AN2359">
            <v>0.2</v>
          </cell>
          <cell r="AO2359">
            <v>0.2</v>
          </cell>
          <cell r="AP2359">
            <v>0.2</v>
          </cell>
          <cell r="AQ2359">
            <v>0.2</v>
          </cell>
          <cell r="AR2359">
            <v>0.2</v>
          </cell>
          <cell r="AS2359">
            <v>0.2</v>
          </cell>
          <cell r="AT2359">
            <v>-0.04</v>
          </cell>
          <cell r="AU2359">
            <v>0.92</v>
          </cell>
          <cell r="AV2359">
            <v>20</v>
          </cell>
          <cell r="AZ2359">
            <v>0.2</v>
          </cell>
          <cell r="BA2359">
            <v>0.2</v>
          </cell>
        </row>
        <row r="2360">
          <cell r="A2360" t="str">
            <v xml:space="preserve">SOLUZIONI CASA </v>
          </cell>
          <cell r="B2360" t="str">
            <v>NO SCONTI</v>
          </cell>
          <cell r="D2360" t="str">
            <v>VIA XXIII MARTIRI, 106</v>
          </cell>
          <cell r="E2360" t="str">
            <v>30027</v>
          </cell>
          <cell r="F2360" t="str">
            <v xml:space="preserve">SAN DONA' DI PIAVE </v>
          </cell>
          <cell r="G2360" t="str">
            <v>VE</v>
          </cell>
          <cell r="H2360" t="str">
            <v>ITALIA</v>
          </cell>
          <cell r="J2360" t="str">
            <v>04297190276</v>
          </cell>
          <cell r="M2360" t="str">
            <v>UFFICIO ACQUISTI</v>
          </cell>
          <cell r="N2360" t="str">
            <v>0421 40376</v>
          </cell>
          <cell r="O2360" t="str">
            <v>345 2964321</v>
          </cell>
          <cell r="P2360" t="str">
            <v>andrea@soluzioniserramenti.it</v>
          </cell>
          <cell r="R2360" t="str">
            <v>BONIFICO BANCARIO, ALLA DATA DELLA NOSTRA CONFERMA D'ORDINE</v>
          </cell>
          <cell r="X2360">
            <v>0.25</v>
          </cell>
          <cell r="Y2360">
            <v>-0.04</v>
          </cell>
          <cell r="AB2360">
            <v>0.25</v>
          </cell>
          <cell r="AC2360">
            <v>0.25</v>
          </cell>
          <cell r="AD2360">
            <v>0.25</v>
          </cell>
          <cell r="AE2360">
            <v>0.25</v>
          </cell>
          <cell r="AF2360">
            <v>0.25</v>
          </cell>
          <cell r="AG2360">
            <v>0.25</v>
          </cell>
          <cell r="AH2360">
            <v>0.25</v>
          </cell>
          <cell r="AI2360">
            <v>0.25</v>
          </cell>
          <cell r="AJ2360">
            <v>0.25</v>
          </cell>
          <cell r="AK2360">
            <v>0.25</v>
          </cell>
          <cell r="AL2360">
            <v>0.25</v>
          </cell>
          <cell r="AM2360">
            <v>0.25</v>
          </cell>
          <cell r="AN2360">
            <v>0.25</v>
          </cell>
          <cell r="AO2360">
            <v>0.25</v>
          </cell>
          <cell r="AP2360">
            <v>0.25</v>
          </cell>
          <cell r="AQ2360">
            <v>0.25</v>
          </cell>
          <cell r="AR2360">
            <v>0.25</v>
          </cell>
          <cell r="AS2360">
            <v>0.25</v>
          </cell>
          <cell r="AT2360">
            <v>-0.04</v>
          </cell>
          <cell r="AU2360">
            <v>0.92</v>
          </cell>
          <cell r="AV2360">
            <v>20</v>
          </cell>
          <cell r="AZ2360">
            <v>0.25</v>
          </cell>
          <cell r="BA2360">
            <v>0.25</v>
          </cell>
        </row>
        <row r="2361">
          <cell r="A2361" t="str">
            <v>SOZIO LUIGI GIESSE PROFFESIONA</v>
          </cell>
          <cell r="M2361" t="str">
            <v>UFFICIO ACQUISTI</v>
          </cell>
          <cell r="R2361" t="str">
            <v>BONIFICO BANCARIO, ALLA DATA DELLA NOSTRA CONFERMA D'ORDINE</v>
          </cell>
          <cell r="X2361">
            <v>0.25</v>
          </cell>
          <cell r="Y2361">
            <v>-0.04</v>
          </cell>
          <cell r="AB2361">
            <v>0.25</v>
          </cell>
          <cell r="AC2361">
            <v>0.25</v>
          </cell>
          <cell r="AD2361">
            <v>0.25</v>
          </cell>
          <cell r="AE2361">
            <v>0.25</v>
          </cell>
          <cell r="AF2361">
            <v>0.25</v>
          </cell>
          <cell r="AG2361">
            <v>0.25</v>
          </cell>
          <cell r="AH2361">
            <v>0.25</v>
          </cell>
          <cell r="AI2361">
            <v>0.25</v>
          </cell>
          <cell r="AJ2361">
            <v>0.25</v>
          </cell>
          <cell r="AK2361">
            <v>0.25</v>
          </cell>
          <cell r="AL2361">
            <v>0.25</v>
          </cell>
          <cell r="AM2361">
            <v>0.25</v>
          </cell>
          <cell r="AN2361">
            <v>0.25</v>
          </cell>
          <cell r="AO2361">
            <v>0.25</v>
          </cell>
          <cell r="AP2361">
            <v>0.25</v>
          </cell>
          <cell r="AQ2361">
            <v>0.25</v>
          </cell>
          <cell r="AR2361">
            <v>0.25</v>
          </cell>
          <cell r="AS2361">
            <v>0.25</v>
          </cell>
          <cell r="AT2361">
            <v>-0.04</v>
          </cell>
          <cell r="AU2361">
            <v>0.92</v>
          </cell>
          <cell r="AV2361">
            <v>20</v>
          </cell>
          <cell r="AZ2361">
            <v>0.25</v>
          </cell>
          <cell r="BA2361">
            <v>0.25</v>
          </cell>
        </row>
        <row r="2362">
          <cell r="A2362" t="str">
            <v>SPACE INFISSI</v>
          </cell>
          <cell r="D2362" t="str">
            <v>VIA V.TOFFETTI, 2</v>
          </cell>
          <cell r="E2362">
            <v>20139</v>
          </cell>
          <cell r="F2362" t="str">
            <v>MILANO</v>
          </cell>
          <cell r="G2362" t="str">
            <v>MI</v>
          </cell>
          <cell r="H2362" t="str">
            <v>ITALIA</v>
          </cell>
          <cell r="M2362" t="str">
            <v>UFFICIO ACQUISTI</v>
          </cell>
          <cell r="N2362" t="str">
            <v>02 35941195</v>
          </cell>
          <cell r="O2362" t="str">
            <v>349 1029421</v>
          </cell>
          <cell r="P2362" t="str">
            <v>info@spaceinfissi.com</v>
          </cell>
          <cell r="R2362" t="str">
            <v>BONIFICO BANCARIO, ALLA DATA DELLA NOSTRA CONFERMA D'ORDINE</v>
          </cell>
          <cell r="X2362">
            <v>0.25</v>
          </cell>
          <cell r="Y2362">
            <v>-0.04</v>
          </cell>
          <cell r="AB2362">
            <v>0.25</v>
          </cell>
          <cell r="AC2362">
            <v>0.25</v>
          </cell>
          <cell r="AD2362">
            <v>0.25</v>
          </cell>
          <cell r="AE2362">
            <v>0.25</v>
          </cell>
          <cell r="AF2362">
            <v>0.25</v>
          </cell>
          <cell r="AG2362">
            <v>0.25</v>
          </cell>
          <cell r="AH2362">
            <v>0.25</v>
          </cell>
          <cell r="AI2362">
            <v>0.25</v>
          </cell>
          <cell r="AJ2362">
            <v>0.25</v>
          </cell>
          <cell r="AK2362">
            <v>0.25</v>
          </cell>
          <cell r="AL2362">
            <v>0.25</v>
          </cell>
          <cell r="AM2362">
            <v>0.25</v>
          </cell>
          <cell r="AN2362">
            <v>0.25</v>
          </cell>
          <cell r="AO2362">
            <v>0.25</v>
          </cell>
          <cell r="AP2362">
            <v>0.25</v>
          </cell>
          <cell r="AQ2362">
            <v>0.25</v>
          </cell>
          <cell r="AR2362">
            <v>0.25</v>
          </cell>
          <cell r="AS2362">
            <v>0.25</v>
          </cell>
          <cell r="AT2362">
            <v>-0.04</v>
          </cell>
          <cell r="AU2362">
            <v>0.92</v>
          </cell>
          <cell r="AV2362">
            <v>20</v>
          </cell>
          <cell r="AZ2362">
            <v>0.25</v>
          </cell>
          <cell r="BA2362">
            <v>0.25</v>
          </cell>
        </row>
        <row r="2363">
          <cell r="A2363" t="str">
            <v>SPANU PIERGIORGIO</v>
          </cell>
          <cell r="D2363" t="str">
            <v>VIA G.DELEDDA, 17/B</v>
          </cell>
          <cell r="E2363" t="str">
            <v>08022</v>
          </cell>
          <cell r="F2363" t="str">
            <v>DORGALI</v>
          </cell>
          <cell r="G2363" t="str">
            <v>NU</v>
          </cell>
          <cell r="H2363" t="str">
            <v>ITALIA</v>
          </cell>
          <cell r="I2363" t="str">
            <v>SPNPGR80L14F979Z</v>
          </cell>
          <cell r="J2363" t="str">
            <v>01350670913</v>
          </cell>
          <cell r="M2363" t="str">
            <v>UFFICIO ACQUISTI</v>
          </cell>
          <cell r="N2363" t="str">
            <v>0784 94045</v>
          </cell>
          <cell r="P2363" t="str">
            <v>spanuinfissidorgali@tiscali.it</v>
          </cell>
          <cell r="R2363" t="str">
            <v>BONIFICO BANCARIO, ALLA DATA DELLA NOSTRA CONFERMA D'ORDINE</v>
          </cell>
          <cell r="X2363">
            <v>0.15</v>
          </cell>
          <cell r="Y2363">
            <v>-0.04</v>
          </cell>
          <cell r="AB2363">
            <v>0.15</v>
          </cell>
          <cell r="AC2363">
            <v>0.15</v>
          </cell>
          <cell r="AD2363">
            <v>0.15</v>
          </cell>
          <cell r="AE2363">
            <v>0.15</v>
          </cell>
          <cell r="AF2363">
            <v>0.15</v>
          </cell>
          <cell r="AG2363">
            <v>0.15</v>
          </cell>
          <cell r="AH2363">
            <v>0.15</v>
          </cell>
          <cell r="AI2363">
            <v>0.15</v>
          </cell>
          <cell r="AJ2363">
            <v>0.15</v>
          </cell>
          <cell r="AK2363">
            <v>0.15</v>
          </cell>
          <cell r="AL2363">
            <v>0.15</v>
          </cell>
          <cell r="AM2363">
            <v>0.15</v>
          </cell>
          <cell r="AN2363">
            <v>0.15</v>
          </cell>
          <cell r="AO2363">
            <v>0.15</v>
          </cell>
          <cell r="AP2363">
            <v>0.15</v>
          </cell>
          <cell r="AQ2363">
            <v>0.15</v>
          </cell>
          <cell r="AR2363">
            <v>0.15</v>
          </cell>
          <cell r="AS2363">
            <v>0.15</v>
          </cell>
          <cell r="AT2363">
            <v>-0.04</v>
          </cell>
          <cell r="AU2363">
            <v>0.92</v>
          </cell>
          <cell r="AV2363">
            <v>20</v>
          </cell>
          <cell r="AZ2363">
            <v>0.15</v>
          </cell>
          <cell r="BA2363">
            <v>0.15</v>
          </cell>
        </row>
        <row r="2364">
          <cell r="A2364" t="str">
            <v>SPARVOLI SANTE</v>
          </cell>
          <cell r="D2364" t="str">
            <v>VIA DELLE SCIENZE 31 LOTTO 5</v>
          </cell>
          <cell r="E2364" t="str">
            <v>01016</v>
          </cell>
          <cell r="F2364" t="str">
            <v>TARQUINIA</v>
          </cell>
          <cell r="G2364" t="str">
            <v>VT</v>
          </cell>
          <cell r="H2364" t="str">
            <v>ITALIA</v>
          </cell>
          <cell r="M2364" t="str">
            <v>UFFICIO ACQUISTI</v>
          </cell>
          <cell r="N2364" t="str">
            <v>0766 858714</v>
          </cell>
          <cell r="O2364" t="str">
            <v>335 8022652</v>
          </cell>
          <cell r="R2364" t="str">
            <v>BONIFICO BANCARIO, ALLA DATA DELLA NOSTRA CONFERMA D'ORDINE</v>
          </cell>
          <cell r="X2364">
            <v>0.25</v>
          </cell>
          <cell r="Y2364">
            <v>-0.04</v>
          </cell>
          <cell r="AB2364">
            <v>0.25</v>
          </cell>
          <cell r="AC2364">
            <v>0.25</v>
          </cell>
          <cell r="AD2364">
            <v>0.25</v>
          </cell>
          <cell r="AE2364">
            <v>0.25</v>
          </cell>
          <cell r="AF2364">
            <v>0.25</v>
          </cell>
          <cell r="AG2364">
            <v>0.25</v>
          </cell>
          <cell r="AH2364">
            <v>0.25</v>
          </cell>
          <cell r="AI2364">
            <v>0.25</v>
          </cell>
          <cell r="AJ2364">
            <v>0.25</v>
          </cell>
          <cell r="AK2364">
            <v>0.25</v>
          </cell>
          <cell r="AL2364">
            <v>0.25</v>
          </cell>
          <cell r="AM2364">
            <v>0.25</v>
          </cell>
          <cell r="AN2364">
            <v>0.25</v>
          </cell>
          <cell r="AO2364">
            <v>0.25</v>
          </cell>
          <cell r="AP2364">
            <v>0.25</v>
          </cell>
          <cell r="AQ2364">
            <v>0.25</v>
          </cell>
          <cell r="AR2364">
            <v>0.25</v>
          </cell>
          <cell r="AS2364">
            <v>0.25</v>
          </cell>
          <cell r="AT2364">
            <v>-0.04</v>
          </cell>
          <cell r="AU2364">
            <v>0.92</v>
          </cell>
          <cell r="AV2364">
            <v>20</v>
          </cell>
          <cell r="AZ2364">
            <v>0.25</v>
          </cell>
          <cell r="BA2364">
            <v>0.25</v>
          </cell>
        </row>
        <row r="2365">
          <cell r="A2365" t="str">
            <v>SPAZIO CASA SRL</v>
          </cell>
          <cell r="B2365" t="str">
            <v>FABIO TUPPA, ANTONINO PATAGLIA, SALVO MICELI</v>
          </cell>
          <cell r="D2365" t="str">
            <v>VIA V.EMANUELE 100</v>
          </cell>
          <cell r="E2365" t="str">
            <v>94014</v>
          </cell>
          <cell r="F2365" t="str">
            <v>NICOSIA</v>
          </cell>
          <cell r="G2365" t="str">
            <v>EN</v>
          </cell>
          <cell r="H2365" t="str">
            <v>ITALIA</v>
          </cell>
          <cell r="J2365" t="str">
            <v>00592600860</v>
          </cell>
          <cell r="M2365" t="str">
            <v>UFFICIO ACQUISTI</v>
          </cell>
          <cell r="N2365" t="str">
            <v>0935 639759</v>
          </cell>
          <cell r="R2365" t="str">
            <v>BONIFICO BANCARIO, ALLA DATA DELLA NOSTRA CONFERMA D'ORDINE</v>
          </cell>
          <cell r="X2365">
            <v>0.25</v>
          </cell>
          <cell r="Y2365">
            <v>-0.04</v>
          </cell>
          <cell r="AB2365">
            <v>0.25</v>
          </cell>
          <cell r="AC2365">
            <v>0.25</v>
          </cell>
          <cell r="AD2365">
            <v>0.25</v>
          </cell>
          <cell r="AE2365">
            <v>0.25</v>
          </cell>
          <cell r="AF2365">
            <v>0.25</v>
          </cell>
          <cell r="AG2365">
            <v>0.25</v>
          </cell>
          <cell r="AH2365">
            <v>0.25</v>
          </cell>
          <cell r="AI2365">
            <v>0.25</v>
          </cell>
          <cell r="AJ2365">
            <v>0.25</v>
          </cell>
          <cell r="AK2365">
            <v>0.25</v>
          </cell>
          <cell r="AL2365">
            <v>0.25</v>
          </cell>
          <cell r="AM2365">
            <v>0.25</v>
          </cell>
          <cell r="AN2365">
            <v>0.25</v>
          </cell>
          <cell r="AO2365">
            <v>0.25</v>
          </cell>
          <cell r="AP2365">
            <v>0.25</v>
          </cell>
          <cell r="AQ2365">
            <v>0.25</v>
          </cell>
          <cell r="AR2365">
            <v>0.25</v>
          </cell>
          <cell r="AS2365">
            <v>0.25</v>
          </cell>
          <cell r="AT2365">
            <v>-0.04</v>
          </cell>
          <cell r="AU2365">
            <v>0.92</v>
          </cell>
          <cell r="AV2365">
            <v>20</v>
          </cell>
          <cell r="AZ2365">
            <v>0.25</v>
          </cell>
          <cell r="BA2365">
            <v>0.25</v>
          </cell>
        </row>
        <row r="2366">
          <cell r="A2366" t="str">
            <v>SPAZIO FERRO DI SCARPA R. E VENCHIERUTTI A. SNC</v>
          </cell>
          <cell r="D2366" t="str">
            <v>VIA CIPRO, 38</v>
          </cell>
          <cell r="E2366" t="str">
            <v>30126</v>
          </cell>
          <cell r="F2366" t="str">
            <v>VENEZIA</v>
          </cell>
          <cell r="G2366" t="str">
            <v>VE</v>
          </cell>
          <cell r="H2366" t="str">
            <v>ITALIA</v>
          </cell>
          <cell r="J2366" t="str">
            <v>03394370278</v>
          </cell>
          <cell r="M2366" t="str">
            <v>UFFICIO ACQUISTI</v>
          </cell>
          <cell r="N2366" t="str">
            <v>041 731580</v>
          </cell>
          <cell r="R2366" t="str">
            <v>BONIFICO BANCARIO, ALLA DATA DELLA NOSTRA CONFERMA D'ORDINE</v>
          </cell>
          <cell r="X2366">
            <v>0.2</v>
          </cell>
          <cell r="Y2366">
            <v>-0.04</v>
          </cell>
          <cell r="AB2366">
            <v>0.2</v>
          </cell>
          <cell r="AC2366">
            <v>0.2</v>
          </cell>
          <cell r="AD2366">
            <v>0.2</v>
          </cell>
          <cell r="AE2366">
            <v>0.2</v>
          </cell>
          <cell r="AF2366">
            <v>0.2</v>
          </cell>
          <cell r="AG2366">
            <v>0.2</v>
          </cell>
          <cell r="AH2366">
            <v>0.2</v>
          </cell>
          <cell r="AI2366">
            <v>0.2</v>
          </cell>
          <cell r="AJ2366">
            <v>0.2</v>
          </cell>
          <cell r="AK2366">
            <v>0.2</v>
          </cell>
          <cell r="AL2366">
            <v>0.2</v>
          </cell>
          <cell r="AM2366">
            <v>0.2</v>
          </cell>
          <cell r="AN2366">
            <v>0.2</v>
          </cell>
          <cell r="AO2366">
            <v>0.2</v>
          </cell>
          <cell r="AP2366">
            <v>0.2</v>
          </cell>
          <cell r="AQ2366">
            <v>0.2</v>
          </cell>
          <cell r="AR2366">
            <v>0.2</v>
          </cell>
          <cell r="AS2366">
            <v>0.2</v>
          </cell>
          <cell r="AT2366">
            <v>-0.04</v>
          </cell>
          <cell r="AU2366">
            <v>0.92</v>
          </cell>
          <cell r="AV2366">
            <v>20</v>
          </cell>
          <cell r="AZ2366">
            <v>0.2</v>
          </cell>
          <cell r="BA2366">
            <v>0.2</v>
          </cell>
        </row>
        <row r="2367">
          <cell r="A2367" t="str">
            <v>SPAZIO PORTE</v>
          </cell>
          <cell r="B2367" t="str">
            <v>SOLO BIGLIETTO DA VISITA  RESP.COMM.LE COLIZZI CATERINA</v>
          </cell>
          <cell r="D2367" t="str">
            <v>VIA SANT'ALENIXEDDA, 83</v>
          </cell>
          <cell r="E2367" t="str">
            <v>09128</v>
          </cell>
          <cell r="F2367" t="str">
            <v>CAGLIARI</v>
          </cell>
          <cell r="G2367" t="str">
            <v>CA</v>
          </cell>
          <cell r="H2367" t="str">
            <v>ITALIA</v>
          </cell>
          <cell r="M2367" t="str">
            <v>UFFICIO ACQUISTI</v>
          </cell>
          <cell r="N2367" t="str">
            <v>070 41983</v>
          </cell>
          <cell r="O2367" t="str">
            <v>335 1040312 CATERINA COLIZZI</v>
          </cell>
          <cell r="P2367" t="str">
            <v>showroom@spazioporte.it</v>
          </cell>
          <cell r="R2367" t="str">
            <v>BONIFICO BANCARIO, ALLA DATA DELLA NOSTRA CONFERMA D'ORDINE</v>
          </cell>
          <cell r="X2367">
            <v>0.25</v>
          </cell>
          <cell r="Y2367">
            <v>-0.04</v>
          </cell>
          <cell r="AB2367">
            <v>0.25</v>
          </cell>
          <cell r="AC2367">
            <v>0.25</v>
          </cell>
          <cell r="AD2367">
            <v>0.25</v>
          </cell>
          <cell r="AE2367">
            <v>0.25</v>
          </cell>
          <cell r="AF2367">
            <v>0.25</v>
          </cell>
          <cell r="AG2367">
            <v>0.25</v>
          </cell>
          <cell r="AH2367">
            <v>0.25</v>
          </cell>
          <cell r="AI2367">
            <v>0.25</v>
          </cell>
          <cell r="AJ2367">
            <v>0.25</v>
          </cell>
          <cell r="AK2367">
            <v>0.25</v>
          </cell>
          <cell r="AL2367">
            <v>0.25</v>
          </cell>
          <cell r="AM2367">
            <v>0.25</v>
          </cell>
          <cell r="AN2367">
            <v>0.25</v>
          </cell>
          <cell r="AO2367">
            <v>0.25</v>
          </cell>
          <cell r="AP2367">
            <v>0.25</v>
          </cell>
          <cell r="AQ2367">
            <v>0.25</v>
          </cell>
          <cell r="AR2367">
            <v>0.25</v>
          </cell>
          <cell r="AS2367">
            <v>0.25</v>
          </cell>
          <cell r="AT2367">
            <v>-0.04</v>
          </cell>
          <cell r="AU2367">
            <v>0.92</v>
          </cell>
          <cell r="AV2367">
            <v>20</v>
          </cell>
          <cell r="AZ2367">
            <v>0.25</v>
          </cell>
          <cell r="BA2367">
            <v>0.25</v>
          </cell>
        </row>
        <row r="2368">
          <cell r="A2368" t="str">
            <v>SPAZIOTRE SRL</v>
          </cell>
          <cell r="D2368" t="str">
            <v>VIA DON MINZONI 121/B</v>
          </cell>
          <cell r="E2368" t="str">
            <v>55041</v>
          </cell>
          <cell r="F2368" t="str">
            <v>LIDO DI CAMAIORE</v>
          </cell>
          <cell r="G2368" t="str">
            <v>LU</v>
          </cell>
          <cell r="H2368" t="str">
            <v>ITALIA</v>
          </cell>
          <cell r="M2368" t="str">
            <v>UFFICIO ACQUISTI</v>
          </cell>
          <cell r="N2368" t="str">
            <v>0584 996985</v>
          </cell>
          <cell r="P2368" t="str">
            <v>info@spazio-tre.it</v>
          </cell>
          <cell r="R2368" t="str">
            <v>BONIFICO BANCARIO, ALLA DATA DELLA NOSTRA CONFERMA D'ORDINE</v>
          </cell>
          <cell r="X2368">
            <v>0.25</v>
          </cell>
          <cell r="Y2368">
            <v>-0.04</v>
          </cell>
          <cell r="AB2368">
            <v>0.25</v>
          </cell>
          <cell r="AC2368">
            <v>0.25</v>
          </cell>
          <cell r="AD2368">
            <v>0.25</v>
          </cell>
          <cell r="AE2368">
            <v>0.25</v>
          </cell>
          <cell r="AF2368">
            <v>0.25</v>
          </cell>
          <cell r="AG2368">
            <v>0.25</v>
          </cell>
          <cell r="AH2368">
            <v>0.25</v>
          </cell>
          <cell r="AI2368">
            <v>0.25</v>
          </cell>
          <cell r="AJ2368">
            <v>0.25</v>
          </cell>
          <cell r="AK2368">
            <v>0.25</v>
          </cell>
          <cell r="AL2368">
            <v>0.25</v>
          </cell>
          <cell r="AM2368">
            <v>0.25</v>
          </cell>
          <cell r="AN2368">
            <v>0.25</v>
          </cell>
          <cell r="AO2368">
            <v>0.25</v>
          </cell>
          <cell r="AP2368">
            <v>0.25</v>
          </cell>
          <cell r="AQ2368">
            <v>0.25</v>
          </cell>
          <cell r="AR2368">
            <v>0.25</v>
          </cell>
          <cell r="AS2368">
            <v>0.25</v>
          </cell>
          <cell r="AT2368">
            <v>-0.04</v>
          </cell>
          <cell r="AU2368">
            <v>0.92</v>
          </cell>
          <cell r="AV2368">
            <v>20</v>
          </cell>
          <cell r="AZ2368">
            <v>0.25</v>
          </cell>
          <cell r="BA2368">
            <v>0.25</v>
          </cell>
        </row>
        <row r="2369">
          <cell r="A2369" t="str">
            <v>SPINARDI SIMONE</v>
          </cell>
          <cell r="D2369" t="str">
            <v>VIA MILANO, 10</v>
          </cell>
          <cell r="E2369" t="str">
            <v>09072</v>
          </cell>
          <cell r="F2369" t="str">
            <v>CABRAS</v>
          </cell>
          <cell r="G2369" t="str">
            <v>OR</v>
          </cell>
          <cell r="H2369" t="str">
            <v>ITALIA</v>
          </cell>
          <cell r="J2369" t="str">
            <v>01086450952</v>
          </cell>
          <cell r="M2369" t="str">
            <v>UFFICIO ACQUISTI</v>
          </cell>
          <cell r="N2369" t="str">
            <v>0783 290498</v>
          </cell>
          <cell r="P2369" t="str">
            <v>spinardi.infissi@gmail.com</v>
          </cell>
          <cell r="R2369" t="str">
            <v>BONIFICO BANCARIO, ALLA DATA DELLA NOSTRA CONFERMA D'ORDINE</v>
          </cell>
          <cell r="X2369">
            <v>0.2</v>
          </cell>
          <cell r="Y2369">
            <v>-0.04</v>
          </cell>
          <cell r="AB2369">
            <v>0.2</v>
          </cell>
          <cell r="AC2369">
            <v>0.2</v>
          </cell>
          <cell r="AD2369">
            <v>0.2</v>
          </cell>
          <cell r="AE2369">
            <v>0.2</v>
          </cell>
          <cell r="AF2369">
            <v>0.2</v>
          </cell>
          <cell r="AG2369">
            <v>0.2</v>
          </cell>
          <cell r="AH2369">
            <v>0.2</v>
          </cell>
          <cell r="AI2369">
            <v>0.2</v>
          </cell>
          <cell r="AJ2369">
            <v>0.2</v>
          </cell>
          <cell r="AK2369">
            <v>0.2</v>
          </cell>
          <cell r="AL2369">
            <v>0.2</v>
          </cell>
          <cell r="AM2369">
            <v>0.2</v>
          </cell>
          <cell r="AN2369">
            <v>0.2</v>
          </cell>
          <cell r="AO2369">
            <v>0.2</v>
          </cell>
          <cell r="AP2369">
            <v>0.2</v>
          </cell>
          <cell r="AQ2369">
            <v>0.2</v>
          </cell>
          <cell r="AR2369">
            <v>0.2</v>
          </cell>
          <cell r="AS2369">
            <v>0.2</v>
          </cell>
          <cell r="AT2369">
            <v>-0.04</v>
          </cell>
          <cell r="AU2369">
            <v>0.92</v>
          </cell>
          <cell r="AV2369">
            <v>20</v>
          </cell>
          <cell r="AZ2369">
            <v>0.2</v>
          </cell>
          <cell r="BA2369">
            <v>0.2</v>
          </cell>
        </row>
        <row r="2370">
          <cell r="A2370" t="str">
            <v>SPORTELLI INFISSI</v>
          </cell>
          <cell r="D2370" t="str">
            <v>VIA GALILEO GALILEI, NC</v>
          </cell>
          <cell r="E2370">
            <v>70044</v>
          </cell>
          <cell r="F2370" t="str">
            <v>POLIGNANO A MARE</v>
          </cell>
          <cell r="G2370" t="str">
            <v>BA</v>
          </cell>
          <cell r="H2370" t="str">
            <v>ITALIA</v>
          </cell>
          <cell r="M2370" t="str">
            <v>UFFICIO ACQUISTI</v>
          </cell>
          <cell r="O2370" t="str">
            <v>368 3578865   334 8494985</v>
          </cell>
          <cell r="R2370" t="str">
            <v>BONIFICO BANCARIO, ALLA DATA DELLA NOSTRA CONFERMA D'ORDINE</v>
          </cell>
          <cell r="X2370">
            <v>0.25</v>
          </cell>
          <cell r="Y2370">
            <v>-0.04</v>
          </cell>
          <cell r="AB2370">
            <v>0.25</v>
          </cell>
          <cell r="AC2370">
            <v>0.25</v>
          </cell>
          <cell r="AD2370">
            <v>0.25</v>
          </cell>
          <cell r="AE2370">
            <v>0.25</v>
          </cell>
          <cell r="AF2370">
            <v>0.25</v>
          </cell>
          <cell r="AG2370">
            <v>0.25</v>
          </cell>
          <cell r="AH2370">
            <v>0.25</v>
          </cell>
          <cell r="AI2370">
            <v>0.25</v>
          </cell>
          <cell r="AJ2370">
            <v>0.25</v>
          </cell>
          <cell r="AK2370">
            <v>0.25</v>
          </cell>
          <cell r="AL2370">
            <v>0.25</v>
          </cell>
          <cell r="AM2370">
            <v>0.25</v>
          </cell>
          <cell r="AN2370">
            <v>0.25</v>
          </cell>
          <cell r="AO2370">
            <v>0.25</v>
          </cell>
          <cell r="AP2370">
            <v>0.25</v>
          </cell>
          <cell r="AQ2370">
            <v>0.25</v>
          </cell>
          <cell r="AR2370">
            <v>0.25</v>
          </cell>
          <cell r="AS2370">
            <v>0.25</v>
          </cell>
          <cell r="AT2370">
            <v>-0.04</v>
          </cell>
          <cell r="AU2370">
            <v>0.92</v>
          </cell>
          <cell r="AV2370">
            <v>20</v>
          </cell>
          <cell r="AZ2370">
            <v>0.25</v>
          </cell>
          <cell r="BA2370">
            <v>0.25</v>
          </cell>
        </row>
        <row r="2371">
          <cell r="A2371" t="str">
            <v>SPORTING TENDE DI SALTARELLI DANIELE</v>
          </cell>
          <cell r="D2371" t="str">
            <v>VIA CADUTI PER LA LIBERTA', 50</v>
          </cell>
          <cell r="E2371" t="str">
            <v>17047</v>
          </cell>
          <cell r="F2371" t="str">
            <v>VADO LIGURE</v>
          </cell>
          <cell r="G2371" t="str">
            <v>SV</v>
          </cell>
          <cell r="H2371" t="str">
            <v>ITALIA</v>
          </cell>
          <cell r="I2371" t="str">
            <v>SLTDNL71D25I480H</v>
          </cell>
          <cell r="J2371" t="str">
            <v>00510680093</v>
          </cell>
          <cell r="M2371" t="str">
            <v>UFFICIO ACQUISTI</v>
          </cell>
          <cell r="N2371" t="str">
            <v>019 886743</v>
          </cell>
          <cell r="O2371" t="str">
            <v>348 4783198</v>
          </cell>
          <cell r="P2371" t="str">
            <v>st@sportingtende.com</v>
          </cell>
          <cell r="R2371" t="str">
            <v>BONIFICO BANCARIO, ALLA DATA DELLA NOSTRA CONFERMA D'ORDINE</v>
          </cell>
          <cell r="X2371">
            <v>0.25</v>
          </cell>
          <cell r="Y2371">
            <v>-0.04</v>
          </cell>
          <cell r="AB2371">
            <v>0.25</v>
          </cell>
          <cell r="AC2371">
            <v>0.25</v>
          </cell>
          <cell r="AD2371">
            <v>0.25</v>
          </cell>
          <cell r="AE2371">
            <v>0.25</v>
          </cell>
          <cell r="AF2371">
            <v>0.25</v>
          </cell>
          <cell r="AG2371">
            <v>0.25</v>
          </cell>
          <cell r="AH2371">
            <v>0.25</v>
          </cell>
          <cell r="AI2371">
            <v>0.25</v>
          </cell>
          <cell r="AJ2371">
            <v>0.25</v>
          </cell>
          <cell r="AK2371">
            <v>0.25</v>
          </cell>
          <cell r="AL2371">
            <v>0.25</v>
          </cell>
          <cell r="AM2371">
            <v>0.25</v>
          </cell>
          <cell r="AN2371">
            <v>0.25</v>
          </cell>
          <cell r="AO2371">
            <v>0.25</v>
          </cell>
          <cell r="AP2371">
            <v>0.25</v>
          </cell>
          <cell r="AQ2371">
            <v>0.25</v>
          </cell>
          <cell r="AR2371">
            <v>0.25</v>
          </cell>
          <cell r="AS2371">
            <v>0.25</v>
          </cell>
          <cell r="AT2371">
            <v>-0.04</v>
          </cell>
          <cell r="AU2371">
            <v>0.92</v>
          </cell>
          <cell r="AV2371">
            <v>20</v>
          </cell>
          <cell r="AZ2371">
            <v>0.25</v>
          </cell>
          <cell r="BA2371">
            <v>0.25</v>
          </cell>
        </row>
        <row r="2372">
          <cell r="A2372" t="str">
            <v>STARHOUSE s.r.l. u.p.</v>
          </cell>
          <cell r="C2372" t="str">
            <v>PV1</v>
          </cell>
          <cell r="D2372" t="str">
            <v>VIA MATTEOTTI 28</v>
          </cell>
          <cell r="E2372">
            <v>27058</v>
          </cell>
          <cell r="F2372" t="str">
            <v>VOGHERA</v>
          </cell>
          <cell r="G2372" t="str">
            <v>PV</v>
          </cell>
          <cell r="H2372" t="str">
            <v>ITALIA</v>
          </cell>
          <cell r="J2372" t="str">
            <v>02290680780</v>
          </cell>
          <cell r="K2372" t="str">
            <v>USAL8PV</v>
          </cell>
          <cell r="M2372" t="str">
            <v>UFFICIO ACQUISTI</v>
          </cell>
          <cell r="N2372" t="str">
            <v>0383 369276</v>
          </cell>
          <cell r="P2372" t="str">
            <v>info@star-house.it</v>
          </cell>
          <cell r="R2372" t="str">
            <v>BONIFICO BANCARIO, ALLA DATA DELLA NOSTRA CONFERMA D'ORDINE</v>
          </cell>
          <cell r="X2372">
            <v>0.25</v>
          </cell>
          <cell r="Y2372">
            <v>-0.04</v>
          </cell>
          <cell r="AB2372">
            <v>0.25</v>
          </cell>
          <cell r="AC2372">
            <v>0.25</v>
          </cell>
          <cell r="AD2372">
            <v>0.25</v>
          </cell>
          <cell r="AE2372">
            <v>0.25</v>
          </cell>
          <cell r="AF2372">
            <v>0.25</v>
          </cell>
          <cell r="AG2372">
            <v>0.25</v>
          </cell>
          <cell r="AH2372">
            <v>0.25</v>
          </cell>
          <cell r="AI2372">
            <v>0.25</v>
          </cell>
          <cell r="AJ2372">
            <v>0.25</v>
          </cell>
          <cell r="AK2372">
            <v>0.25</v>
          </cell>
          <cell r="AL2372">
            <v>0.25</v>
          </cell>
          <cell r="AM2372">
            <v>0.25</v>
          </cell>
          <cell r="AN2372">
            <v>0.25</v>
          </cell>
          <cell r="AO2372">
            <v>0.25</v>
          </cell>
          <cell r="AP2372">
            <v>0.25</v>
          </cell>
          <cell r="AQ2372">
            <v>0.25</v>
          </cell>
          <cell r="AR2372">
            <v>0.25</v>
          </cell>
          <cell r="AS2372">
            <v>0.25</v>
          </cell>
          <cell r="AT2372">
            <v>-0.04</v>
          </cell>
          <cell r="AU2372">
            <v>0.92</v>
          </cell>
          <cell r="AV2372">
            <v>20</v>
          </cell>
          <cell r="AZ2372">
            <v>0.25</v>
          </cell>
          <cell r="BA2372">
            <v>0.25</v>
          </cell>
          <cell r="BF2372" t="str">
            <v>CLICK RAPID con carpenteria 15/01/2020</v>
          </cell>
        </row>
        <row r="2373">
          <cell r="A2373" t="str">
            <v>STEA SRL</v>
          </cell>
          <cell r="B2373" t="str">
            <v>ANDREA STEA</v>
          </cell>
          <cell r="D2373" t="str">
            <v>VIA MAESTRI DEL LAVORO, 1/7</v>
          </cell>
          <cell r="F2373" t="str">
            <v>MODUGNO</v>
          </cell>
          <cell r="G2373" t="str">
            <v>BA</v>
          </cell>
          <cell r="H2373" t="str">
            <v>ITALIA</v>
          </cell>
          <cell r="M2373" t="str">
            <v>UFFICIO ACQUISTI</v>
          </cell>
          <cell r="N2373" t="str">
            <v>080 5327684</v>
          </cell>
          <cell r="P2373" t="str">
            <v>info@steainfissi.it</v>
          </cell>
          <cell r="R2373" t="str">
            <v>BONIFICO BANCARIO, ALLA DATA DELLA NOSTRA CONFERMA D'ORDINE</v>
          </cell>
          <cell r="Y2373">
            <v>-0.04</v>
          </cell>
          <cell r="AT2373">
            <v>-0.04</v>
          </cell>
          <cell r="AV2373">
            <v>20</v>
          </cell>
          <cell r="AZ2373">
            <v>0</v>
          </cell>
          <cell r="BA2373">
            <v>0</v>
          </cell>
        </row>
        <row r="2374">
          <cell r="A2374" t="str">
            <v>STEFANO FERRAMENTA DI SABBATINI STEFANO</v>
          </cell>
          <cell r="B2374" t="str">
            <v>FATTO PREVENTIVO PER ESPOSITORE. NON INTERESSATO</v>
          </cell>
          <cell r="D2374" t="str">
            <v>VIA DALMAZIA, 4</v>
          </cell>
          <cell r="E2374" t="str">
            <v>61037</v>
          </cell>
          <cell r="F2374" t="str">
            <v>MAROTTA DI MONDOLFO</v>
          </cell>
          <cell r="G2374" t="str">
            <v>PU</v>
          </cell>
          <cell r="H2374" t="str">
            <v>ITALIA</v>
          </cell>
          <cell r="I2374" t="str">
            <v>SBBSFN71A01B846L</v>
          </cell>
          <cell r="J2374" t="str">
            <v>02236860413</v>
          </cell>
          <cell r="M2374" t="str">
            <v>UFFICIO ACQUISTI</v>
          </cell>
          <cell r="N2374" t="str">
            <v>0721 959669</v>
          </cell>
          <cell r="O2374" t="str">
            <v>333 6426084</v>
          </cell>
          <cell r="P2374" t="str">
            <v>stefanoferramenta@libero.it</v>
          </cell>
          <cell r="R2374" t="str">
            <v>BONIFICO BANCARIO, ALLA DATA DELLA NOSTRA CONFERMA D'ORDINE</v>
          </cell>
          <cell r="X2374">
            <v>0.25</v>
          </cell>
          <cell r="Y2374">
            <v>-0.04</v>
          </cell>
          <cell r="AB2374">
            <v>0.25</v>
          </cell>
          <cell r="AC2374">
            <v>0.25</v>
          </cell>
          <cell r="AD2374">
            <v>0.25</v>
          </cell>
          <cell r="AE2374">
            <v>0.25</v>
          </cell>
          <cell r="AF2374">
            <v>0.25</v>
          </cell>
          <cell r="AG2374">
            <v>0.25</v>
          </cell>
          <cell r="AH2374">
            <v>0.25</v>
          </cell>
          <cell r="AI2374">
            <v>0.25</v>
          </cell>
          <cell r="AJ2374">
            <v>0.25</v>
          </cell>
          <cell r="AK2374">
            <v>0.25</v>
          </cell>
          <cell r="AL2374">
            <v>0.25</v>
          </cell>
          <cell r="AM2374">
            <v>0.25</v>
          </cell>
          <cell r="AN2374">
            <v>0.25</v>
          </cell>
          <cell r="AO2374">
            <v>0.25</v>
          </cell>
          <cell r="AP2374">
            <v>0.25</v>
          </cell>
          <cell r="AQ2374">
            <v>0.25</v>
          </cell>
          <cell r="AR2374">
            <v>0.25</v>
          </cell>
          <cell r="AS2374">
            <v>0.25</v>
          </cell>
          <cell r="AT2374">
            <v>-0.04</v>
          </cell>
          <cell r="AU2374">
            <v>0.88</v>
          </cell>
          <cell r="AV2374">
            <v>20</v>
          </cell>
          <cell r="AZ2374">
            <v>0.25</v>
          </cell>
          <cell r="BA2374">
            <v>0.25</v>
          </cell>
        </row>
        <row r="2375">
          <cell r="A2375" t="str">
            <v>STEFANO ZIVIAN</v>
          </cell>
          <cell r="D2375" t="str">
            <v>VIA A. MESSEDAGLIA, 147</v>
          </cell>
          <cell r="E2375">
            <v>37069</v>
          </cell>
          <cell r="F2375" t="str">
            <v>VILLAFR. DI VERONA</v>
          </cell>
          <cell r="G2375" t="str">
            <v>VR</v>
          </cell>
          <cell r="H2375" t="str">
            <v>ITALIA</v>
          </cell>
          <cell r="M2375" t="str">
            <v>UFFICIO ACQUISTI</v>
          </cell>
          <cell r="N2375" t="str">
            <v>045 6932100</v>
          </cell>
          <cell r="P2375" t="str">
            <v>info@szinfissi.it</v>
          </cell>
          <cell r="R2375" t="str">
            <v>BONIFICO BANCARIO, ALLA DATA DELLA NOSTRA CONFERMA D'ORDINE</v>
          </cell>
          <cell r="X2375">
            <v>0.25</v>
          </cell>
          <cell r="Y2375">
            <v>-0.04</v>
          </cell>
          <cell r="AB2375">
            <v>0.25</v>
          </cell>
          <cell r="AC2375">
            <v>0.25</v>
          </cell>
          <cell r="AD2375">
            <v>0.25</v>
          </cell>
          <cell r="AE2375">
            <v>0.25</v>
          </cell>
          <cell r="AF2375">
            <v>0.25</v>
          </cell>
          <cell r="AG2375">
            <v>0.25</v>
          </cell>
          <cell r="AH2375">
            <v>0.25</v>
          </cell>
          <cell r="AI2375">
            <v>0.25</v>
          </cell>
          <cell r="AJ2375">
            <v>0.25</v>
          </cell>
          <cell r="AK2375">
            <v>0.25</v>
          </cell>
          <cell r="AL2375">
            <v>0.25</v>
          </cell>
          <cell r="AM2375">
            <v>0.25</v>
          </cell>
          <cell r="AN2375">
            <v>0.25</v>
          </cell>
          <cell r="AO2375">
            <v>0.25</v>
          </cell>
          <cell r="AP2375">
            <v>0.25</v>
          </cell>
          <cell r="AQ2375">
            <v>0.25</v>
          </cell>
          <cell r="AR2375">
            <v>0.25</v>
          </cell>
          <cell r="AS2375">
            <v>0.25</v>
          </cell>
          <cell r="AT2375">
            <v>-0.04</v>
          </cell>
          <cell r="AU2375">
            <v>0.92</v>
          </cell>
          <cell r="AV2375">
            <v>20</v>
          </cell>
          <cell r="AZ2375">
            <v>0.25</v>
          </cell>
          <cell r="BA2375">
            <v>0.25</v>
          </cell>
        </row>
        <row r="2376">
          <cell r="A2376" t="str">
            <v>STELLA SERRAMENTI S.R.L. UNIPERSONALE</v>
          </cell>
          <cell r="D2376" t="str">
            <v>2 TRAVERSA VIALE CASSIODORO, 1</v>
          </cell>
          <cell r="E2376" t="str">
            <v>88060</v>
          </cell>
          <cell r="F2376" t="str">
            <v>DAVOLI MARINA</v>
          </cell>
          <cell r="G2376" t="str">
            <v>CZ</v>
          </cell>
          <cell r="H2376" t="str">
            <v>ITALIA</v>
          </cell>
          <cell r="J2376" t="str">
            <v>03488990791</v>
          </cell>
          <cell r="M2376" t="str">
            <v>UFFICIO ACQUISTI</v>
          </cell>
          <cell r="O2376" t="str">
            <v>339 5891965 STELLA CIACCIO</v>
          </cell>
          <cell r="R2376" t="str">
            <v>BONIFICO BANCARIO, ALLA DATA DELLA NOSTRA CONFERMA D'ORDINE</v>
          </cell>
          <cell r="X2376">
            <v>0.25</v>
          </cell>
          <cell r="Y2376">
            <v>-0.04</v>
          </cell>
          <cell r="AB2376">
            <v>0.25</v>
          </cell>
          <cell r="AC2376">
            <v>0.25</v>
          </cell>
          <cell r="AD2376">
            <v>0.25</v>
          </cell>
          <cell r="AE2376">
            <v>0.25</v>
          </cell>
          <cell r="AF2376">
            <v>0.25</v>
          </cell>
          <cell r="AG2376">
            <v>0.25</v>
          </cell>
          <cell r="AH2376">
            <v>0.25</v>
          </cell>
          <cell r="AI2376">
            <v>0.25</v>
          </cell>
          <cell r="AJ2376">
            <v>0.25</v>
          </cell>
          <cell r="AK2376">
            <v>0.25</v>
          </cell>
          <cell r="AL2376">
            <v>0.25</v>
          </cell>
          <cell r="AM2376">
            <v>0.25</v>
          </cell>
          <cell r="AN2376">
            <v>0.25</v>
          </cell>
          <cell r="AO2376">
            <v>0.25</v>
          </cell>
          <cell r="AP2376">
            <v>0.25</v>
          </cell>
          <cell r="AQ2376">
            <v>0.25</v>
          </cell>
          <cell r="AR2376">
            <v>0.25</v>
          </cell>
          <cell r="AS2376">
            <v>0.25</v>
          </cell>
          <cell r="AT2376">
            <v>-0.04</v>
          </cell>
          <cell r="AU2376">
            <v>0.92</v>
          </cell>
          <cell r="AV2376">
            <v>20</v>
          </cell>
          <cell r="AW2376" t="str">
            <v>PIETRO OLIVADOTI</v>
          </cell>
          <cell r="AX2376">
            <v>0.95</v>
          </cell>
          <cell r="AZ2376">
            <v>0.25</v>
          </cell>
          <cell r="BA2376">
            <v>0.25</v>
          </cell>
        </row>
        <row r="2377">
          <cell r="A2377" t="str">
            <v>STELLI INFISSI</v>
          </cell>
          <cell r="D2377" t="str">
            <v>VIA A.BELLATALLA, 58</v>
          </cell>
          <cell r="E2377">
            <v>56121</v>
          </cell>
          <cell r="F2377" t="str">
            <v xml:space="preserve">OSPEDALETTO </v>
          </cell>
          <cell r="G2377" t="str">
            <v>PI</v>
          </cell>
          <cell r="H2377" t="str">
            <v>ITALIA</v>
          </cell>
          <cell r="M2377" t="str">
            <v>UFFICIO ACQUISTI</v>
          </cell>
          <cell r="N2377" t="str">
            <v>050 9910509</v>
          </cell>
          <cell r="P2377" t="str">
            <v>info@infissistelli.it</v>
          </cell>
          <cell r="R2377" t="str">
            <v>BONIFICO BANCARIO, ALLA DATA DELLA NOSTRA CONFERMA D'ORDINE</v>
          </cell>
          <cell r="X2377">
            <v>0.25</v>
          </cell>
          <cell r="Y2377">
            <v>-0.04</v>
          </cell>
          <cell r="AB2377">
            <v>0.25</v>
          </cell>
          <cell r="AC2377">
            <v>0.25</v>
          </cell>
          <cell r="AD2377">
            <v>0.25</v>
          </cell>
          <cell r="AE2377">
            <v>0.25</v>
          </cell>
          <cell r="AF2377">
            <v>0.25</v>
          </cell>
          <cell r="AG2377">
            <v>0.25</v>
          </cell>
          <cell r="AH2377">
            <v>0.25</v>
          </cell>
          <cell r="AI2377">
            <v>0.25</v>
          </cell>
          <cell r="AJ2377">
            <v>0.25</v>
          </cell>
          <cell r="AK2377">
            <v>0.25</v>
          </cell>
          <cell r="AL2377">
            <v>0.25</v>
          </cell>
          <cell r="AM2377">
            <v>0.25</v>
          </cell>
          <cell r="AN2377">
            <v>0.25</v>
          </cell>
          <cell r="AO2377">
            <v>0.25</v>
          </cell>
          <cell r="AP2377">
            <v>0.25</v>
          </cell>
          <cell r="AQ2377">
            <v>0.25</v>
          </cell>
          <cell r="AR2377">
            <v>0.25</v>
          </cell>
          <cell r="AS2377">
            <v>0.25</v>
          </cell>
          <cell r="AT2377">
            <v>-0.04</v>
          </cell>
          <cell r="AU2377">
            <v>0.92</v>
          </cell>
          <cell r="AV2377">
            <v>20</v>
          </cell>
          <cell r="AZ2377">
            <v>0.25</v>
          </cell>
          <cell r="BA2377">
            <v>0.25</v>
          </cell>
        </row>
        <row r="2378">
          <cell r="A2378" t="str">
            <v>STELLUTO</v>
          </cell>
          <cell r="B2378" t="str">
            <v>VIALE CRISTOFORO COLOMBO, 25 - FOGGIA  0881 686093</v>
          </cell>
          <cell r="D2378" t="str">
            <v>VIA OFANTO, 65</v>
          </cell>
          <cell r="E2378" t="str">
            <v>71100</v>
          </cell>
          <cell r="F2378" t="str">
            <v>FOGGIA</v>
          </cell>
          <cell r="G2378" t="str">
            <v>FG</v>
          </cell>
          <cell r="H2378" t="str">
            <v>ITALIA</v>
          </cell>
          <cell r="M2378" t="str">
            <v>UFFICIO ACQUISTI</v>
          </cell>
          <cell r="N2378" t="str">
            <v>088 614713/15</v>
          </cell>
          <cell r="P2378" t="str">
            <v>info@stelluto.it</v>
          </cell>
          <cell r="R2378" t="str">
            <v>BONIFICO BANCARIO, ALLA DATA DELLA NOSTRA CONFERMA D'ORDINE</v>
          </cell>
          <cell r="X2378">
            <v>0.2</v>
          </cell>
          <cell r="Y2378">
            <v>-0.04</v>
          </cell>
          <cell r="AB2378">
            <v>0.2</v>
          </cell>
          <cell r="AC2378">
            <v>0.2</v>
          </cell>
          <cell r="AD2378">
            <v>0.2</v>
          </cell>
          <cell r="AE2378">
            <v>0.2</v>
          </cell>
          <cell r="AF2378">
            <v>0.2</v>
          </cell>
          <cell r="AG2378">
            <v>0.2</v>
          </cell>
          <cell r="AH2378">
            <v>0.2</v>
          </cell>
          <cell r="AI2378">
            <v>0.2</v>
          </cell>
          <cell r="AJ2378">
            <v>0.2</v>
          </cell>
          <cell r="AK2378">
            <v>0.2</v>
          </cell>
          <cell r="AL2378">
            <v>0.2</v>
          </cell>
          <cell r="AM2378">
            <v>0.2</v>
          </cell>
          <cell r="AN2378">
            <v>0.2</v>
          </cell>
          <cell r="AO2378">
            <v>0.2</v>
          </cell>
          <cell r="AP2378">
            <v>0.2</v>
          </cell>
          <cell r="AQ2378">
            <v>0.2</v>
          </cell>
          <cell r="AR2378">
            <v>0.2</v>
          </cell>
          <cell r="AS2378">
            <v>0.2</v>
          </cell>
          <cell r="AT2378">
            <v>-0.04</v>
          </cell>
          <cell r="AU2378">
            <v>0.92</v>
          </cell>
          <cell r="AV2378">
            <v>20</v>
          </cell>
          <cell r="AZ2378">
            <v>0.2</v>
          </cell>
          <cell r="BA2378">
            <v>0.2</v>
          </cell>
        </row>
        <row r="2379">
          <cell r="A2379" t="str">
            <v>STIL PORTE</v>
          </cell>
          <cell r="D2379" t="str">
            <v>VIA MARTIRI, 359 B</v>
          </cell>
          <cell r="E2379">
            <v>13836</v>
          </cell>
          <cell r="F2379" t="str">
            <v>COSSATO</v>
          </cell>
          <cell r="G2379" t="str">
            <v>BI</v>
          </cell>
          <cell r="H2379" t="str">
            <v>ITALIA</v>
          </cell>
          <cell r="M2379" t="str">
            <v>UFFICIO ACQUISTI</v>
          </cell>
          <cell r="N2379" t="str">
            <v>015 93277</v>
          </cell>
          <cell r="P2379" t="str">
            <v>stilporte@libero.it</v>
          </cell>
          <cell r="R2379" t="str">
            <v>BONIFICO BANCARIO, ALLA DATA DELLA NOSTRA CONFERMA D'ORDINE</v>
          </cell>
          <cell r="X2379">
            <v>0.25</v>
          </cell>
          <cell r="Y2379">
            <v>-0.04</v>
          </cell>
          <cell r="AB2379">
            <v>0.25</v>
          </cell>
          <cell r="AC2379">
            <v>0.25</v>
          </cell>
          <cell r="AD2379">
            <v>0.25</v>
          </cell>
          <cell r="AE2379">
            <v>0.25</v>
          </cell>
          <cell r="AF2379">
            <v>0.25</v>
          </cell>
          <cell r="AG2379">
            <v>0.25</v>
          </cell>
          <cell r="AH2379">
            <v>0.25</v>
          </cell>
          <cell r="AI2379">
            <v>0.25</v>
          </cell>
          <cell r="AJ2379">
            <v>0.25</v>
          </cell>
          <cell r="AK2379">
            <v>0.25</v>
          </cell>
          <cell r="AL2379">
            <v>0.25</v>
          </cell>
          <cell r="AM2379">
            <v>0.25</v>
          </cell>
          <cell r="AN2379">
            <v>0.25</v>
          </cell>
          <cell r="AO2379">
            <v>0.25</v>
          </cell>
          <cell r="AP2379">
            <v>0.25</v>
          </cell>
          <cell r="AQ2379">
            <v>0.25</v>
          </cell>
          <cell r="AR2379">
            <v>0.25</v>
          </cell>
          <cell r="AS2379">
            <v>0.25</v>
          </cell>
          <cell r="AT2379">
            <v>-0.04</v>
          </cell>
          <cell r="AU2379">
            <v>0.92</v>
          </cell>
          <cell r="AV2379">
            <v>20</v>
          </cell>
          <cell r="AZ2379">
            <v>0.25</v>
          </cell>
          <cell r="BA2379">
            <v>0.25</v>
          </cell>
        </row>
        <row r="2380">
          <cell r="A2380" t="str">
            <v>STIL TENDE DI VITO FUSCO</v>
          </cell>
          <cell r="B2380" t="str">
            <v xml:space="preserve">SHOOW R.: VIA AMENDOLA, 188 - BARI 080 5056925 </v>
          </cell>
          <cell r="D2380" t="str">
            <v>VIA NICOLA RUFFO, 40 S.CATERINA</v>
          </cell>
          <cell r="E2380" t="str">
            <v>70124</v>
          </cell>
          <cell r="F2380" t="str">
            <v>BARI</v>
          </cell>
          <cell r="G2380" t="str">
            <v>BA</v>
          </cell>
          <cell r="H2380" t="str">
            <v>ITALIA</v>
          </cell>
          <cell r="J2380" t="str">
            <v>03685380721</v>
          </cell>
          <cell r="M2380" t="str">
            <v>UFFICIO ACQUISTI</v>
          </cell>
          <cell r="N2380" t="str">
            <v>080 5056925</v>
          </cell>
          <cell r="P2380" t="str">
            <v>info@stiltende.it</v>
          </cell>
          <cell r="R2380" t="str">
            <v>BONIFICO BANCARIO, ALLA DATA DELLA NOSTRA CONFERMA D'ORDINE</v>
          </cell>
          <cell r="X2380">
            <v>0.2</v>
          </cell>
          <cell r="Y2380">
            <v>-0.04</v>
          </cell>
          <cell r="AB2380">
            <v>0.2</v>
          </cell>
          <cell r="AC2380">
            <v>0.2</v>
          </cell>
          <cell r="AD2380">
            <v>0.2</v>
          </cell>
          <cell r="AE2380">
            <v>0.2</v>
          </cell>
          <cell r="AF2380">
            <v>0.2</v>
          </cell>
          <cell r="AG2380">
            <v>0.2</v>
          </cell>
          <cell r="AH2380">
            <v>0.2</v>
          </cell>
          <cell r="AI2380">
            <v>0.2</v>
          </cell>
          <cell r="AJ2380">
            <v>0.2</v>
          </cell>
          <cell r="AK2380">
            <v>0.2</v>
          </cell>
          <cell r="AL2380">
            <v>0.2</v>
          </cell>
          <cell r="AM2380">
            <v>0.2</v>
          </cell>
          <cell r="AN2380">
            <v>0.2</v>
          </cell>
          <cell r="AO2380">
            <v>0.2</v>
          </cell>
          <cell r="AP2380">
            <v>0.2</v>
          </cell>
          <cell r="AQ2380">
            <v>0.2</v>
          </cell>
          <cell r="AR2380">
            <v>0.2</v>
          </cell>
          <cell r="AS2380">
            <v>0.2</v>
          </cell>
          <cell r="AT2380">
            <v>-0.04</v>
          </cell>
          <cell r="AU2380">
            <v>0.92</v>
          </cell>
          <cell r="AV2380">
            <v>20</v>
          </cell>
          <cell r="AZ2380">
            <v>0.2</v>
          </cell>
          <cell r="BA2380">
            <v>0.2</v>
          </cell>
        </row>
        <row r="2381">
          <cell r="A2381" t="str">
            <v>STILE INFISSI DI NICOLA PALUMBO</v>
          </cell>
          <cell r="B2381" t="str">
            <v>PEDONE MOLFETTA, FERLAM BARLETTA, CARNILLEO BARI, QUESTE SONO LE FERRAMENTA IMPORTANTI DA VISITARE3 AL MOMENTO GIUSTO</v>
          </cell>
          <cell r="D2381" t="str">
            <v>VIA FONDO NOCE 11</v>
          </cell>
          <cell r="E2381" t="str">
            <v>76011</v>
          </cell>
          <cell r="F2381" t="str">
            <v xml:space="preserve">BISCEGLIE </v>
          </cell>
          <cell r="G2381" t="str">
            <v>BT</v>
          </cell>
          <cell r="H2381" t="str">
            <v>ITALIA</v>
          </cell>
          <cell r="J2381" t="str">
            <v>07983160727</v>
          </cell>
          <cell r="M2381" t="str">
            <v>UFFICIO ACQUISTI</v>
          </cell>
          <cell r="N2381" t="str">
            <v>080 3926658</v>
          </cell>
          <cell r="O2381" t="str">
            <v>320 8723673 NICO - 347 6505654 MARIO</v>
          </cell>
          <cell r="P2381" t="str">
            <v>stileinfissi.np@gmail.com</v>
          </cell>
          <cell r="R2381" t="str">
            <v>BONIFICO BANCARIO, ALLA DATA DELLA NOSTRA CONFERMA D'ORDINE</v>
          </cell>
          <cell r="X2381">
            <v>0.25</v>
          </cell>
          <cell r="Y2381">
            <v>-0.04</v>
          </cell>
          <cell r="AB2381">
            <v>0.25</v>
          </cell>
          <cell r="AC2381">
            <v>0.25</v>
          </cell>
          <cell r="AD2381">
            <v>0.25</v>
          </cell>
          <cell r="AE2381">
            <v>0.25</v>
          </cell>
          <cell r="AF2381">
            <v>0.25</v>
          </cell>
          <cell r="AG2381">
            <v>0.25</v>
          </cell>
          <cell r="AH2381">
            <v>0.25</v>
          </cell>
          <cell r="AI2381">
            <v>0.25</v>
          </cell>
          <cell r="AJ2381">
            <v>0.25</v>
          </cell>
          <cell r="AK2381">
            <v>0.25</v>
          </cell>
          <cell r="AL2381">
            <v>0.25</v>
          </cell>
          <cell r="AM2381">
            <v>0.25</v>
          </cell>
          <cell r="AN2381">
            <v>0.25</v>
          </cell>
          <cell r="AO2381">
            <v>0.25</v>
          </cell>
          <cell r="AP2381">
            <v>0.25</v>
          </cell>
          <cell r="AQ2381">
            <v>0.25</v>
          </cell>
          <cell r="AR2381">
            <v>0.25</v>
          </cell>
          <cell r="AS2381">
            <v>0.25</v>
          </cell>
          <cell r="AT2381">
            <v>-0.04</v>
          </cell>
          <cell r="AU2381">
            <v>0.92</v>
          </cell>
          <cell r="AV2381">
            <v>20</v>
          </cell>
          <cell r="AZ2381">
            <v>0.25</v>
          </cell>
          <cell r="BA2381">
            <v>0.25</v>
          </cell>
        </row>
        <row r="2382">
          <cell r="A2382" t="str">
            <v>STILEFERRO DI GIOVANNI VALLECOCCIA</v>
          </cell>
          <cell r="D2382" t="str">
            <v>VIA GALILEO GALILEI SNC</v>
          </cell>
          <cell r="F2382" t="str">
            <v>TARQUINIA</v>
          </cell>
          <cell r="G2382" t="str">
            <v>VT</v>
          </cell>
          <cell r="H2382" t="str">
            <v>ITALIA</v>
          </cell>
          <cell r="M2382" t="str">
            <v>UFFICIO ACQUISTI</v>
          </cell>
          <cell r="O2382" t="str">
            <v>328 5372039</v>
          </cell>
          <cell r="R2382" t="str">
            <v>BONIFICO BANCARIO, ALLA DATA DELLA NOSTRA CONFERMA D'ORDINE</v>
          </cell>
          <cell r="X2382">
            <v>0.25</v>
          </cell>
          <cell r="Y2382">
            <v>-0.04</v>
          </cell>
          <cell r="AB2382">
            <v>0.25</v>
          </cell>
          <cell r="AC2382">
            <v>0.25</v>
          </cell>
          <cell r="AD2382">
            <v>0.25</v>
          </cell>
          <cell r="AE2382">
            <v>0.25</v>
          </cell>
          <cell r="AF2382">
            <v>0.25</v>
          </cell>
          <cell r="AG2382">
            <v>0.25</v>
          </cell>
          <cell r="AH2382">
            <v>0.25</v>
          </cell>
          <cell r="AI2382">
            <v>0.25</v>
          </cell>
          <cell r="AJ2382">
            <v>0.25</v>
          </cell>
          <cell r="AK2382">
            <v>0.25</v>
          </cell>
          <cell r="AL2382">
            <v>0.25</v>
          </cell>
          <cell r="AM2382">
            <v>0.25</v>
          </cell>
          <cell r="AN2382">
            <v>0.25</v>
          </cell>
          <cell r="AO2382">
            <v>0.25</v>
          </cell>
          <cell r="AP2382">
            <v>0.25</v>
          </cell>
          <cell r="AQ2382">
            <v>0.25</v>
          </cell>
          <cell r="AR2382">
            <v>0.25</v>
          </cell>
          <cell r="AS2382">
            <v>0.25</v>
          </cell>
          <cell r="AT2382">
            <v>-0.04</v>
          </cell>
          <cell r="AU2382">
            <v>0.92</v>
          </cell>
          <cell r="AV2382">
            <v>20</v>
          </cell>
          <cell r="AZ2382">
            <v>0.25</v>
          </cell>
          <cell r="BA2382">
            <v>0.25</v>
          </cell>
        </row>
        <row r="2383">
          <cell r="A2383" t="str">
            <v>STILFER S.N.C.</v>
          </cell>
          <cell r="D2383" t="str">
            <v>VIA RADICI IN PIANO, 36</v>
          </cell>
          <cell r="E2383" t="str">
            <v>41043</v>
          </cell>
          <cell r="F2383" t="str">
            <v>FORMIGINE</v>
          </cell>
          <cell r="G2383" t="str">
            <v>MO</v>
          </cell>
          <cell r="H2383" t="str">
            <v>ITALIA</v>
          </cell>
          <cell r="J2383" t="str">
            <v>02764970360</v>
          </cell>
          <cell r="K2383" t="str">
            <v>SUBM70N</v>
          </cell>
          <cell r="M2383" t="str">
            <v>UFFICIO ACQUISTI</v>
          </cell>
          <cell r="N2383" t="str">
            <v>059 463004</v>
          </cell>
          <cell r="O2383" t="str">
            <v>347 1590400 LUCIANO RONDINONE - 339 6840869 SALVATORE RONDINONE</v>
          </cell>
          <cell r="P2383" t="str">
            <v>stilfer.rondinone@hotmail.it</v>
          </cell>
          <cell r="R2383" t="str">
            <v>BONIFICO BANCARIO, ALLA DATA DELLA NOSTRA CONFERMA D'ORDINE</v>
          </cell>
          <cell r="X2383">
            <v>0.25</v>
          </cell>
          <cell r="Y2383">
            <v>-0.04</v>
          </cell>
          <cell r="AB2383">
            <v>0.25</v>
          </cell>
          <cell r="AC2383">
            <v>0.25</v>
          </cell>
          <cell r="AD2383">
            <v>0.25</v>
          </cell>
          <cell r="AE2383">
            <v>0.25</v>
          </cell>
          <cell r="AF2383">
            <v>0.25</v>
          </cell>
          <cell r="AG2383">
            <v>0.25</v>
          </cell>
          <cell r="AH2383">
            <v>0.25</v>
          </cell>
          <cell r="AI2383">
            <v>0.25</v>
          </cell>
          <cell r="AJ2383">
            <v>0.25</v>
          </cell>
          <cell r="AK2383">
            <v>0.25</v>
          </cell>
          <cell r="AL2383">
            <v>0.25</v>
          </cell>
          <cell r="AM2383">
            <v>0.25</v>
          </cell>
          <cell r="AN2383">
            <v>0.25</v>
          </cell>
          <cell r="AO2383">
            <v>0.25</v>
          </cell>
          <cell r="AP2383">
            <v>0.25</v>
          </cell>
          <cell r="AQ2383">
            <v>0.25</v>
          </cell>
          <cell r="AR2383">
            <v>0.25</v>
          </cell>
          <cell r="AS2383">
            <v>0.25</v>
          </cell>
          <cell r="AT2383">
            <v>-0.04</v>
          </cell>
          <cell r="AU2383">
            <v>0.92</v>
          </cell>
          <cell r="AV2383">
            <v>20</v>
          </cell>
          <cell r="AZ2383">
            <v>0.25</v>
          </cell>
          <cell r="BA2383">
            <v>0.25</v>
          </cell>
          <cell r="BF2383" t="str">
            <v>CLICK RAPID con carpenteria 08/06/2020</v>
          </cell>
        </row>
        <row r="2384">
          <cell r="A2384" t="str">
            <v>STILMETAL DI COLAMESTA VIVIANA &amp; C.</v>
          </cell>
          <cell r="D2384" t="str">
            <v>VIA CADUTI DI NASSIRYA, 46</v>
          </cell>
          <cell r="E2384" t="str">
            <v>70124</v>
          </cell>
          <cell r="F2384" t="str">
            <v>BARI</v>
          </cell>
          <cell r="G2384" t="str">
            <v>BA</v>
          </cell>
          <cell r="H2384" t="str">
            <v>ITALIA</v>
          </cell>
          <cell r="J2384" t="str">
            <v>04025150725</v>
          </cell>
          <cell r="M2384" t="str">
            <v>UFFICIO ACQUISTI</v>
          </cell>
          <cell r="N2384" t="str">
            <v>080 5052038</v>
          </cell>
          <cell r="P2384" t="str">
            <v>info@stilmetal.net</v>
          </cell>
          <cell r="R2384" t="str">
            <v>BONIFICO BANCARIO, ALLA DATA DELLA NOSTRA CONFERMA D'ORDINE</v>
          </cell>
          <cell r="X2384">
            <v>0.2</v>
          </cell>
          <cell r="Y2384">
            <v>-0.04</v>
          </cell>
          <cell r="AB2384">
            <v>0.2</v>
          </cell>
          <cell r="AC2384">
            <v>0.2</v>
          </cell>
          <cell r="AD2384">
            <v>0.2</v>
          </cell>
          <cell r="AE2384">
            <v>0.2</v>
          </cell>
          <cell r="AF2384">
            <v>0.2</v>
          </cell>
          <cell r="AG2384">
            <v>0.2</v>
          </cell>
          <cell r="AH2384">
            <v>0.2</v>
          </cell>
          <cell r="AI2384">
            <v>0.2</v>
          </cell>
          <cell r="AJ2384">
            <v>0.2</v>
          </cell>
          <cell r="AK2384">
            <v>0.2</v>
          </cell>
          <cell r="AL2384">
            <v>0.2</v>
          </cell>
          <cell r="AM2384">
            <v>0.2</v>
          </cell>
          <cell r="AN2384">
            <v>0.2</v>
          </cell>
          <cell r="AO2384">
            <v>0.2</v>
          </cell>
          <cell r="AP2384">
            <v>0.2</v>
          </cell>
          <cell r="AQ2384">
            <v>0.2</v>
          </cell>
          <cell r="AR2384">
            <v>0.2</v>
          </cell>
          <cell r="AS2384">
            <v>0.2</v>
          </cell>
          <cell r="AT2384">
            <v>-0.04</v>
          </cell>
          <cell r="AU2384">
            <v>0.92</v>
          </cell>
          <cell r="AV2384">
            <v>20</v>
          </cell>
          <cell r="AZ2384">
            <v>0.2</v>
          </cell>
          <cell r="BA2384">
            <v>0.2</v>
          </cell>
        </row>
        <row r="2385">
          <cell r="A2385" t="str">
            <v>STOPPONI INFISSI SRL</v>
          </cell>
          <cell r="D2385" t="str">
            <v>VIA BRUNO BUOZZI, 34 E</v>
          </cell>
          <cell r="E2385">
            <v>60044</v>
          </cell>
          <cell r="F2385" t="str">
            <v>FABRIANO</v>
          </cell>
          <cell r="G2385" t="str">
            <v>AN</v>
          </cell>
          <cell r="H2385" t="str">
            <v>ITALIA</v>
          </cell>
          <cell r="I2385" t="str">
            <v>02130490424</v>
          </cell>
          <cell r="J2385" t="str">
            <v>02130490424</v>
          </cell>
          <cell r="M2385" t="str">
            <v>UFFICIO ACQUISTI</v>
          </cell>
          <cell r="N2385" t="str">
            <v>0732 627535</v>
          </cell>
          <cell r="P2385" t="str">
            <v>info@infissistopponi.it  - simone@infissistopponi.it</v>
          </cell>
          <cell r="R2385" t="str">
            <v>BONIFICO BANCARIO, ALLA DATA DELLA NOSTRA CONFERMA D'ORDINE</v>
          </cell>
          <cell r="X2385">
            <v>0.25</v>
          </cell>
          <cell r="Y2385">
            <v>-0.04</v>
          </cell>
          <cell r="AB2385">
            <v>0.25</v>
          </cell>
          <cell r="AC2385">
            <v>0.25</v>
          </cell>
          <cell r="AD2385">
            <v>0.25</v>
          </cell>
          <cell r="AE2385">
            <v>0.25</v>
          </cell>
          <cell r="AF2385">
            <v>0.25</v>
          </cell>
          <cell r="AG2385">
            <v>0.25</v>
          </cell>
          <cell r="AH2385">
            <v>0.25</v>
          </cell>
          <cell r="AI2385">
            <v>0.25</v>
          </cell>
          <cell r="AJ2385">
            <v>0.25</v>
          </cell>
          <cell r="AK2385">
            <v>0.25</v>
          </cell>
          <cell r="AL2385">
            <v>0.25</v>
          </cell>
          <cell r="AM2385">
            <v>0.25</v>
          </cell>
          <cell r="AN2385">
            <v>0.25</v>
          </cell>
          <cell r="AO2385">
            <v>0.25</v>
          </cell>
          <cell r="AP2385">
            <v>0.25</v>
          </cell>
          <cell r="AQ2385">
            <v>0.25</v>
          </cell>
          <cell r="AR2385">
            <v>0.25</v>
          </cell>
          <cell r="AS2385">
            <v>0.25</v>
          </cell>
          <cell r="AT2385">
            <v>-0.04</v>
          </cell>
          <cell r="AU2385">
            <v>0.92</v>
          </cell>
          <cell r="AV2385">
            <v>20</v>
          </cell>
          <cell r="AZ2385">
            <v>0.25</v>
          </cell>
          <cell r="BA2385">
            <v>0.25</v>
          </cell>
        </row>
        <row r="2386">
          <cell r="A2386" t="str">
            <v>STORMFLODSSIKRING APS</v>
          </cell>
          <cell r="B2386" t="str">
            <v>NOTE SPEDIZIONE: WAREHOUSE OPEN: 7-16 MON-FRI - CALL 30 MIN BEFORE ARRIVAL</v>
          </cell>
          <cell r="D2386" t="str">
            <v>BJERREBYVEJ 80</v>
          </cell>
          <cell r="E2386" t="str">
            <v>5700</v>
          </cell>
          <cell r="F2386" t="str">
            <v>SVENDBORG</v>
          </cell>
          <cell r="H2386" t="str">
            <v>DANIMARCA</v>
          </cell>
          <cell r="J2386" t="str">
            <v>DK 42439991</v>
          </cell>
          <cell r="K2386" t="str">
            <v>XXXXXXX</v>
          </cell>
          <cell r="L2386" t="str">
            <v>STORMFLODSSIKRING - LUNDBYVEJ 59 - DK - 5700 SVENBORG - DENMARK</v>
          </cell>
          <cell r="M2386" t="str">
            <v>UFFICIO ACQUISTI</v>
          </cell>
          <cell r="N2386" t="str">
            <v>+45 25739751</v>
          </cell>
          <cell r="P2386" t="str">
            <v>kontakt@stormflodssikring.dk</v>
          </cell>
          <cell r="R2386" t="str">
            <v>BANK TRANSFER, ON THE DATE OF OUR ORDER CONFIRMATION</v>
          </cell>
          <cell r="X2386">
            <v>0</v>
          </cell>
          <cell r="AB2386">
            <v>0</v>
          </cell>
          <cell r="AC2386">
            <v>0</v>
          </cell>
          <cell r="AD2386">
            <v>0</v>
          </cell>
          <cell r="AE2386">
            <v>0</v>
          </cell>
          <cell r="AF2386">
            <v>0</v>
          </cell>
          <cell r="AG2386">
            <v>0</v>
          </cell>
          <cell r="AH2386">
            <v>0</v>
          </cell>
          <cell r="AI2386">
            <v>0</v>
          </cell>
          <cell r="AJ2386">
            <v>0</v>
          </cell>
          <cell r="AK2386">
            <v>0</v>
          </cell>
          <cell r="AL2386">
            <v>0</v>
          </cell>
          <cell r="AM2386">
            <v>0</v>
          </cell>
          <cell r="AN2386">
            <v>0</v>
          </cell>
          <cell r="AO2386">
            <v>0</v>
          </cell>
          <cell r="AP2386">
            <v>0</v>
          </cell>
          <cell r="AQ2386">
            <v>0</v>
          </cell>
          <cell r="AR2386">
            <v>0</v>
          </cell>
          <cell r="AS2386">
            <v>0</v>
          </cell>
          <cell r="AU2386">
            <v>0.72</v>
          </cell>
          <cell r="AV2386">
            <v>20</v>
          </cell>
          <cell r="AZ2386">
            <v>0</v>
          </cell>
          <cell r="BA2386">
            <v>0</v>
          </cell>
        </row>
        <row r="2387">
          <cell r="A2387" t="str">
            <v>STUDIO DI NGEGNERIA SCIONI &amp; SCIONI</v>
          </cell>
          <cell r="B2387" t="str">
            <v>SOLO BIGLIETTO DA VISITA DISTRIBUTORI - RIVENDITORE. ACQUASTOP 05/12 SONO NEL PUNTO PIU' PERICOLOSO DELLA SARDEGNA. NON CHIAMARLO PIU'. E' DISTRIBUTORE/RAPPRESENTANTE PER CAGLIARI SE NON TUTTA LA SARDEGNA! E' fornitore di Acqua e Sapone e lavora per tutta la Sardegna!</v>
          </cell>
          <cell r="D2387" t="str">
            <v>VIA BALILLA, 2/4/6 ANG.PIAZZA ITALIA</v>
          </cell>
          <cell r="E2387" t="str">
            <v>09134</v>
          </cell>
          <cell r="F2387" t="str">
            <v>PIRRI</v>
          </cell>
          <cell r="G2387" t="str">
            <v>CA</v>
          </cell>
          <cell r="H2387" t="str">
            <v>ITALIA</v>
          </cell>
          <cell r="M2387" t="str">
            <v>UFFICIO ACQUISTI</v>
          </cell>
          <cell r="N2387" t="str">
            <v>070 513864</v>
          </cell>
          <cell r="O2387" t="str">
            <v>349 2900391 ING.ANDREA MARTIN SCIONI</v>
          </cell>
          <cell r="P2387" t="str">
            <v>info@casaenergia.sardegna.it</v>
          </cell>
          <cell r="R2387" t="str">
            <v>BONIFICO BANCARIO, ALLA DATA DELLA NOSTRA CONFERMA D'ORDINE</v>
          </cell>
          <cell r="X2387">
            <v>0.25</v>
          </cell>
          <cell r="Y2387">
            <v>-0.04</v>
          </cell>
          <cell r="AB2387">
            <v>0.25</v>
          </cell>
          <cell r="AC2387">
            <v>0.25</v>
          </cell>
          <cell r="AD2387">
            <v>0.25</v>
          </cell>
          <cell r="AE2387">
            <v>0.25</v>
          </cell>
          <cell r="AF2387">
            <v>0.25</v>
          </cell>
          <cell r="AG2387">
            <v>0.25</v>
          </cell>
          <cell r="AH2387">
            <v>0.25</v>
          </cell>
          <cell r="AI2387">
            <v>0.25</v>
          </cell>
          <cell r="AJ2387">
            <v>0.25</v>
          </cell>
          <cell r="AK2387">
            <v>0.25</v>
          </cell>
          <cell r="AL2387">
            <v>0.25</v>
          </cell>
          <cell r="AM2387">
            <v>0.25</v>
          </cell>
          <cell r="AN2387">
            <v>0.25</v>
          </cell>
          <cell r="AO2387">
            <v>0.25</v>
          </cell>
          <cell r="AP2387">
            <v>0.25</v>
          </cell>
          <cell r="AQ2387">
            <v>0.25</v>
          </cell>
          <cell r="AR2387">
            <v>0.25</v>
          </cell>
          <cell r="AS2387">
            <v>0.25</v>
          </cell>
          <cell r="AT2387">
            <v>-0.04</v>
          </cell>
          <cell r="AU2387">
            <v>0.92</v>
          </cell>
          <cell r="AV2387">
            <v>20</v>
          </cell>
          <cell r="AZ2387">
            <v>0.25</v>
          </cell>
          <cell r="BA2387">
            <v>0.25</v>
          </cell>
        </row>
        <row r="2388">
          <cell r="A2388" t="str">
            <v>STUDIO INFISSI SAS</v>
          </cell>
          <cell r="D2388" t="str">
            <v>CORSO CAIROLI 39</v>
          </cell>
          <cell r="E2388" t="str">
            <v>27100</v>
          </cell>
          <cell r="F2388" t="str">
            <v>PAVIA</v>
          </cell>
          <cell r="G2388" t="str">
            <v>PV</v>
          </cell>
          <cell r="H2388" t="str">
            <v>ITALIA</v>
          </cell>
          <cell r="J2388" t="str">
            <v>01512960186</v>
          </cell>
          <cell r="M2388" t="str">
            <v>UFFICIO ACQUISTI</v>
          </cell>
          <cell r="N2388" t="str">
            <v>0382 20325</v>
          </cell>
          <cell r="R2388" t="str">
            <v>BONIFICO BANCARIO, ALLA DATA DELLA NOSTRA CONFERMA D'ORDINE</v>
          </cell>
          <cell r="X2388">
            <v>0.25</v>
          </cell>
          <cell r="Y2388">
            <v>-0.04</v>
          </cell>
          <cell r="AB2388">
            <v>0.25</v>
          </cell>
          <cell r="AC2388">
            <v>0.25</v>
          </cell>
          <cell r="AD2388">
            <v>0.25</v>
          </cell>
          <cell r="AE2388">
            <v>0.25</v>
          </cell>
          <cell r="AF2388">
            <v>0.25</v>
          </cell>
          <cell r="AG2388">
            <v>0.25</v>
          </cell>
          <cell r="AH2388">
            <v>0.25</v>
          </cell>
          <cell r="AI2388">
            <v>0.25</v>
          </cell>
          <cell r="AJ2388">
            <v>0.25</v>
          </cell>
          <cell r="AK2388">
            <v>0.25</v>
          </cell>
          <cell r="AL2388">
            <v>0.25</v>
          </cell>
          <cell r="AM2388">
            <v>0.25</v>
          </cell>
          <cell r="AN2388">
            <v>0.25</v>
          </cell>
          <cell r="AO2388">
            <v>0.25</v>
          </cell>
          <cell r="AP2388">
            <v>0.25</v>
          </cell>
          <cell r="AQ2388">
            <v>0.25</v>
          </cell>
          <cell r="AR2388">
            <v>0.25</v>
          </cell>
          <cell r="AS2388">
            <v>0.25</v>
          </cell>
          <cell r="AT2388">
            <v>-0.04</v>
          </cell>
          <cell r="AU2388">
            <v>0.92</v>
          </cell>
          <cell r="AV2388">
            <v>20</v>
          </cell>
          <cell r="AZ2388">
            <v>0.25</v>
          </cell>
          <cell r="BA2388">
            <v>0.25</v>
          </cell>
        </row>
        <row r="2389">
          <cell r="A2389" t="str">
            <v>STUDIO TECNICO ASSOCIATO</v>
          </cell>
          <cell r="D2389" t="str">
            <v>VIA CABOTO 58</v>
          </cell>
          <cell r="E2389">
            <v>47042</v>
          </cell>
          <cell r="F2389" t="str">
            <v>CESENATICO</v>
          </cell>
          <cell r="G2389" t="str">
            <v>FC</v>
          </cell>
          <cell r="H2389" t="str">
            <v>ITALIA</v>
          </cell>
          <cell r="J2389" t="str">
            <v>03698470402</v>
          </cell>
          <cell r="M2389" t="str">
            <v>UFFICIO ACQUISTI</v>
          </cell>
          <cell r="N2389" t="str">
            <v>0547 672044</v>
          </cell>
          <cell r="P2389" t="str">
            <v>info@studio3mv.it</v>
          </cell>
          <cell r="R2389" t="str">
            <v>BONIFICO BANCARIO, ALLA DATA DELLA NOSTRA CONFERMA D'ORDINE</v>
          </cell>
          <cell r="X2389">
            <v>0.25</v>
          </cell>
          <cell r="Y2389">
            <v>-0.04</v>
          </cell>
          <cell r="AB2389">
            <v>0.25</v>
          </cell>
          <cell r="AC2389">
            <v>0.25</v>
          </cell>
          <cell r="AD2389">
            <v>0.25</v>
          </cell>
          <cell r="AE2389">
            <v>0.25</v>
          </cell>
          <cell r="AF2389">
            <v>0.25</v>
          </cell>
          <cell r="AG2389">
            <v>0.25</v>
          </cell>
          <cell r="AH2389">
            <v>0.25</v>
          </cell>
          <cell r="AI2389">
            <v>0.25</v>
          </cell>
          <cell r="AJ2389">
            <v>0.25</v>
          </cell>
          <cell r="AK2389">
            <v>0.25</v>
          </cell>
          <cell r="AL2389">
            <v>0.25</v>
          </cell>
          <cell r="AM2389">
            <v>0.25</v>
          </cell>
          <cell r="AN2389">
            <v>0.25</v>
          </cell>
          <cell r="AO2389">
            <v>0.25</v>
          </cell>
          <cell r="AP2389">
            <v>0.25</v>
          </cell>
          <cell r="AQ2389">
            <v>0.25</v>
          </cell>
          <cell r="AR2389">
            <v>0.25</v>
          </cell>
          <cell r="AS2389">
            <v>0.25</v>
          </cell>
          <cell r="AT2389">
            <v>-0.04</v>
          </cell>
          <cell r="AU2389">
            <v>0.92</v>
          </cell>
          <cell r="AV2389">
            <v>20</v>
          </cell>
          <cell r="AZ2389">
            <v>0.25</v>
          </cell>
          <cell r="BA2389">
            <v>0.25</v>
          </cell>
        </row>
        <row r="2390">
          <cell r="A2390" t="str">
            <v>STUDIO ZANI ARCHITETTURA</v>
          </cell>
          <cell r="D2390" t="str">
            <v>PIAZZA DOMENICO CHIODO 24</v>
          </cell>
          <cell r="E2390">
            <v>19121</v>
          </cell>
          <cell r="F2390" t="str">
            <v>LA SPEZIA</v>
          </cell>
          <cell r="G2390" t="str">
            <v>SP</v>
          </cell>
          <cell r="H2390" t="str">
            <v>ITALIA</v>
          </cell>
          <cell r="M2390" t="str">
            <v>UFFICIO ACQUISTI</v>
          </cell>
          <cell r="N2390" t="str">
            <v>0187 777071</v>
          </cell>
          <cell r="O2390" t="str">
            <v>3388840953</v>
          </cell>
          <cell r="P2390" t="str">
            <v>francesca.zani@libero.it</v>
          </cell>
          <cell r="R2390" t="str">
            <v>BONIFICO BANCARIO, ALLA DATA DELLA NOSTRA CONFERMA D'ORDINE</v>
          </cell>
          <cell r="X2390">
            <v>0.25</v>
          </cell>
          <cell r="Y2390">
            <v>-0.04</v>
          </cell>
          <cell r="AB2390">
            <v>0.25</v>
          </cell>
          <cell r="AC2390">
            <v>0.25</v>
          </cell>
          <cell r="AD2390">
            <v>0.25</v>
          </cell>
          <cell r="AE2390">
            <v>0.25</v>
          </cell>
          <cell r="AF2390">
            <v>0.25</v>
          </cell>
          <cell r="AG2390">
            <v>0.25</v>
          </cell>
          <cell r="AH2390">
            <v>0.25</v>
          </cell>
          <cell r="AI2390">
            <v>0.25</v>
          </cell>
          <cell r="AJ2390">
            <v>0.25</v>
          </cell>
          <cell r="AK2390">
            <v>0.25</v>
          </cell>
          <cell r="AL2390">
            <v>0.25</v>
          </cell>
          <cell r="AM2390">
            <v>0.25</v>
          </cell>
          <cell r="AN2390">
            <v>0.25</v>
          </cell>
          <cell r="AO2390">
            <v>0.25</v>
          </cell>
          <cell r="AP2390">
            <v>0.25</v>
          </cell>
          <cell r="AQ2390">
            <v>0.25</v>
          </cell>
          <cell r="AR2390">
            <v>0.25</v>
          </cell>
          <cell r="AS2390">
            <v>0.25</v>
          </cell>
          <cell r="AT2390">
            <v>-0.04</v>
          </cell>
          <cell r="AU2390">
            <v>0.92</v>
          </cell>
          <cell r="AV2390">
            <v>20</v>
          </cell>
          <cell r="AZ2390">
            <v>0.25</v>
          </cell>
          <cell r="BA2390">
            <v>0.25</v>
          </cell>
        </row>
        <row r="2391">
          <cell r="A2391" t="str">
            <v>STUDIOMETAL</v>
          </cell>
          <cell r="B2391" t="str">
            <v>ANDREA DI GIACOMO (CI RIFLETTE) 02/03/23 DICE CHE PRIMA AVEVA RICHIESTE MA ORA NO E CHE, COMUNQUE, LI ATTORNO CE N'E' GIA' UNO CHE SE NE OCCUPA MA NON SI RICORDA IL NOME. NON E' INTERESSATO</v>
          </cell>
          <cell r="D2391" t="str">
            <v xml:space="preserve">VIA SCIESA, 3 </v>
          </cell>
          <cell r="F2391" t="str">
            <v>MONTESILVANO</v>
          </cell>
          <cell r="G2391" t="str">
            <v>PE</v>
          </cell>
          <cell r="H2391" t="str">
            <v>ITALIA</v>
          </cell>
          <cell r="J2391" t="str">
            <v>02117210688</v>
          </cell>
          <cell r="M2391" t="str">
            <v>UFFICIO ACQUISTI</v>
          </cell>
          <cell r="O2391" t="str">
            <v>327 4647436</v>
          </cell>
          <cell r="P2391" t="str">
            <v>infostudiometal@gmail.com</v>
          </cell>
          <cell r="R2391" t="str">
            <v>BONIFICO BANCARIO, ALLA DATA DELLA NOSTRA CONFERMA D'ORDINE</v>
          </cell>
          <cell r="X2391">
            <v>0.25</v>
          </cell>
          <cell r="Y2391">
            <v>-0.04</v>
          </cell>
          <cell r="AB2391">
            <v>0.25</v>
          </cell>
          <cell r="AC2391">
            <v>0.25</v>
          </cell>
          <cell r="AD2391">
            <v>0.25</v>
          </cell>
          <cell r="AE2391">
            <v>0.25</v>
          </cell>
          <cell r="AF2391">
            <v>0.25</v>
          </cell>
          <cell r="AG2391">
            <v>0.25</v>
          </cell>
          <cell r="AH2391">
            <v>0.25</v>
          </cell>
          <cell r="AI2391">
            <v>0.25</v>
          </cell>
          <cell r="AJ2391">
            <v>0.25</v>
          </cell>
          <cell r="AK2391">
            <v>0.25</v>
          </cell>
          <cell r="AL2391">
            <v>0.25</v>
          </cell>
          <cell r="AM2391">
            <v>0.25</v>
          </cell>
          <cell r="AN2391">
            <v>0.25</v>
          </cell>
          <cell r="AO2391">
            <v>0.25</v>
          </cell>
          <cell r="AP2391">
            <v>0.25</v>
          </cell>
          <cell r="AQ2391">
            <v>0.25</v>
          </cell>
          <cell r="AR2391">
            <v>0.25</v>
          </cell>
          <cell r="AS2391">
            <v>0.25</v>
          </cell>
          <cell r="AT2391">
            <v>-0.04</v>
          </cell>
          <cell r="AU2391">
            <v>0.92</v>
          </cell>
          <cell r="AV2391">
            <v>20</v>
          </cell>
          <cell r="AZ2391">
            <v>0.25</v>
          </cell>
          <cell r="BA2391">
            <v>0.25</v>
          </cell>
        </row>
        <row r="2392">
          <cell r="A2392" t="str">
            <v>STYL EDIL INFISSI SRL</v>
          </cell>
          <cell r="D2392" t="str">
            <v>VIA PIVA, 9</v>
          </cell>
          <cell r="E2392">
            <v>46025</v>
          </cell>
          <cell r="F2392" t="str">
            <v>POGGIO RUSCO</v>
          </cell>
          <cell r="G2392" t="str">
            <v>MN</v>
          </cell>
          <cell r="H2392" t="str">
            <v>ITALIA</v>
          </cell>
          <cell r="I2392" t="str">
            <v>0127450201</v>
          </cell>
          <cell r="J2392" t="str">
            <v>0127450201</v>
          </cell>
          <cell r="M2392" t="str">
            <v>UFFICIO ACQUISTI</v>
          </cell>
          <cell r="N2392" t="str">
            <v>0386 740215</v>
          </cell>
          <cell r="O2392" t="str">
            <v>328 4861371</v>
          </cell>
          <cell r="P2392" t="str">
            <v>styledilinfissi@tin.it</v>
          </cell>
          <cell r="R2392" t="str">
            <v>BONIFICO BANCARIO, ALLA DATA DELLA NOSTRA CONFERMA D'ORDINE</v>
          </cell>
          <cell r="X2392">
            <v>0.25</v>
          </cell>
          <cell r="Y2392">
            <v>-0.04</v>
          </cell>
          <cell r="AB2392">
            <v>0.25</v>
          </cell>
          <cell r="AC2392">
            <v>0.25</v>
          </cell>
          <cell r="AD2392">
            <v>0.25</v>
          </cell>
          <cell r="AE2392">
            <v>0.25</v>
          </cell>
          <cell r="AF2392">
            <v>0.25</v>
          </cell>
          <cell r="AG2392">
            <v>0.25</v>
          </cell>
          <cell r="AH2392">
            <v>0.25</v>
          </cell>
          <cell r="AI2392">
            <v>0.25</v>
          </cell>
          <cell r="AJ2392">
            <v>0.25</v>
          </cell>
          <cell r="AK2392">
            <v>0.25</v>
          </cell>
          <cell r="AL2392">
            <v>0.25</v>
          </cell>
          <cell r="AM2392">
            <v>0.25</v>
          </cell>
          <cell r="AN2392">
            <v>0.25</v>
          </cell>
          <cell r="AO2392">
            <v>0.25</v>
          </cell>
          <cell r="AP2392">
            <v>0.25</v>
          </cell>
          <cell r="AQ2392">
            <v>0.25</v>
          </cell>
          <cell r="AR2392">
            <v>0.25</v>
          </cell>
          <cell r="AS2392">
            <v>0.25</v>
          </cell>
          <cell r="AT2392">
            <v>-0.04</v>
          </cell>
          <cell r="AU2392">
            <v>0.92</v>
          </cell>
          <cell r="AV2392">
            <v>20</v>
          </cell>
          <cell r="AZ2392">
            <v>0.25</v>
          </cell>
          <cell r="BA2392">
            <v>0.25</v>
          </cell>
        </row>
        <row r="2393">
          <cell r="A2393" t="str">
            <v xml:space="preserve">STYL SERRAMENTI SRL </v>
          </cell>
          <cell r="D2393" t="str">
            <v>VIA COLLE D'ALBA DI LEVANTE SNC</v>
          </cell>
          <cell r="E2393" t="str">
            <v>04010</v>
          </cell>
          <cell r="F2393" t="str">
            <v>BORGO SAN DONATO</v>
          </cell>
          <cell r="G2393" t="str">
            <v>LT</v>
          </cell>
          <cell r="H2393" t="str">
            <v>ITALIA</v>
          </cell>
          <cell r="M2393" t="str">
            <v>UFFICIO ACQUISTI</v>
          </cell>
          <cell r="N2393" t="str">
            <v>0773 50870</v>
          </cell>
          <cell r="O2393" t="str">
            <v>335 6199447</v>
          </cell>
          <cell r="P2393" t="str">
            <v>info@stylserramenti.it</v>
          </cell>
          <cell r="R2393" t="str">
            <v>BONIFICO BANCARIO, ALLA DATA DELLA NOSTRA CONFERMA D'ORDINE</v>
          </cell>
          <cell r="X2393">
            <v>0.25</v>
          </cell>
          <cell r="Y2393">
            <v>-0.04</v>
          </cell>
          <cell r="AB2393">
            <v>0.25</v>
          </cell>
          <cell r="AC2393">
            <v>0.25</v>
          </cell>
          <cell r="AD2393">
            <v>0.25</v>
          </cell>
          <cell r="AE2393">
            <v>0.25</v>
          </cell>
          <cell r="AF2393">
            <v>0.25</v>
          </cell>
          <cell r="AG2393">
            <v>0.25</v>
          </cell>
          <cell r="AH2393">
            <v>0.25</v>
          </cell>
          <cell r="AI2393">
            <v>0.25</v>
          </cell>
          <cell r="AJ2393">
            <v>0.25</v>
          </cell>
          <cell r="AK2393">
            <v>0.25</v>
          </cell>
          <cell r="AL2393">
            <v>0.25</v>
          </cell>
          <cell r="AM2393">
            <v>0.25</v>
          </cell>
          <cell r="AN2393">
            <v>0.25</v>
          </cell>
          <cell r="AO2393">
            <v>0.25</v>
          </cell>
          <cell r="AP2393">
            <v>0.25</v>
          </cell>
          <cell r="AQ2393">
            <v>0.25</v>
          </cell>
          <cell r="AR2393">
            <v>0.25</v>
          </cell>
          <cell r="AS2393">
            <v>0.25</v>
          </cell>
          <cell r="AT2393">
            <v>-0.04</v>
          </cell>
          <cell r="AU2393">
            <v>0.92</v>
          </cell>
          <cell r="AV2393">
            <v>20</v>
          </cell>
          <cell r="AZ2393">
            <v>0.25</v>
          </cell>
          <cell r="BA2393">
            <v>0.25</v>
          </cell>
        </row>
        <row r="2394">
          <cell r="A2394" t="str">
            <v>STYLE SERRAMENTI</v>
          </cell>
          <cell r="B2394" t="str">
            <v>BERGONZI GEOM LUCA</v>
          </cell>
          <cell r="D2394" t="str">
            <v>STRADA STATALE ROMEA 45</v>
          </cell>
          <cell r="E2394" t="str">
            <v>44020</v>
          </cell>
          <cell r="F2394" t="str">
            <v>SAN GIUSEPPE COMACCHIO</v>
          </cell>
          <cell r="G2394" t="str">
            <v>FE</v>
          </cell>
          <cell r="H2394" t="str">
            <v>ITALIA</v>
          </cell>
          <cell r="M2394" t="str">
            <v>UFFICIO ACQUISTI</v>
          </cell>
          <cell r="N2394" t="str">
            <v>0533 307263</v>
          </cell>
          <cell r="O2394" t="str">
            <v>391 3669400</v>
          </cell>
          <cell r="P2394" t="str">
            <v>styleserramenti@libero.it</v>
          </cell>
          <cell r="R2394" t="str">
            <v>BONIFICO BANCARIO, ALLA DATA DELLA NOSTRA CONFERMA D'ORDINE</v>
          </cell>
          <cell r="X2394">
            <v>0.25</v>
          </cell>
          <cell r="Y2394">
            <v>-0.04</v>
          </cell>
          <cell r="AB2394">
            <v>0.25</v>
          </cell>
          <cell r="AC2394">
            <v>0.25</v>
          </cell>
          <cell r="AD2394">
            <v>0.25</v>
          </cell>
          <cell r="AE2394">
            <v>0.25</v>
          </cell>
          <cell r="AF2394">
            <v>0.25</v>
          </cell>
          <cell r="AG2394">
            <v>0.25</v>
          </cell>
          <cell r="AH2394">
            <v>0.25</v>
          </cell>
          <cell r="AI2394">
            <v>0.25</v>
          </cell>
          <cell r="AJ2394">
            <v>0.25</v>
          </cell>
          <cell r="AK2394">
            <v>0.25</v>
          </cell>
          <cell r="AL2394">
            <v>0.25</v>
          </cell>
          <cell r="AM2394">
            <v>0.25</v>
          </cell>
          <cell r="AN2394">
            <v>0.25</v>
          </cell>
          <cell r="AO2394">
            <v>0.25</v>
          </cell>
          <cell r="AP2394">
            <v>0.25</v>
          </cell>
          <cell r="AQ2394">
            <v>0.25</v>
          </cell>
          <cell r="AR2394">
            <v>0.25</v>
          </cell>
          <cell r="AS2394">
            <v>0.25</v>
          </cell>
          <cell r="AT2394">
            <v>-0.04</v>
          </cell>
          <cell r="AU2394">
            <v>0.92</v>
          </cell>
          <cell r="AV2394">
            <v>20</v>
          </cell>
          <cell r="AZ2394">
            <v>0.25</v>
          </cell>
          <cell r="BA2394">
            <v>0.25</v>
          </cell>
        </row>
        <row r="2395">
          <cell r="A2395" t="str">
            <v xml:space="preserve">STYLEINFISSI SNC DI PALMUCCI </v>
          </cell>
          <cell r="D2395" t="str">
            <v>VIA VECCHIA PORTO 1920</v>
          </cell>
          <cell r="E2395" t="str">
            <v>63811</v>
          </cell>
          <cell r="F2395" t="str">
            <v>SANT'ELPIDO A MARE</v>
          </cell>
          <cell r="G2395" t="str">
            <v>FM</v>
          </cell>
          <cell r="H2395" t="str">
            <v>ITALIA</v>
          </cell>
          <cell r="J2395" t="str">
            <v>01704730447</v>
          </cell>
          <cell r="M2395" t="str">
            <v>UFFICIO ACQUISTI</v>
          </cell>
          <cell r="N2395" t="str">
            <v>0734 859200</v>
          </cell>
          <cell r="O2395" t="str">
            <v>335 5346429</v>
          </cell>
          <cell r="P2395" t="str">
            <v>claudio@euromontaggisnc.eu</v>
          </cell>
          <cell r="R2395" t="str">
            <v>BONIFICO BANCARIO, ALLA DATA DELLA NOSTRA CONFERMA D'ORDINE</v>
          </cell>
          <cell r="X2395">
            <v>0.25</v>
          </cell>
          <cell r="Y2395">
            <v>-0.04</v>
          </cell>
          <cell r="AB2395">
            <v>0.25</v>
          </cell>
          <cell r="AC2395">
            <v>0.25</v>
          </cell>
          <cell r="AD2395">
            <v>0.25</v>
          </cell>
          <cell r="AE2395">
            <v>0.25</v>
          </cell>
          <cell r="AF2395">
            <v>0.25</v>
          </cell>
          <cell r="AG2395">
            <v>0.25</v>
          </cell>
          <cell r="AH2395">
            <v>0.25</v>
          </cell>
          <cell r="AI2395">
            <v>0.25</v>
          </cell>
          <cell r="AJ2395">
            <v>0.25</v>
          </cell>
          <cell r="AK2395">
            <v>0.25</v>
          </cell>
          <cell r="AL2395">
            <v>0.25</v>
          </cell>
          <cell r="AM2395">
            <v>0.25</v>
          </cell>
          <cell r="AN2395">
            <v>0.25</v>
          </cell>
          <cell r="AO2395">
            <v>0.25</v>
          </cell>
          <cell r="AP2395">
            <v>0.25</v>
          </cell>
          <cell r="AQ2395">
            <v>0.25</v>
          </cell>
          <cell r="AR2395">
            <v>0.25</v>
          </cell>
          <cell r="AS2395">
            <v>0.25</v>
          </cell>
          <cell r="AT2395">
            <v>-0.04</v>
          </cell>
          <cell r="AU2395">
            <v>0.92</v>
          </cell>
          <cell r="AV2395">
            <v>20</v>
          </cell>
          <cell r="AZ2395">
            <v>0.25</v>
          </cell>
          <cell r="BA2395">
            <v>0.25</v>
          </cell>
        </row>
        <row r="2396">
          <cell r="A2396" t="str">
            <v>SU FERRELLI DI DEMURTAS DAVIDE</v>
          </cell>
          <cell r="D2396" t="str">
            <v>ZONA INDUSTRIALE LOC.SAN PIETRO</v>
          </cell>
          <cell r="E2396" t="str">
            <v>08047</v>
          </cell>
          <cell r="F2396" t="str">
            <v>TERTENIA</v>
          </cell>
          <cell r="G2396" t="str">
            <v>NU</v>
          </cell>
          <cell r="H2396" t="str">
            <v>ITALIA</v>
          </cell>
          <cell r="J2396" t="str">
            <v>01543530917</v>
          </cell>
          <cell r="M2396" t="str">
            <v>UFFICIO ACQUISTI</v>
          </cell>
          <cell r="O2396" t="str">
            <v>329 7383797   328 0607217</v>
          </cell>
          <cell r="P2396" t="str">
            <v>ditta.suferrelli@hotmail.it</v>
          </cell>
          <cell r="R2396" t="str">
            <v>BONIFICO BANCARIO, ALLA DATA DELLA NOSTRA CONFERMA D'ORDINE</v>
          </cell>
          <cell r="X2396">
            <v>0.2</v>
          </cell>
          <cell r="Y2396">
            <v>-0.04</v>
          </cell>
          <cell r="AB2396">
            <v>0.2</v>
          </cell>
          <cell r="AC2396">
            <v>0.2</v>
          </cell>
          <cell r="AD2396">
            <v>0.2</v>
          </cell>
          <cell r="AE2396">
            <v>0.2</v>
          </cell>
          <cell r="AF2396">
            <v>0.2</v>
          </cell>
          <cell r="AG2396">
            <v>0.2</v>
          </cell>
          <cell r="AH2396">
            <v>0.2</v>
          </cell>
          <cell r="AI2396">
            <v>0.2</v>
          </cell>
          <cell r="AJ2396">
            <v>0.2</v>
          </cell>
          <cell r="AK2396">
            <v>0.2</v>
          </cell>
          <cell r="AL2396">
            <v>0.2</v>
          </cell>
          <cell r="AM2396">
            <v>0.2</v>
          </cell>
          <cell r="AN2396">
            <v>0.2</v>
          </cell>
          <cell r="AO2396">
            <v>0.2</v>
          </cell>
          <cell r="AP2396">
            <v>0.2</v>
          </cell>
          <cell r="AQ2396">
            <v>0.2</v>
          </cell>
          <cell r="AR2396">
            <v>0.2</v>
          </cell>
          <cell r="AS2396">
            <v>0.2</v>
          </cell>
          <cell r="AT2396">
            <v>-0.04</v>
          </cell>
          <cell r="AU2396">
            <v>0.92</v>
          </cell>
          <cell r="AV2396">
            <v>20</v>
          </cell>
          <cell r="AZ2396">
            <v>0.2</v>
          </cell>
          <cell r="BA2396">
            <v>0.2</v>
          </cell>
        </row>
        <row r="2397">
          <cell r="A2397" t="str">
            <v>SU FERRERI DI PORRU PIERANGELO &amp; GIULIANO</v>
          </cell>
          <cell r="B2397" t="str">
            <v>SOLO BIGLIETTO DA VISITA</v>
          </cell>
          <cell r="D2397" t="str">
            <v>ZONA PIP LOTTO N.12</v>
          </cell>
          <cell r="E2397" t="str">
            <v>09025</v>
          </cell>
          <cell r="F2397" t="str">
            <v>SANLURI</v>
          </cell>
          <cell r="G2397" t="str">
            <v>CA</v>
          </cell>
          <cell r="H2397" t="str">
            <v>ITALIA</v>
          </cell>
          <cell r="M2397" t="str">
            <v>UFFICIO ACQUISTI</v>
          </cell>
          <cell r="N2397" t="str">
            <v>070 7549452</v>
          </cell>
          <cell r="O2397" t="str">
            <v>347 6063070 PIERO   3409649768 GIULIANO</v>
          </cell>
          <cell r="R2397" t="str">
            <v>BONIFICO BANCARIO, ALLA DATA DELLA NOSTRA CONFERMA D'ORDINE</v>
          </cell>
          <cell r="X2397">
            <v>0.25</v>
          </cell>
          <cell r="Y2397">
            <v>-0.04</v>
          </cell>
          <cell r="AB2397">
            <v>0.25</v>
          </cell>
          <cell r="AC2397">
            <v>0.25</v>
          </cell>
          <cell r="AD2397">
            <v>0.25</v>
          </cell>
          <cell r="AE2397">
            <v>0.25</v>
          </cell>
          <cell r="AF2397">
            <v>0.25</v>
          </cell>
          <cell r="AG2397">
            <v>0.25</v>
          </cell>
          <cell r="AH2397">
            <v>0.25</v>
          </cell>
          <cell r="AI2397">
            <v>0.25</v>
          </cell>
          <cell r="AJ2397">
            <v>0.25</v>
          </cell>
          <cell r="AK2397">
            <v>0.25</v>
          </cell>
          <cell r="AL2397">
            <v>0.25</v>
          </cell>
          <cell r="AM2397">
            <v>0.25</v>
          </cell>
          <cell r="AN2397">
            <v>0.25</v>
          </cell>
          <cell r="AO2397">
            <v>0.25</v>
          </cell>
          <cell r="AP2397">
            <v>0.25</v>
          </cell>
          <cell r="AQ2397">
            <v>0.25</v>
          </cell>
          <cell r="AR2397">
            <v>0.25</v>
          </cell>
          <cell r="AS2397">
            <v>0.25</v>
          </cell>
          <cell r="AT2397">
            <v>-0.04</v>
          </cell>
          <cell r="AU2397">
            <v>0.92</v>
          </cell>
          <cell r="AV2397">
            <v>20</v>
          </cell>
          <cell r="AZ2397">
            <v>0.25</v>
          </cell>
          <cell r="BA2397">
            <v>0.25</v>
          </cell>
        </row>
        <row r="2398">
          <cell r="A2398" t="str">
            <v>SU.MA. SNC</v>
          </cell>
          <cell r="D2398" t="str">
            <v>VIA A. VIVALDI, 3</v>
          </cell>
          <cell r="E2398" t="str">
            <v>47814</v>
          </cell>
          <cell r="F2398" t="str">
            <v>BELLARIA IGEA MARINA</v>
          </cell>
          <cell r="G2398" t="str">
            <v>RN</v>
          </cell>
          <cell r="H2398" t="str">
            <v>ITALIA</v>
          </cell>
          <cell r="J2398" t="str">
            <v>02149970408</v>
          </cell>
          <cell r="M2398" t="str">
            <v>UFFICIO ACQUISTI</v>
          </cell>
          <cell r="N2398" t="str">
            <v>0541 343122</v>
          </cell>
          <cell r="O2398" t="str">
            <v>338 9494676 SIG. GINO</v>
          </cell>
          <cell r="P2398" t="str">
            <v>ginosucci64@gmail.com</v>
          </cell>
          <cell r="R2398" t="str">
            <v>BONIFICO BANCARIO, ALLA DATA DELLA NOSTRA CONFERMA D'ORDINE</v>
          </cell>
          <cell r="X2398">
            <v>0.25</v>
          </cell>
          <cell r="Y2398">
            <v>-0.04</v>
          </cell>
          <cell r="AB2398">
            <v>0.25</v>
          </cell>
          <cell r="AC2398">
            <v>0.25</v>
          </cell>
          <cell r="AD2398">
            <v>0.25</v>
          </cell>
          <cell r="AE2398">
            <v>0.25</v>
          </cell>
          <cell r="AF2398">
            <v>0.25</v>
          </cell>
          <cell r="AG2398">
            <v>0.25</v>
          </cell>
          <cell r="AH2398">
            <v>0.25</v>
          </cell>
          <cell r="AI2398">
            <v>0.25</v>
          </cell>
          <cell r="AJ2398">
            <v>0.25</v>
          </cell>
          <cell r="AK2398">
            <v>0.25</v>
          </cell>
          <cell r="AL2398">
            <v>0.25</v>
          </cell>
          <cell r="AM2398">
            <v>0.25</v>
          </cell>
          <cell r="AN2398">
            <v>0.25</v>
          </cell>
          <cell r="AO2398">
            <v>0.25</v>
          </cell>
          <cell r="AP2398">
            <v>0.25</v>
          </cell>
          <cell r="AQ2398">
            <v>0.25</v>
          </cell>
          <cell r="AR2398">
            <v>0.25</v>
          </cell>
          <cell r="AS2398">
            <v>0.25</v>
          </cell>
          <cell r="AT2398">
            <v>-0.04</v>
          </cell>
          <cell r="AU2398">
            <v>0.88</v>
          </cell>
          <cell r="AV2398">
            <v>20</v>
          </cell>
          <cell r="AZ2398">
            <v>0.25</v>
          </cell>
          <cell r="BA2398">
            <v>0.25</v>
          </cell>
        </row>
        <row r="2399">
          <cell r="A2399" t="str">
            <v>SUD SERRAMENTI DI LISO MARIO ANGELO E C. SNC</v>
          </cell>
          <cell r="B2399" t="str">
            <v>MICHELE SCAMARCIO</v>
          </cell>
          <cell r="D2399" t="str">
            <v>VIA SCIPIONE L'AFRICANO 9</v>
          </cell>
          <cell r="E2399" t="str">
            <v>76123</v>
          </cell>
          <cell r="F2399" t="str">
            <v>ANDRIA</v>
          </cell>
          <cell r="G2399" t="str">
            <v>BT</v>
          </cell>
          <cell r="H2399" t="str">
            <v>ITALIA</v>
          </cell>
          <cell r="J2399" t="str">
            <v>04351130721</v>
          </cell>
          <cell r="M2399" t="str">
            <v>UFFICIO ACQUISTI</v>
          </cell>
          <cell r="N2399" t="str">
            <v>0883 545487</v>
          </cell>
          <cell r="P2399" t="str">
            <v>info@sudserramenti.com</v>
          </cell>
          <cell r="R2399" t="str">
            <v>BONIFICO BANCARIO, ALLA DATA DELLA NOSTRA CONFERMA D'ORDINE</v>
          </cell>
          <cell r="X2399">
            <v>0.25</v>
          </cell>
          <cell r="Y2399">
            <v>-0.04</v>
          </cell>
          <cell r="AB2399">
            <v>0.25</v>
          </cell>
          <cell r="AC2399">
            <v>0.25</v>
          </cell>
          <cell r="AD2399">
            <v>0.25</v>
          </cell>
          <cell r="AE2399">
            <v>0.25</v>
          </cell>
          <cell r="AF2399">
            <v>0.25</v>
          </cell>
          <cell r="AG2399">
            <v>0.25</v>
          </cell>
          <cell r="AH2399">
            <v>0.25</v>
          </cell>
          <cell r="AI2399">
            <v>0.25</v>
          </cell>
          <cell r="AJ2399">
            <v>0.25</v>
          </cell>
          <cell r="AK2399">
            <v>0.25</v>
          </cell>
          <cell r="AL2399">
            <v>0.25</v>
          </cell>
          <cell r="AM2399">
            <v>0.25</v>
          </cell>
          <cell r="AN2399">
            <v>0.25</v>
          </cell>
          <cell r="AO2399">
            <v>0.25</v>
          </cell>
          <cell r="AP2399">
            <v>0.25</v>
          </cell>
          <cell r="AQ2399">
            <v>0.25</v>
          </cell>
          <cell r="AR2399">
            <v>0.25</v>
          </cell>
          <cell r="AS2399">
            <v>0.25</v>
          </cell>
          <cell r="AT2399">
            <v>-0.04</v>
          </cell>
          <cell r="AU2399">
            <v>0.92</v>
          </cell>
          <cell r="AV2399">
            <v>20</v>
          </cell>
          <cell r="AZ2399">
            <v>0.25</v>
          </cell>
          <cell r="BA2399">
            <v>0.25</v>
          </cell>
        </row>
        <row r="2400">
          <cell r="A2400" t="str">
            <v>SUDINFISSI</v>
          </cell>
          <cell r="D2400" t="str">
            <v>VIA CIRCONVALLAZIONE</v>
          </cell>
          <cell r="E2400">
            <v>73010</v>
          </cell>
          <cell r="F2400" t="str">
            <v>PORTO CESAREO</v>
          </cell>
          <cell r="G2400" t="str">
            <v>LE</v>
          </cell>
          <cell r="H2400" t="str">
            <v>ITALIA</v>
          </cell>
          <cell r="I2400" t="str">
            <v>CZZGPP74H21C978K</v>
          </cell>
          <cell r="J2400" t="str">
            <v>04760240756</v>
          </cell>
          <cell r="M2400" t="str">
            <v>UFFICIO ACQUISTI</v>
          </cell>
          <cell r="O2400" t="str">
            <v>338 7709344</v>
          </cell>
          <cell r="R2400" t="str">
            <v>BONIFICO BANCARIO, ALLA DATA DELLA NOSTRA CONFERMA D'ORDINE</v>
          </cell>
          <cell r="X2400">
            <v>0.25</v>
          </cell>
          <cell r="Y2400">
            <v>-0.04</v>
          </cell>
          <cell r="AB2400">
            <v>0.25</v>
          </cell>
          <cell r="AC2400">
            <v>0.25</v>
          </cell>
          <cell r="AD2400">
            <v>0.25</v>
          </cell>
          <cell r="AE2400">
            <v>0.25</v>
          </cell>
          <cell r="AF2400">
            <v>0.25</v>
          </cell>
          <cell r="AG2400">
            <v>0.25</v>
          </cell>
          <cell r="AH2400">
            <v>0.25</v>
          </cell>
          <cell r="AI2400">
            <v>0.25</v>
          </cell>
          <cell r="AJ2400">
            <v>0.25</v>
          </cell>
          <cell r="AK2400">
            <v>0.25</v>
          </cell>
          <cell r="AL2400">
            <v>0.25</v>
          </cell>
          <cell r="AM2400">
            <v>0.25</v>
          </cell>
          <cell r="AN2400">
            <v>0.25</v>
          </cell>
          <cell r="AO2400">
            <v>0.25</v>
          </cell>
          <cell r="AP2400">
            <v>0.25</v>
          </cell>
          <cell r="AQ2400">
            <v>0.25</v>
          </cell>
          <cell r="AR2400">
            <v>0.25</v>
          </cell>
          <cell r="AS2400">
            <v>0.25</v>
          </cell>
          <cell r="AT2400">
            <v>-0.04</v>
          </cell>
          <cell r="AU2400">
            <v>0.92</v>
          </cell>
          <cell r="AV2400">
            <v>20</v>
          </cell>
          <cell r="AZ2400">
            <v>0.25</v>
          </cell>
          <cell r="BA2400">
            <v>0.25</v>
          </cell>
        </row>
        <row r="2401">
          <cell r="A2401" t="str">
            <v>SUMAR S.L.</v>
          </cell>
          <cell r="D2401" t="str">
            <v>AV.BRUSELAS D36-POL.IND.CABEZO BEAZA</v>
          </cell>
          <cell r="E2401" t="str">
            <v>30353</v>
          </cell>
          <cell r="F2401" t="str">
            <v>CARTAGENA</v>
          </cell>
          <cell r="G2401" t="str">
            <v>MURCIA</v>
          </cell>
          <cell r="H2401" t="str">
            <v>SPAGNA</v>
          </cell>
          <cell r="J2401" t="str">
            <v>ESB30452858</v>
          </cell>
          <cell r="K2401" t="str">
            <v>XXXXXXX</v>
          </cell>
          <cell r="M2401" t="str">
            <v>UFFICIO ACQUISTI</v>
          </cell>
          <cell r="N2401" t="str">
            <v>+34 968 504050</v>
          </cell>
          <cell r="O2401" t="str">
            <v>+34 629541853</v>
          </cell>
          <cell r="P2401" t="str">
            <v>sumar-sl@sumar-sl.es</v>
          </cell>
          <cell r="R2401" t="str">
            <v>TRANSFERENCIA BANCARIA, EN LA FECHA DE NUESTRA CONFIRMACIÓN DE PEDIDO</v>
          </cell>
          <cell r="X2401">
            <v>0</v>
          </cell>
          <cell r="Y2401">
            <v>0</v>
          </cell>
          <cell r="AB2401">
            <v>0</v>
          </cell>
          <cell r="AC2401">
            <v>0</v>
          </cell>
          <cell r="AD2401">
            <v>0</v>
          </cell>
          <cell r="AE2401">
            <v>0</v>
          </cell>
          <cell r="AF2401">
            <v>0</v>
          </cell>
          <cell r="AG2401">
            <v>0</v>
          </cell>
          <cell r="AH2401">
            <v>0</v>
          </cell>
          <cell r="AI2401">
            <v>0</v>
          </cell>
          <cell r="AJ2401">
            <v>0</v>
          </cell>
          <cell r="AK2401">
            <v>0</v>
          </cell>
          <cell r="AL2401">
            <v>0</v>
          </cell>
          <cell r="AM2401">
            <v>0</v>
          </cell>
          <cell r="AN2401">
            <v>0</v>
          </cell>
          <cell r="AO2401">
            <v>0</v>
          </cell>
          <cell r="AP2401">
            <v>0</v>
          </cell>
          <cell r="AQ2401">
            <v>0</v>
          </cell>
          <cell r="AR2401">
            <v>0</v>
          </cell>
          <cell r="AS2401">
            <v>0</v>
          </cell>
          <cell r="AT2401">
            <v>0</v>
          </cell>
          <cell r="AU2401">
            <v>0.87</v>
          </cell>
          <cell r="AV2401">
            <v>20</v>
          </cell>
          <cell r="AZ2401">
            <v>0</v>
          </cell>
          <cell r="BA2401">
            <v>0</v>
          </cell>
        </row>
        <row r="2402">
          <cell r="A2402" t="str">
            <v>SUNCINI SERRAMENTI SAS DI SUNCINI MARCO</v>
          </cell>
          <cell r="D2402" t="str">
            <v>VIA DELL'ARTIGIANATO, 2</v>
          </cell>
          <cell r="E2402" t="str">
            <v>44020</v>
          </cell>
          <cell r="F2402" t="str">
            <v>GORO</v>
          </cell>
          <cell r="G2402" t="str">
            <v>FE</v>
          </cell>
          <cell r="H2402" t="str">
            <v>ITALIA</v>
          </cell>
          <cell r="J2402" t="str">
            <v>01910710381</v>
          </cell>
          <cell r="K2402" t="str">
            <v>YRXHCLN</v>
          </cell>
          <cell r="M2402" t="str">
            <v>UFFICIO ACQUISTI</v>
          </cell>
          <cell r="N2402" t="str">
            <v>0533 996505</v>
          </cell>
          <cell r="O2402" t="str">
            <v>335 5203914</v>
          </cell>
          <cell r="P2402" t="str">
            <v>sunciniserramentisas@gmail.com</v>
          </cell>
          <cell r="R2402" t="str">
            <v>BONIFICO BANCARIO, ALLA DATA DELLA NOSTRA CONFERMA D'ORDINE</v>
          </cell>
          <cell r="X2402">
            <v>0.25</v>
          </cell>
          <cell r="Y2402">
            <v>-0.04</v>
          </cell>
          <cell r="AB2402">
            <v>0.25</v>
          </cell>
          <cell r="AC2402">
            <v>0.25</v>
          </cell>
          <cell r="AD2402">
            <v>0.25</v>
          </cell>
          <cell r="AE2402">
            <v>0.25</v>
          </cell>
          <cell r="AF2402">
            <v>0.25</v>
          </cell>
          <cell r="AG2402">
            <v>0.25</v>
          </cell>
          <cell r="AH2402">
            <v>0.25</v>
          </cell>
          <cell r="AI2402">
            <v>0.25</v>
          </cell>
          <cell r="AJ2402">
            <v>0.25</v>
          </cell>
          <cell r="AK2402">
            <v>0.25</v>
          </cell>
          <cell r="AL2402">
            <v>0.25</v>
          </cell>
          <cell r="AM2402">
            <v>0.25</v>
          </cell>
          <cell r="AN2402">
            <v>0.25</v>
          </cell>
          <cell r="AO2402">
            <v>0.25</v>
          </cell>
          <cell r="AP2402">
            <v>0.25</v>
          </cell>
          <cell r="AQ2402">
            <v>0.25</v>
          </cell>
          <cell r="AR2402">
            <v>0.25</v>
          </cell>
          <cell r="AS2402">
            <v>0.25</v>
          </cell>
          <cell r="AT2402">
            <v>-0.04</v>
          </cell>
          <cell r="AU2402">
            <v>0.92</v>
          </cell>
          <cell r="AV2402">
            <v>20</v>
          </cell>
          <cell r="AZ2402">
            <v>0.25</v>
          </cell>
          <cell r="BA2402">
            <v>0.25</v>
          </cell>
        </row>
        <row r="2403">
          <cell r="A2403" t="str">
            <v>SUPERTECNICAVR</v>
          </cell>
          <cell r="D2403" t="str">
            <v>VIALE EUROPA, 11-13-15</v>
          </cell>
          <cell r="E2403" t="str">
            <v>71122</v>
          </cell>
          <cell r="F2403" t="str">
            <v>FOGGIA</v>
          </cell>
          <cell r="G2403" t="str">
            <v>FG</v>
          </cell>
          <cell r="H2403" t="str">
            <v>ITALIA</v>
          </cell>
          <cell r="J2403" t="str">
            <v>03977390719</v>
          </cell>
          <cell r="M2403" t="str">
            <v>UFFICIO ACQUISTI</v>
          </cell>
          <cell r="N2403" t="str">
            <v>0881 1961346</v>
          </cell>
          <cell r="P2403" t="str">
            <v>supertecnicavr@gmail.com</v>
          </cell>
          <cell r="R2403" t="str">
            <v>BONIFICO BANCARIO, ALLA DATA DELLA NOSTRA CONFERMA D'ORDINE</v>
          </cell>
          <cell r="X2403">
            <v>0.2</v>
          </cell>
          <cell r="Y2403">
            <v>-0.04</v>
          </cell>
          <cell r="AB2403">
            <v>0.2</v>
          </cell>
          <cell r="AC2403">
            <v>0.2</v>
          </cell>
          <cell r="AD2403">
            <v>0.2</v>
          </cell>
          <cell r="AE2403">
            <v>0.2</v>
          </cell>
          <cell r="AF2403">
            <v>0.2</v>
          </cell>
          <cell r="AG2403">
            <v>0.2</v>
          </cell>
          <cell r="AH2403">
            <v>0.2</v>
          </cell>
          <cell r="AI2403">
            <v>0.2</v>
          </cell>
          <cell r="AJ2403">
            <v>0.2</v>
          </cell>
          <cell r="AK2403">
            <v>0.2</v>
          </cell>
          <cell r="AL2403">
            <v>0.2</v>
          </cell>
          <cell r="AM2403">
            <v>0.2</v>
          </cell>
          <cell r="AN2403">
            <v>0.2</v>
          </cell>
          <cell r="AO2403">
            <v>0.2</v>
          </cell>
          <cell r="AP2403">
            <v>0.2</v>
          </cell>
          <cell r="AQ2403">
            <v>0.2</v>
          </cell>
          <cell r="AR2403">
            <v>0.2</v>
          </cell>
          <cell r="AS2403">
            <v>0.2</v>
          </cell>
          <cell r="AT2403">
            <v>-0.04</v>
          </cell>
          <cell r="AU2403">
            <v>0.92</v>
          </cell>
          <cell r="AV2403">
            <v>20</v>
          </cell>
          <cell r="AZ2403">
            <v>0.2</v>
          </cell>
          <cell r="BA2403">
            <v>0.2</v>
          </cell>
        </row>
        <row r="2404">
          <cell r="A2404" t="str">
            <v>SVELUC INFISSI SRL</v>
          </cell>
          <cell r="D2404" t="str">
            <v>VIA TOMASINA, 37</v>
          </cell>
          <cell r="E2404" t="str">
            <v>46040</v>
          </cell>
          <cell r="F2404" t="str">
            <v>GUIDIZZOLO</v>
          </cell>
          <cell r="G2404" t="str">
            <v>MN</v>
          </cell>
          <cell r="H2404" t="str">
            <v>ITALIA</v>
          </cell>
          <cell r="J2404" t="str">
            <v>01504830207</v>
          </cell>
          <cell r="M2404" t="str">
            <v>UFFICIO ACQUISTI</v>
          </cell>
          <cell r="O2404" t="str">
            <v>392 4606174 Stefano</v>
          </cell>
          <cell r="R2404" t="str">
            <v>BONIFICO BANCARIO, ALLA DATA DELLA NOSTRA CONFERMA D'ORDINE</v>
          </cell>
          <cell r="X2404">
            <v>0.25</v>
          </cell>
          <cell r="Y2404">
            <v>-0.04</v>
          </cell>
          <cell r="AB2404">
            <v>0.25</v>
          </cell>
          <cell r="AC2404">
            <v>0.25</v>
          </cell>
          <cell r="AD2404">
            <v>0.25</v>
          </cell>
          <cell r="AE2404">
            <v>0.25</v>
          </cell>
          <cell r="AF2404">
            <v>0.25</v>
          </cell>
          <cell r="AG2404">
            <v>0.25</v>
          </cell>
          <cell r="AH2404">
            <v>0.25</v>
          </cell>
          <cell r="AI2404">
            <v>0.25</v>
          </cell>
          <cell r="AJ2404">
            <v>0.25</v>
          </cell>
          <cell r="AK2404">
            <v>0.25</v>
          </cell>
          <cell r="AL2404">
            <v>0.25</v>
          </cell>
          <cell r="AM2404">
            <v>0.25</v>
          </cell>
          <cell r="AN2404">
            <v>0.25</v>
          </cell>
          <cell r="AO2404">
            <v>0.25</v>
          </cell>
          <cell r="AP2404">
            <v>0.25</v>
          </cell>
          <cell r="AQ2404">
            <v>0.25</v>
          </cell>
          <cell r="AR2404">
            <v>0.25</v>
          </cell>
          <cell r="AS2404">
            <v>0.25</v>
          </cell>
          <cell r="AT2404">
            <v>-0.04</v>
          </cell>
          <cell r="AU2404">
            <v>0.92</v>
          </cell>
          <cell r="AV2404">
            <v>20</v>
          </cell>
          <cell r="AZ2404">
            <v>0.25</v>
          </cell>
          <cell r="BA2404">
            <v>0.25</v>
          </cell>
        </row>
        <row r="2405">
          <cell r="A2405" t="str">
            <v>SYMPOSIUM CENTRO FINESTRE SRLS</v>
          </cell>
          <cell r="B2405" t="str">
            <v>ANTONELLO FOZZI</v>
          </cell>
          <cell r="D2405" t="str">
            <v xml:space="preserve">VIA BALILLA, 10 </v>
          </cell>
          <cell r="E2405" t="str">
            <v>09132</v>
          </cell>
          <cell r="F2405" t="str">
            <v>CAGLIARI</v>
          </cell>
          <cell r="G2405" t="str">
            <v>CA</v>
          </cell>
          <cell r="H2405" t="str">
            <v>ITALIA</v>
          </cell>
          <cell r="J2405" t="str">
            <v>03664030925</v>
          </cell>
          <cell r="K2405" t="str">
            <v>M5UXCR1</v>
          </cell>
          <cell r="L2405" t="str">
            <v>EX S.S., 31 KM 8,500 - SESTU (CA)</v>
          </cell>
          <cell r="M2405" t="str">
            <v>UFFICIO ACQUISTI</v>
          </cell>
          <cell r="O2405" t="str">
            <v>339 8730632</v>
          </cell>
          <cell r="P2405" t="str">
            <v>symposiumcentrofinestresrl@gmail.com</v>
          </cell>
          <cell r="R2405" t="str">
            <v>BONIFICO BANCARIO, ALLA DATA DELLA NOSTRA CONFERMA D'ORDINE</v>
          </cell>
          <cell r="X2405">
            <v>0.15</v>
          </cell>
          <cell r="Y2405">
            <v>-0.04</v>
          </cell>
          <cell r="AB2405">
            <v>0.15</v>
          </cell>
          <cell r="AC2405">
            <v>0.15</v>
          </cell>
          <cell r="AD2405">
            <v>0.15</v>
          </cell>
          <cell r="AE2405">
            <v>0.15</v>
          </cell>
          <cell r="AF2405">
            <v>0.15</v>
          </cell>
          <cell r="AG2405">
            <v>0.15</v>
          </cell>
          <cell r="AH2405">
            <v>0.15</v>
          </cell>
          <cell r="AI2405">
            <v>0.15</v>
          </cell>
          <cell r="AJ2405">
            <v>0.15</v>
          </cell>
          <cell r="AK2405">
            <v>0.15</v>
          </cell>
          <cell r="AL2405">
            <v>0.15</v>
          </cell>
          <cell r="AM2405">
            <v>0.15</v>
          </cell>
          <cell r="AN2405">
            <v>0.15</v>
          </cell>
          <cell r="AO2405">
            <v>0.15</v>
          </cell>
          <cell r="AP2405">
            <v>0.15</v>
          </cell>
          <cell r="AQ2405">
            <v>0.15</v>
          </cell>
          <cell r="AR2405">
            <v>0.15</v>
          </cell>
          <cell r="AS2405">
            <v>0.15</v>
          </cell>
          <cell r="AT2405">
            <v>-0.04</v>
          </cell>
          <cell r="AU2405">
            <v>0.92</v>
          </cell>
          <cell r="AV2405">
            <v>20</v>
          </cell>
          <cell r="AZ2405">
            <v>0.15</v>
          </cell>
          <cell r="BA2405">
            <v>0.15</v>
          </cell>
        </row>
        <row r="2406">
          <cell r="A2406" t="str">
            <v>SYSTEM PLAST SERRAMENTI</v>
          </cell>
          <cell r="G2406" t="str">
            <v>IM</v>
          </cell>
          <cell r="H2406" t="str">
            <v>ITALIA</v>
          </cell>
          <cell r="M2406" t="str">
            <v>UFFICIO ACQUISTI</v>
          </cell>
          <cell r="N2406" t="str">
            <v>010 8318231</v>
          </cell>
          <cell r="O2406" t="str">
            <v>348 5204884</v>
          </cell>
          <cell r="P2406" t="str">
            <v>system.plast@libero.it</v>
          </cell>
          <cell r="R2406" t="str">
            <v>BONIFICO BANCARIO, ALLA DATA DELLA NOSTRA CONFERMA D'ORDINE</v>
          </cell>
          <cell r="X2406">
            <v>0.25</v>
          </cell>
          <cell r="Y2406">
            <v>-0.04</v>
          </cell>
          <cell r="AB2406">
            <v>0.25</v>
          </cell>
          <cell r="AC2406">
            <v>0.25</v>
          </cell>
          <cell r="AD2406">
            <v>0.25</v>
          </cell>
          <cell r="AE2406">
            <v>0.25</v>
          </cell>
          <cell r="AF2406">
            <v>0.25</v>
          </cell>
          <cell r="AG2406">
            <v>0.25</v>
          </cell>
          <cell r="AH2406">
            <v>0.25</v>
          </cell>
          <cell r="AI2406">
            <v>0.25</v>
          </cell>
          <cell r="AJ2406">
            <v>0.25</v>
          </cell>
          <cell r="AK2406">
            <v>0.25</v>
          </cell>
          <cell r="AL2406">
            <v>0.25</v>
          </cell>
          <cell r="AM2406">
            <v>0.25</v>
          </cell>
          <cell r="AN2406">
            <v>0.25</v>
          </cell>
          <cell r="AO2406">
            <v>0.25</v>
          </cell>
          <cell r="AP2406">
            <v>0.25</v>
          </cell>
          <cell r="AQ2406">
            <v>0.25</v>
          </cell>
          <cell r="AR2406">
            <v>0.25</v>
          </cell>
          <cell r="AS2406">
            <v>0.25</v>
          </cell>
          <cell r="AT2406">
            <v>-0.04</v>
          </cell>
          <cell r="AU2406">
            <v>0.92</v>
          </cell>
          <cell r="AV2406">
            <v>20</v>
          </cell>
          <cell r="AZ2406">
            <v>0.25</v>
          </cell>
          <cell r="BA2406">
            <v>0.25</v>
          </cell>
        </row>
        <row r="2407">
          <cell r="A2407" t="str">
            <v>SZANDORY.EU</v>
          </cell>
          <cell r="B2407" t="str">
            <v>DEALER POLACCO DI SCFB - PREZZO LANCIO sconto 25% moderna, 20% sugli altri modelli, 35% modi-modu, fino a genn 2022</v>
          </cell>
          <cell r="D2407" t="str">
            <v>UL. WALY PIASTOWSKIE 1</v>
          </cell>
          <cell r="E2407" t="str">
            <v>80-958</v>
          </cell>
          <cell r="F2407" t="str">
            <v>GDANSK</v>
          </cell>
          <cell r="H2407" t="str">
            <v>POLONIA</v>
          </cell>
          <cell r="J2407" t="str">
            <v>PL5781552612</v>
          </cell>
          <cell r="K2407" t="str">
            <v>XXXXXXX</v>
          </cell>
          <cell r="M2407" t="str">
            <v>UFFICIO ACQUISTI</v>
          </cell>
          <cell r="N2407" t="str">
            <v>+48 58 732 1728</v>
          </cell>
          <cell r="P2407" t="str">
            <v>info@szandory.eu</v>
          </cell>
          <cell r="R2407" t="str">
            <v>BANK TRANSFER, ON THE DATE OF OUR ORDER CONFIRMATION</v>
          </cell>
          <cell r="X2407">
            <v>0.2</v>
          </cell>
          <cell r="AB2407">
            <v>0.2</v>
          </cell>
          <cell r="AC2407">
            <v>0.2</v>
          </cell>
          <cell r="AD2407">
            <v>0.2</v>
          </cell>
          <cell r="AE2407">
            <v>0.2</v>
          </cell>
          <cell r="AF2407">
            <v>0.2</v>
          </cell>
          <cell r="AG2407">
            <v>0.2</v>
          </cell>
          <cell r="AH2407">
            <v>0.2</v>
          </cell>
          <cell r="AI2407">
            <v>0.2</v>
          </cell>
          <cell r="AJ2407">
            <v>0.2</v>
          </cell>
          <cell r="AK2407">
            <v>0.2</v>
          </cell>
          <cell r="AL2407">
            <v>0.2</v>
          </cell>
          <cell r="AM2407">
            <v>0.2</v>
          </cell>
          <cell r="AN2407">
            <v>0.2</v>
          </cell>
          <cell r="AO2407">
            <v>0.2</v>
          </cell>
          <cell r="AP2407">
            <v>0.2</v>
          </cell>
          <cell r="AQ2407">
            <v>0.2</v>
          </cell>
          <cell r="AR2407">
            <v>0.2</v>
          </cell>
          <cell r="AS2407">
            <v>0.2</v>
          </cell>
          <cell r="AU2407">
            <v>0.77</v>
          </cell>
          <cell r="AV2407">
            <v>20</v>
          </cell>
          <cell r="AZ2407">
            <v>0.2</v>
          </cell>
          <cell r="BA2407">
            <v>0.2</v>
          </cell>
        </row>
        <row r="2408">
          <cell r="A2408" t="str">
            <v>T &amp; T DI GIANNI TORCASIO E C S.A.S.</v>
          </cell>
          <cell r="D2408" t="str">
            <v>VIA DEI BIZANTINI, 23</v>
          </cell>
          <cell r="E2408">
            <v>88046</v>
          </cell>
          <cell r="F2408" t="str">
            <v>LAMEZIA TERME</v>
          </cell>
          <cell r="G2408" t="str">
            <v>CZ</v>
          </cell>
          <cell r="H2408" t="str">
            <v>ITALIA</v>
          </cell>
          <cell r="J2408" t="str">
            <v>02827210796</v>
          </cell>
          <cell r="M2408" t="str">
            <v>UFFICIO ACQUISTI</v>
          </cell>
          <cell r="N2408" t="str">
            <v>0968 463553</v>
          </cell>
          <cell r="O2408" t="str">
            <v>331 2297219</v>
          </cell>
          <cell r="P2408" t="str">
            <v>info@tetporte.it</v>
          </cell>
          <cell r="R2408" t="str">
            <v>BONIFICO BANCARIO, ALLA DATA DELLA NOSTRA CONFERMA D'ORDINE</v>
          </cell>
          <cell r="X2408">
            <v>0.25</v>
          </cell>
          <cell r="Y2408">
            <v>-0.04</v>
          </cell>
          <cell r="AB2408">
            <v>0.25</v>
          </cell>
          <cell r="AC2408">
            <v>0.25</v>
          </cell>
          <cell r="AD2408">
            <v>0.25</v>
          </cell>
          <cell r="AE2408">
            <v>0.25</v>
          </cell>
          <cell r="AF2408">
            <v>0.25</v>
          </cell>
          <cell r="AG2408">
            <v>0.25</v>
          </cell>
          <cell r="AH2408">
            <v>0.25</v>
          </cell>
          <cell r="AI2408">
            <v>0.25</v>
          </cell>
          <cell r="AJ2408">
            <v>0.25</v>
          </cell>
          <cell r="AK2408">
            <v>0.25</v>
          </cell>
          <cell r="AL2408">
            <v>0.25</v>
          </cell>
          <cell r="AM2408">
            <v>0.25</v>
          </cell>
          <cell r="AN2408">
            <v>0.25</v>
          </cell>
          <cell r="AO2408">
            <v>0.25</v>
          </cell>
          <cell r="AP2408">
            <v>0.25</v>
          </cell>
          <cell r="AQ2408">
            <v>0.25</v>
          </cell>
          <cell r="AR2408">
            <v>0.25</v>
          </cell>
          <cell r="AS2408">
            <v>0.25</v>
          </cell>
          <cell r="AT2408">
            <v>-0.04</v>
          </cell>
          <cell r="AU2408">
            <v>0.92</v>
          </cell>
          <cell r="AV2408">
            <v>20</v>
          </cell>
          <cell r="AW2408" t="str">
            <v>PIETRO OLIVADOTI</v>
          </cell>
          <cell r="AX2408">
            <v>0.95</v>
          </cell>
          <cell r="AZ2408">
            <v>0.25</v>
          </cell>
          <cell r="BA2408">
            <v>0.25</v>
          </cell>
        </row>
        <row r="2409">
          <cell r="A2409" t="str">
            <v>T.B. FERRO E INFISSI SNC</v>
          </cell>
          <cell r="D2409" t="str">
            <v>VIA PER POMPOSA SUD, 24</v>
          </cell>
          <cell r="E2409" t="str">
            <v>44021</v>
          </cell>
          <cell r="F2409" t="str">
            <v>CODIGORO</v>
          </cell>
          <cell r="G2409" t="str">
            <v>FE</v>
          </cell>
          <cell r="H2409" t="str">
            <v>ITALIA</v>
          </cell>
          <cell r="M2409" t="str">
            <v>UFFICIO ACQUISTI</v>
          </cell>
          <cell r="N2409" t="str">
            <v>0533 718376</v>
          </cell>
          <cell r="O2409" t="str">
            <v>348 4184498 TOMAS TIENGO</v>
          </cell>
          <cell r="P2409" t="str">
            <v>info.tbferroeinfissi@gmail.com</v>
          </cell>
          <cell r="R2409" t="str">
            <v>BONIFICO BANCARIO, ALLA DATA DELLA NOSTRA CONFERMA D'ORDINE</v>
          </cell>
          <cell r="X2409">
            <v>0.2</v>
          </cell>
          <cell r="Y2409">
            <v>-0.04</v>
          </cell>
          <cell r="AB2409">
            <v>0.2</v>
          </cell>
          <cell r="AC2409">
            <v>0.2</v>
          </cell>
          <cell r="AD2409">
            <v>0.2</v>
          </cell>
          <cell r="AE2409">
            <v>0.2</v>
          </cell>
          <cell r="AF2409">
            <v>0.2</v>
          </cell>
          <cell r="AG2409">
            <v>0.2</v>
          </cell>
          <cell r="AH2409">
            <v>0.2</v>
          </cell>
          <cell r="AI2409">
            <v>0.2</v>
          </cell>
          <cell r="AJ2409">
            <v>0.2</v>
          </cell>
          <cell r="AK2409">
            <v>0.2</v>
          </cell>
          <cell r="AL2409">
            <v>0.2</v>
          </cell>
          <cell r="AM2409">
            <v>0.2</v>
          </cell>
          <cell r="AN2409">
            <v>0.2</v>
          </cell>
          <cell r="AO2409">
            <v>0.2</v>
          </cell>
          <cell r="AP2409">
            <v>0.2</v>
          </cell>
          <cell r="AQ2409">
            <v>0.2</v>
          </cell>
          <cell r="AR2409">
            <v>0.2</v>
          </cell>
          <cell r="AS2409">
            <v>0.2</v>
          </cell>
          <cell r="AT2409">
            <v>-0.04</v>
          </cell>
          <cell r="AU2409">
            <v>0.92</v>
          </cell>
          <cell r="AV2409">
            <v>20</v>
          </cell>
          <cell r="AZ2409">
            <v>0.2</v>
          </cell>
          <cell r="BA2409">
            <v>0.2</v>
          </cell>
        </row>
        <row r="2410">
          <cell r="A2410" t="str">
            <v>T.B.T. 2 - S.R.L.</v>
          </cell>
          <cell r="D2410" t="str">
            <v>VIA A.GRANDI, 25</v>
          </cell>
          <cell r="E2410" t="str">
            <v>48100</v>
          </cell>
          <cell r="F2410" t="str">
            <v>RAVENNA</v>
          </cell>
          <cell r="G2410" t="str">
            <v>RA</v>
          </cell>
          <cell r="H2410" t="str">
            <v>ITALIA</v>
          </cell>
          <cell r="J2410" t="str">
            <v>01195780398</v>
          </cell>
          <cell r="M2410" t="str">
            <v>UFFICIO ACQUISTI</v>
          </cell>
          <cell r="N2410" t="str">
            <v>0544 450363</v>
          </cell>
          <cell r="P2410" t="str">
            <v>tbt2@tbt2.com</v>
          </cell>
          <cell r="R2410" t="str">
            <v>BONIFICO BANCARIO, ALLA DATA DELLA NOSTRA CONFERMA D'ORDINE</v>
          </cell>
          <cell r="X2410">
            <v>0.25</v>
          </cell>
          <cell r="Y2410">
            <v>-0.04</v>
          </cell>
          <cell r="AB2410">
            <v>0.25</v>
          </cell>
          <cell r="AC2410">
            <v>0.25</v>
          </cell>
          <cell r="AD2410">
            <v>0.25</v>
          </cell>
          <cell r="AE2410">
            <v>0.25</v>
          </cell>
          <cell r="AF2410">
            <v>0.25</v>
          </cell>
          <cell r="AG2410">
            <v>0.25</v>
          </cell>
          <cell r="AH2410">
            <v>0.25</v>
          </cell>
          <cell r="AI2410">
            <v>0.25</v>
          </cell>
          <cell r="AJ2410">
            <v>0.25</v>
          </cell>
          <cell r="AK2410">
            <v>0.25</v>
          </cell>
          <cell r="AL2410">
            <v>0.25</v>
          </cell>
          <cell r="AM2410">
            <v>0.25</v>
          </cell>
          <cell r="AN2410">
            <v>0.25</v>
          </cell>
          <cell r="AO2410">
            <v>0.25</v>
          </cell>
          <cell r="AP2410">
            <v>0.25</v>
          </cell>
          <cell r="AQ2410">
            <v>0.25</v>
          </cell>
          <cell r="AR2410">
            <v>0.25</v>
          </cell>
          <cell r="AS2410">
            <v>0.25</v>
          </cell>
          <cell r="AT2410">
            <v>-0.04</v>
          </cell>
          <cell r="AU2410">
            <v>0.92</v>
          </cell>
          <cell r="AV2410">
            <v>20</v>
          </cell>
          <cell r="AZ2410">
            <v>0.25</v>
          </cell>
          <cell r="BA2410">
            <v>0.25</v>
          </cell>
        </row>
        <row r="2411">
          <cell r="A2411" t="str">
            <v>T.ESSE.T.</v>
          </cell>
          <cell r="D2411" t="str">
            <v>VIALE S. MARGHERITA, 157</v>
          </cell>
          <cell r="E2411" t="str">
            <v>52100</v>
          </cell>
          <cell r="F2411" t="str">
            <v>AREZZO</v>
          </cell>
          <cell r="G2411" t="str">
            <v>AR</v>
          </cell>
          <cell r="H2411" t="str">
            <v>ITALIA</v>
          </cell>
          <cell r="J2411" t="str">
            <v>01696850518</v>
          </cell>
          <cell r="M2411" t="str">
            <v>UFFICIO ACQUISTI</v>
          </cell>
          <cell r="N2411" t="str">
            <v>0575 451573</v>
          </cell>
          <cell r="O2411" t="str">
            <v>Corrado Pasqui 335 6509515</v>
          </cell>
          <cell r="P2411" t="str">
            <v>info@tesset.it</v>
          </cell>
          <cell r="R2411" t="str">
            <v>BONIFICO BANCARIO, ALLA DATA DELLA NOSTRA CONFERMA D'ORDINE</v>
          </cell>
          <cell r="X2411">
            <v>0.25</v>
          </cell>
          <cell r="Y2411">
            <v>-0.04</v>
          </cell>
          <cell r="AB2411">
            <v>0.25</v>
          </cell>
          <cell r="AC2411">
            <v>0.25</v>
          </cell>
          <cell r="AD2411">
            <v>0.25</v>
          </cell>
          <cell r="AE2411">
            <v>0.25</v>
          </cell>
          <cell r="AF2411">
            <v>0.25</v>
          </cell>
          <cell r="AG2411">
            <v>0.25</v>
          </cell>
          <cell r="AH2411">
            <v>0.25</v>
          </cell>
          <cell r="AI2411">
            <v>0.25</v>
          </cell>
          <cell r="AJ2411">
            <v>0.25</v>
          </cell>
          <cell r="AK2411">
            <v>0.25</v>
          </cell>
          <cell r="AL2411">
            <v>0.25</v>
          </cell>
          <cell r="AM2411">
            <v>0.25</v>
          </cell>
          <cell r="AN2411">
            <v>0.25</v>
          </cell>
          <cell r="AO2411">
            <v>0.25</v>
          </cell>
          <cell r="AP2411">
            <v>0.25</v>
          </cell>
          <cell r="AQ2411">
            <v>0.25</v>
          </cell>
          <cell r="AR2411">
            <v>0.25</v>
          </cell>
          <cell r="AS2411">
            <v>0.25</v>
          </cell>
          <cell r="AT2411">
            <v>-0.04</v>
          </cell>
          <cell r="AU2411">
            <v>0.92</v>
          </cell>
          <cell r="AV2411">
            <v>20</v>
          </cell>
          <cell r="AZ2411">
            <v>0.25</v>
          </cell>
          <cell r="BA2411">
            <v>0.25</v>
          </cell>
        </row>
        <row r="2412">
          <cell r="A2412" t="str">
            <v>TACCALITI SERRAMENTI</v>
          </cell>
          <cell r="B2412" t="str">
            <v>PICCININI FRANCESCO, SERENELLA ORSATTI</v>
          </cell>
          <cell r="D2412" t="str">
            <v>VIA LORETANA 126</v>
          </cell>
          <cell r="E2412" t="str">
            <v>60021</v>
          </cell>
          <cell r="F2412" t="str">
            <v>CAMERANO</v>
          </cell>
          <cell r="G2412" t="str">
            <v>AN</v>
          </cell>
          <cell r="H2412" t="str">
            <v>ITALIA</v>
          </cell>
          <cell r="M2412" t="str">
            <v>UFFICIO ACQUISTI</v>
          </cell>
          <cell r="N2412" t="str">
            <v>071 731407</v>
          </cell>
          <cell r="P2412" t="str">
            <v>info@taccaliti.it</v>
          </cell>
          <cell r="R2412" t="str">
            <v>BONIFICO BANCARIO, ALLA DATA DELLA NOSTRA CONFERMA D'ORDINE</v>
          </cell>
          <cell r="X2412">
            <v>0.25</v>
          </cell>
          <cell r="Y2412">
            <v>-0.04</v>
          </cell>
          <cell r="AB2412">
            <v>0.25</v>
          </cell>
          <cell r="AC2412">
            <v>0.25</v>
          </cell>
          <cell r="AD2412">
            <v>0.25</v>
          </cell>
          <cell r="AE2412">
            <v>0.25</v>
          </cell>
          <cell r="AF2412">
            <v>0.25</v>
          </cell>
          <cell r="AG2412">
            <v>0.25</v>
          </cell>
          <cell r="AH2412">
            <v>0.25</v>
          </cell>
          <cell r="AI2412">
            <v>0.25</v>
          </cell>
          <cell r="AJ2412">
            <v>0.25</v>
          </cell>
          <cell r="AK2412">
            <v>0.25</v>
          </cell>
          <cell r="AL2412">
            <v>0.25</v>
          </cell>
          <cell r="AM2412">
            <v>0.25</v>
          </cell>
          <cell r="AN2412">
            <v>0.25</v>
          </cell>
          <cell r="AO2412">
            <v>0.25</v>
          </cell>
          <cell r="AP2412">
            <v>0.25</v>
          </cell>
          <cell r="AQ2412">
            <v>0.25</v>
          </cell>
          <cell r="AR2412">
            <v>0.25</v>
          </cell>
          <cell r="AS2412">
            <v>0.25</v>
          </cell>
          <cell r="AT2412">
            <v>-0.04</v>
          </cell>
          <cell r="AU2412">
            <v>0.92</v>
          </cell>
          <cell r="AV2412">
            <v>20</v>
          </cell>
          <cell r="AZ2412">
            <v>0.25</v>
          </cell>
          <cell r="BA2412">
            <v>0.25</v>
          </cell>
        </row>
        <row r="2413">
          <cell r="A2413" t="str">
            <v>TACCHINO MARCO SERRAMENTI</v>
          </cell>
          <cell r="D2413" t="str">
            <v>LOC. STAZIONE, 50/F</v>
          </cell>
          <cell r="E2413">
            <v>15060</v>
          </cell>
          <cell r="F2413" t="str">
            <v>CASTELLETTO D'ORBA</v>
          </cell>
          <cell r="G2413" t="str">
            <v>AL</v>
          </cell>
          <cell r="H2413" t="str">
            <v>ITALIA</v>
          </cell>
          <cell r="I2413" t="str">
            <v>TCCMRC75S12F965Y</v>
          </cell>
          <cell r="J2413" t="str">
            <v>01695260065</v>
          </cell>
          <cell r="K2413" t="str">
            <v>T9K4ZHO</v>
          </cell>
          <cell r="M2413" t="str">
            <v>UFFICIO ACQUISTI</v>
          </cell>
          <cell r="N2413" t="str">
            <v>0143 80257</v>
          </cell>
          <cell r="O2413" t="str">
            <v>335 7267090 TACCHINO MARCO</v>
          </cell>
          <cell r="P2413" t="str">
            <v>info@tacchinoserramenti.it</v>
          </cell>
          <cell r="R2413" t="str">
            <v>BONIFICO BANCARIO, ALLA DATA DELLA NOSTRA CONFERMA D'ORDINE</v>
          </cell>
          <cell r="X2413">
            <v>0.25</v>
          </cell>
          <cell r="Y2413">
            <v>-0.04</v>
          </cell>
          <cell r="AB2413">
            <v>0.25</v>
          </cell>
          <cell r="AC2413">
            <v>0.25</v>
          </cell>
          <cell r="AD2413">
            <v>0.25</v>
          </cell>
          <cell r="AE2413">
            <v>0.25</v>
          </cell>
          <cell r="AF2413">
            <v>0.25</v>
          </cell>
          <cell r="AG2413">
            <v>0.25</v>
          </cell>
          <cell r="AH2413">
            <v>0.25</v>
          </cell>
          <cell r="AI2413">
            <v>0.25</v>
          </cell>
          <cell r="AJ2413">
            <v>0.25</v>
          </cell>
          <cell r="AK2413">
            <v>0.25</v>
          </cell>
          <cell r="AL2413">
            <v>0.25</v>
          </cell>
          <cell r="AM2413">
            <v>0.25</v>
          </cell>
          <cell r="AN2413">
            <v>0.25</v>
          </cell>
          <cell r="AO2413">
            <v>0.25</v>
          </cell>
          <cell r="AP2413">
            <v>0.25</v>
          </cell>
          <cell r="AQ2413">
            <v>0.25</v>
          </cell>
          <cell r="AR2413">
            <v>0.25</v>
          </cell>
          <cell r="AS2413">
            <v>0.25</v>
          </cell>
          <cell r="AT2413">
            <v>-0.04</v>
          </cell>
          <cell r="AU2413">
            <v>0.92</v>
          </cell>
          <cell r="AV2413">
            <v>20</v>
          </cell>
          <cell r="AZ2413">
            <v>0.25</v>
          </cell>
          <cell r="BA2413">
            <v>0.25</v>
          </cell>
        </row>
        <row r="2414">
          <cell r="A2414" t="str">
            <v>TADDEI EZIO</v>
          </cell>
          <cell r="B2414" t="str">
            <v>VECCHIETTO SIMPATICO E ARZILLO HA AVUTO RICHIESTE ; CI CONTATTERA'</v>
          </cell>
          <cell r="D2414" t="str">
            <v>VIA EINAUDI, 1</v>
          </cell>
          <cell r="E2414">
            <v>46025</v>
          </cell>
          <cell r="F2414" t="str">
            <v>POGGIO RUSCO</v>
          </cell>
          <cell r="G2414" t="str">
            <v>MN</v>
          </cell>
          <cell r="H2414" t="str">
            <v>ITALIA</v>
          </cell>
          <cell r="I2414" t="str">
            <v>TDDZEI39T13G753</v>
          </cell>
          <cell r="J2414" t="str">
            <v>00203840202</v>
          </cell>
          <cell r="M2414" t="str">
            <v>UFFICIO ACQUISTI</v>
          </cell>
          <cell r="N2414" t="str">
            <v>0386 51857</v>
          </cell>
          <cell r="R2414" t="str">
            <v>BONIFICO BANCARIO, ALLA DATA DELLA NOSTRA CONFERMA D'ORDINE</v>
          </cell>
          <cell r="X2414">
            <v>0.25</v>
          </cell>
          <cell r="Y2414">
            <v>-0.04</v>
          </cell>
          <cell r="AB2414">
            <v>0.25</v>
          </cell>
          <cell r="AC2414">
            <v>0.25</v>
          </cell>
          <cell r="AD2414">
            <v>0.25</v>
          </cell>
          <cell r="AE2414">
            <v>0.25</v>
          </cell>
          <cell r="AF2414">
            <v>0.25</v>
          </cell>
          <cell r="AG2414">
            <v>0.25</v>
          </cell>
          <cell r="AH2414">
            <v>0.25</v>
          </cell>
          <cell r="AI2414">
            <v>0.25</v>
          </cell>
          <cell r="AJ2414">
            <v>0.25</v>
          </cell>
          <cell r="AK2414">
            <v>0.25</v>
          </cell>
          <cell r="AL2414">
            <v>0.25</v>
          </cell>
          <cell r="AM2414">
            <v>0.25</v>
          </cell>
          <cell r="AN2414">
            <v>0.25</v>
          </cell>
          <cell r="AO2414">
            <v>0.25</v>
          </cell>
          <cell r="AP2414">
            <v>0.25</v>
          </cell>
          <cell r="AQ2414">
            <v>0.25</v>
          </cell>
          <cell r="AR2414">
            <v>0.25</v>
          </cell>
          <cell r="AS2414">
            <v>0.25</v>
          </cell>
          <cell r="AT2414">
            <v>-0.04</v>
          </cell>
          <cell r="AU2414">
            <v>0.92</v>
          </cell>
          <cell r="AV2414">
            <v>20</v>
          </cell>
          <cell r="AZ2414">
            <v>0.25</v>
          </cell>
          <cell r="BA2414">
            <v>0.25</v>
          </cell>
        </row>
        <row r="2415">
          <cell r="A2415" t="str">
            <v>TAGLIAPIETRA SERRAMENTI SRL</v>
          </cell>
          <cell r="D2415" t="str">
            <v>VIA E.FERRARI, 18</v>
          </cell>
          <cell r="E2415">
            <v>30017</v>
          </cell>
          <cell r="F2415" t="str">
            <v>LIDO DI JESOLO</v>
          </cell>
          <cell r="G2415" t="str">
            <v>VE</v>
          </cell>
          <cell r="H2415" t="str">
            <v>ITALIA</v>
          </cell>
          <cell r="M2415" t="str">
            <v>UFFICIO ACQUISTI</v>
          </cell>
          <cell r="N2415" t="str">
            <v>0421 371691</v>
          </cell>
          <cell r="P2415" t="str">
            <v>info@tagliapietraserramenti.it</v>
          </cell>
          <cell r="R2415" t="str">
            <v>BONIFICO BANCARIO, ALLA DATA DELLA NOSTRA CONFERMA D'ORDINE</v>
          </cell>
          <cell r="X2415">
            <v>0.25</v>
          </cell>
          <cell r="Y2415">
            <v>-0.04</v>
          </cell>
          <cell r="AB2415">
            <v>0.25</v>
          </cell>
          <cell r="AC2415">
            <v>0.25</v>
          </cell>
          <cell r="AD2415">
            <v>0.25</v>
          </cell>
          <cell r="AE2415">
            <v>0.25</v>
          </cell>
          <cell r="AF2415">
            <v>0.25</v>
          </cell>
          <cell r="AG2415">
            <v>0.25</v>
          </cell>
          <cell r="AH2415">
            <v>0.25</v>
          </cell>
          <cell r="AI2415">
            <v>0.25</v>
          </cell>
          <cell r="AJ2415">
            <v>0.25</v>
          </cell>
          <cell r="AK2415">
            <v>0.25</v>
          </cell>
          <cell r="AL2415">
            <v>0.25</v>
          </cell>
          <cell r="AM2415">
            <v>0.25</v>
          </cell>
          <cell r="AN2415">
            <v>0.25</v>
          </cell>
          <cell r="AO2415">
            <v>0.25</v>
          </cell>
          <cell r="AP2415">
            <v>0.25</v>
          </cell>
          <cell r="AQ2415">
            <v>0.25</v>
          </cell>
          <cell r="AR2415">
            <v>0.25</v>
          </cell>
          <cell r="AS2415">
            <v>0.25</v>
          </cell>
          <cell r="AT2415">
            <v>-0.04</v>
          </cell>
          <cell r="AU2415">
            <v>0.92</v>
          </cell>
          <cell r="AV2415">
            <v>20</v>
          </cell>
          <cell r="AZ2415">
            <v>0.25</v>
          </cell>
          <cell r="BA2415">
            <v>0.25</v>
          </cell>
        </row>
        <row r="2416">
          <cell r="A2416" t="str">
            <v>TALLARICOSRL</v>
          </cell>
          <cell r="D2416" t="str">
            <v>VIA MURANO 8</v>
          </cell>
          <cell r="E2416" t="str">
            <v>88100</v>
          </cell>
          <cell r="F2416" t="str">
            <v>CATANZARO</v>
          </cell>
          <cell r="G2416" t="str">
            <v>CZ</v>
          </cell>
          <cell r="H2416" t="str">
            <v>ITALIA</v>
          </cell>
          <cell r="M2416" t="str">
            <v>UFFICIO ACQUISTI</v>
          </cell>
          <cell r="O2416" t="str">
            <v>327 9567353</v>
          </cell>
          <cell r="P2416" t="str">
            <v>info@tallaricosrl.it</v>
          </cell>
          <cell r="R2416" t="str">
            <v>BONIFICO BANCARIO, ALLA DATA DELLA NOSTRA CONFERMA D'ORDINE</v>
          </cell>
          <cell r="X2416">
            <v>0.25</v>
          </cell>
          <cell r="Y2416">
            <v>-0.04</v>
          </cell>
          <cell r="AB2416">
            <v>0.25</v>
          </cell>
          <cell r="AC2416">
            <v>0.25</v>
          </cell>
          <cell r="AD2416">
            <v>0.25</v>
          </cell>
          <cell r="AE2416">
            <v>0.25</v>
          </cell>
          <cell r="AF2416">
            <v>0.25</v>
          </cell>
          <cell r="AG2416">
            <v>0.25</v>
          </cell>
          <cell r="AH2416">
            <v>0.25</v>
          </cell>
          <cell r="AI2416">
            <v>0.25</v>
          </cell>
          <cell r="AJ2416">
            <v>0.25</v>
          </cell>
          <cell r="AK2416">
            <v>0.25</v>
          </cell>
          <cell r="AL2416">
            <v>0.25</v>
          </cell>
          <cell r="AM2416">
            <v>0.25</v>
          </cell>
          <cell r="AN2416">
            <v>0.25</v>
          </cell>
          <cell r="AO2416">
            <v>0.25</v>
          </cell>
          <cell r="AP2416">
            <v>0.25</v>
          </cell>
          <cell r="AQ2416">
            <v>0.25</v>
          </cell>
          <cell r="AR2416">
            <v>0.25</v>
          </cell>
          <cell r="AS2416">
            <v>0.25</v>
          </cell>
          <cell r="AT2416">
            <v>-0.04</v>
          </cell>
          <cell r="AU2416">
            <v>0.92</v>
          </cell>
          <cell r="AV2416">
            <v>20</v>
          </cell>
          <cell r="AZ2416">
            <v>0.25</v>
          </cell>
          <cell r="BA2416">
            <v>0.25</v>
          </cell>
        </row>
        <row r="2417">
          <cell r="A2417" t="str">
            <v>TALUX SRLS</v>
          </cell>
          <cell r="D2417" t="str">
            <v>VIA G. DOTTORI 27</v>
          </cell>
          <cell r="E2417" t="str">
            <v>04100</v>
          </cell>
          <cell r="F2417" t="str">
            <v>LATINA</v>
          </cell>
          <cell r="G2417" t="str">
            <v>LT</v>
          </cell>
          <cell r="H2417" t="str">
            <v>ITALIA</v>
          </cell>
          <cell r="J2417" t="str">
            <v>02983910593</v>
          </cell>
          <cell r="M2417" t="str">
            <v>UFFICIO ACQUISTI</v>
          </cell>
          <cell r="N2417" t="str">
            <v>0773 623816</v>
          </cell>
          <cell r="O2417" t="str">
            <v>338 2442403</v>
          </cell>
          <cell r="P2417" t="str">
            <v>info@taluxinfissi.it</v>
          </cell>
          <cell r="R2417" t="str">
            <v>BONIFICO BANCARIO, ALLA DATA DELLA NOSTRA CONFERMA D'ORDINE</v>
          </cell>
          <cell r="X2417">
            <v>0.25</v>
          </cell>
          <cell r="Y2417">
            <v>-0.04</v>
          </cell>
          <cell r="AB2417">
            <v>0.25</v>
          </cell>
          <cell r="AC2417">
            <v>0.25</v>
          </cell>
          <cell r="AD2417">
            <v>0.25</v>
          </cell>
          <cell r="AE2417">
            <v>0.25</v>
          </cell>
          <cell r="AF2417">
            <v>0.25</v>
          </cell>
          <cell r="AG2417">
            <v>0.25</v>
          </cell>
          <cell r="AH2417">
            <v>0.25</v>
          </cell>
          <cell r="AI2417">
            <v>0.25</v>
          </cell>
          <cell r="AJ2417">
            <v>0.25</v>
          </cell>
          <cell r="AK2417">
            <v>0.25</v>
          </cell>
          <cell r="AL2417">
            <v>0.25</v>
          </cell>
          <cell r="AM2417">
            <v>0.25</v>
          </cell>
          <cell r="AN2417">
            <v>0.25</v>
          </cell>
          <cell r="AO2417">
            <v>0.25</v>
          </cell>
          <cell r="AP2417">
            <v>0.25</v>
          </cell>
          <cell r="AQ2417">
            <v>0.25</v>
          </cell>
          <cell r="AR2417">
            <v>0.25</v>
          </cell>
          <cell r="AS2417">
            <v>0.25</v>
          </cell>
          <cell r="AT2417">
            <v>-0.04</v>
          </cell>
          <cell r="AU2417">
            <v>0.92</v>
          </cell>
          <cell r="AV2417">
            <v>20</v>
          </cell>
          <cell r="AZ2417">
            <v>0.25</v>
          </cell>
          <cell r="BA2417">
            <v>0.25</v>
          </cell>
        </row>
        <row r="2418">
          <cell r="A2418" t="str">
            <v>TANTUCCI F. E GENERI M. SNC</v>
          </cell>
          <cell r="B2418" t="str">
            <v>TANTUCCI FABRIZIO</v>
          </cell>
          <cell r="D2418" t="str">
            <v>VIA ARNO 44</v>
          </cell>
          <cell r="E2418" t="str">
            <v>60027</v>
          </cell>
          <cell r="F2418" t="str">
            <v>PADIGLIONE DI OSIMO</v>
          </cell>
          <cell r="G2418" t="str">
            <v>AN</v>
          </cell>
          <cell r="H2418" t="str">
            <v>ITALIA</v>
          </cell>
          <cell r="M2418" t="str">
            <v>UFFICIO ACQUISTI</v>
          </cell>
          <cell r="N2418" t="str">
            <v>071 7132624</v>
          </cell>
          <cell r="O2418" t="str">
            <v>349 6050690</v>
          </cell>
          <cell r="P2418" t="str">
            <v>tantucciegeneri@libero.it</v>
          </cell>
          <cell r="R2418" t="str">
            <v>BONIFICO BANCARIO, ALLA DATA DELLA NOSTRA CONFERMA D'ORDINE</v>
          </cell>
          <cell r="X2418">
            <v>0.25</v>
          </cell>
          <cell r="Y2418">
            <v>-0.04</v>
          </cell>
          <cell r="AB2418">
            <v>0.25</v>
          </cell>
          <cell r="AC2418">
            <v>0.25</v>
          </cell>
          <cell r="AD2418">
            <v>0.25</v>
          </cell>
          <cell r="AE2418">
            <v>0.25</v>
          </cell>
          <cell r="AF2418">
            <v>0.25</v>
          </cell>
          <cell r="AG2418">
            <v>0.25</v>
          </cell>
          <cell r="AH2418">
            <v>0.25</v>
          </cell>
          <cell r="AI2418">
            <v>0.25</v>
          </cell>
          <cell r="AJ2418">
            <v>0.25</v>
          </cell>
          <cell r="AK2418">
            <v>0.25</v>
          </cell>
          <cell r="AL2418">
            <v>0.25</v>
          </cell>
          <cell r="AM2418">
            <v>0.25</v>
          </cell>
          <cell r="AN2418">
            <v>0.25</v>
          </cell>
          <cell r="AO2418">
            <v>0.25</v>
          </cell>
          <cell r="AP2418">
            <v>0.25</v>
          </cell>
          <cell r="AQ2418">
            <v>0.25</v>
          </cell>
          <cell r="AR2418">
            <v>0.25</v>
          </cell>
          <cell r="AS2418">
            <v>0.25</v>
          </cell>
          <cell r="AT2418">
            <v>-0.04</v>
          </cell>
          <cell r="AU2418">
            <v>0.92</v>
          </cell>
          <cell r="AV2418">
            <v>20</v>
          </cell>
          <cell r="AZ2418">
            <v>0.25</v>
          </cell>
          <cell r="BA2418">
            <v>0.25</v>
          </cell>
        </row>
        <row r="2419">
          <cell r="A2419" t="str">
            <v>TARGET TECNOLOGIA S.A.</v>
          </cell>
          <cell r="D2419" t="str">
            <v>CARRETERA DE FUENCARRAL 24 EDIFICIO EUROPA1, PORTAL 1 PLANTA 3RA</v>
          </cell>
          <cell r="E2419" t="str">
            <v>28108</v>
          </cell>
          <cell r="F2419" t="str">
            <v>ALCOBENDAS - MADRID</v>
          </cell>
          <cell r="H2419" t="str">
            <v>SPAGNA</v>
          </cell>
          <cell r="J2419" t="str">
            <v>A81505752</v>
          </cell>
          <cell r="K2419" t="str">
            <v>XXXXXXX</v>
          </cell>
          <cell r="M2419" t="str">
            <v>UFFICIO ACQUISTI</v>
          </cell>
          <cell r="N2419" t="str">
            <v>+34 915541436</v>
          </cell>
          <cell r="O2419" t="str">
            <v>+34 629068423</v>
          </cell>
          <cell r="P2419" t="str">
            <v>b.vicente@target-tecnologia.es</v>
          </cell>
          <cell r="R2419" t="str">
            <v>TRANSFERENCIA BANCARIA, EN LA FECHA DE NUESTRA CONFIRMACIÓN DE PEDIDO</v>
          </cell>
          <cell r="X2419">
            <v>0.2</v>
          </cell>
          <cell r="AB2419">
            <v>0.2</v>
          </cell>
          <cell r="AC2419">
            <v>0.2</v>
          </cell>
          <cell r="AD2419">
            <v>0.2</v>
          </cell>
          <cell r="AE2419">
            <v>0.2</v>
          </cell>
          <cell r="AF2419">
            <v>0.2</v>
          </cell>
          <cell r="AG2419">
            <v>0.2</v>
          </cell>
          <cell r="AH2419">
            <v>0.2</v>
          </cell>
          <cell r="AI2419">
            <v>0.2</v>
          </cell>
          <cell r="AJ2419">
            <v>0.2</v>
          </cell>
          <cell r="AK2419">
            <v>0.2</v>
          </cell>
          <cell r="AL2419">
            <v>0.2</v>
          </cell>
          <cell r="AM2419">
            <v>0.2</v>
          </cell>
          <cell r="AN2419">
            <v>0.2</v>
          </cell>
          <cell r="AO2419">
            <v>0.2</v>
          </cell>
          <cell r="AP2419">
            <v>0.2</v>
          </cell>
          <cell r="AQ2419">
            <v>0.2</v>
          </cell>
          <cell r="AR2419">
            <v>0.2</v>
          </cell>
          <cell r="AS2419">
            <v>0.2</v>
          </cell>
          <cell r="AU2419">
            <v>0.87</v>
          </cell>
          <cell r="AV2419">
            <v>20</v>
          </cell>
          <cell r="AZ2419">
            <v>0.2</v>
          </cell>
          <cell r="BA2419">
            <v>0.2</v>
          </cell>
        </row>
        <row r="2420">
          <cell r="A2420" t="str">
            <v>TAURUS PORTE E FINESTRE</v>
          </cell>
          <cell r="D2420" t="str">
            <v>VIA REGINA MARGHERITA</v>
          </cell>
          <cell r="E2420">
            <v>42046</v>
          </cell>
          <cell r="F2420" t="str">
            <v>REGGIOLO</v>
          </cell>
          <cell r="G2420" t="str">
            <v>RE</v>
          </cell>
          <cell r="H2420" t="str">
            <v>ITALIA</v>
          </cell>
          <cell r="M2420" t="str">
            <v>UFFICIO ACQUISTI</v>
          </cell>
          <cell r="O2420" t="str">
            <v>335 6757149</v>
          </cell>
          <cell r="P2420" t="str">
            <v>vinicio@taurusinfissi.com</v>
          </cell>
          <cell r="R2420" t="str">
            <v>BONIFICO BANCARIO, ALLA DATA DELLA NOSTRA CONFERMA D'ORDINE</v>
          </cell>
          <cell r="X2420">
            <v>0.25</v>
          </cell>
          <cell r="Y2420">
            <v>-0.04</v>
          </cell>
          <cell r="AB2420">
            <v>0.25</v>
          </cell>
          <cell r="AC2420">
            <v>0.25</v>
          </cell>
          <cell r="AD2420">
            <v>0.25</v>
          </cell>
          <cell r="AE2420">
            <v>0.25</v>
          </cell>
          <cell r="AF2420">
            <v>0.25</v>
          </cell>
          <cell r="AG2420">
            <v>0.25</v>
          </cell>
          <cell r="AH2420">
            <v>0.25</v>
          </cell>
          <cell r="AI2420">
            <v>0.25</v>
          </cell>
          <cell r="AJ2420">
            <v>0.25</v>
          </cell>
          <cell r="AK2420">
            <v>0.25</v>
          </cell>
          <cell r="AL2420">
            <v>0.25</v>
          </cell>
          <cell r="AM2420">
            <v>0.25</v>
          </cell>
          <cell r="AN2420">
            <v>0.25</v>
          </cell>
          <cell r="AO2420">
            <v>0.25</v>
          </cell>
          <cell r="AP2420">
            <v>0.25</v>
          </cell>
          <cell r="AQ2420">
            <v>0.25</v>
          </cell>
          <cell r="AR2420">
            <v>0.25</v>
          </cell>
          <cell r="AS2420">
            <v>0.25</v>
          </cell>
          <cell r="AT2420">
            <v>-0.04</v>
          </cell>
          <cell r="AU2420">
            <v>0.92</v>
          </cell>
          <cell r="AV2420">
            <v>20</v>
          </cell>
          <cell r="AZ2420">
            <v>0.25</v>
          </cell>
          <cell r="BA2420">
            <v>0.25</v>
          </cell>
        </row>
        <row r="2421">
          <cell r="A2421" t="str">
            <v>TDS DI ELIA EMIDIO PISU</v>
          </cell>
          <cell r="B2421" t="str">
            <v>SOLO BIGLIETTO DA VISITA</v>
          </cell>
          <cell r="D2421" t="str">
            <v>VIA AZUNI, 14B</v>
          </cell>
          <cell r="E2421" t="str">
            <v>09025</v>
          </cell>
          <cell r="F2421" t="str">
            <v>SANLURI</v>
          </cell>
          <cell r="G2421" t="str">
            <v>CA</v>
          </cell>
          <cell r="H2421" t="str">
            <v>ITALIA</v>
          </cell>
          <cell r="J2421" t="str">
            <v>03421780929</v>
          </cell>
          <cell r="M2421" t="str">
            <v>UFFICIO ACQUISTI</v>
          </cell>
          <cell r="N2421" t="str">
            <v>070 7569556</v>
          </cell>
          <cell r="O2421" t="str">
            <v>340 7623033</v>
          </cell>
          <cell r="P2421" t="str">
            <v>tendedasolesanluri@libero.it</v>
          </cell>
          <cell r="R2421" t="str">
            <v>BONIFICO BANCARIO, ALLA DATA DELLA NOSTRA CONFERMA D'ORDINE</v>
          </cell>
          <cell r="X2421">
            <v>0.25</v>
          </cell>
          <cell r="Y2421">
            <v>-0.04</v>
          </cell>
          <cell r="AB2421">
            <v>0.25</v>
          </cell>
          <cell r="AC2421">
            <v>0.25</v>
          </cell>
          <cell r="AD2421">
            <v>0.25</v>
          </cell>
          <cell r="AE2421">
            <v>0.25</v>
          </cell>
          <cell r="AF2421">
            <v>0.25</v>
          </cell>
          <cell r="AG2421">
            <v>0.25</v>
          </cell>
          <cell r="AH2421">
            <v>0.25</v>
          </cell>
          <cell r="AI2421">
            <v>0.25</v>
          </cell>
          <cell r="AJ2421">
            <v>0.25</v>
          </cell>
          <cell r="AK2421">
            <v>0.25</v>
          </cell>
          <cell r="AL2421">
            <v>0.25</v>
          </cell>
          <cell r="AM2421">
            <v>0.25</v>
          </cell>
          <cell r="AN2421">
            <v>0.25</v>
          </cell>
          <cell r="AO2421">
            <v>0.25</v>
          </cell>
          <cell r="AP2421">
            <v>0.25</v>
          </cell>
          <cell r="AQ2421">
            <v>0.25</v>
          </cell>
          <cell r="AR2421">
            <v>0.25</v>
          </cell>
          <cell r="AS2421">
            <v>0.25</v>
          </cell>
          <cell r="AT2421">
            <v>-0.04</v>
          </cell>
          <cell r="AU2421">
            <v>0.92</v>
          </cell>
          <cell r="AV2421">
            <v>20</v>
          </cell>
          <cell r="AZ2421">
            <v>0.25</v>
          </cell>
          <cell r="BA2421">
            <v>0.25</v>
          </cell>
        </row>
        <row r="2422">
          <cell r="A2422" t="str">
            <v>TEBALDI FALEGNAMERIA</v>
          </cell>
          <cell r="D2422" t="str">
            <v>VIA BELGIO,12</v>
          </cell>
          <cell r="E2422">
            <v>37069</v>
          </cell>
          <cell r="F2422" t="str">
            <v>VILLAFR. DI VERONA</v>
          </cell>
          <cell r="G2422" t="str">
            <v>VR</v>
          </cell>
          <cell r="H2422" t="str">
            <v>ITALIA</v>
          </cell>
          <cell r="I2422" t="str">
            <v>02869020236</v>
          </cell>
          <cell r="J2422" t="str">
            <v>02869020236</v>
          </cell>
          <cell r="M2422" t="str">
            <v>UFFICIO ACQUISTI</v>
          </cell>
          <cell r="N2422" t="str">
            <v>045 6301406</v>
          </cell>
          <cell r="O2422" t="str">
            <v>348 7239554</v>
          </cell>
          <cell r="P2422" t="str">
            <v>info@falegnameriarebaldi.com</v>
          </cell>
          <cell r="R2422" t="str">
            <v>BONIFICO BANCARIO, ALLA DATA DELLA NOSTRA CONFERMA D'ORDINE</v>
          </cell>
          <cell r="X2422">
            <v>0.25</v>
          </cell>
          <cell r="Y2422">
            <v>-0.04</v>
          </cell>
          <cell r="AB2422">
            <v>0.25</v>
          </cell>
          <cell r="AC2422">
            <v>0.25</v>
          </cell>
          <cell r="AD2422">
            <v>0.25</v>
          </cell>
          <cell r="AE2422">
            <v>0.25</v>
          </cell>
          <cell r="AF2422">
            <v>0.25</v>
          </cell>
          <cell r="AG2422">
            <v>0.25</v>
          </cell>
          <cell r="AH2422">
            <v>0.25</v>
          </cell>
          <cell r="AI2422">
            <v>0.25</v>
          </cell>
          <cell r="AJ2422">
            <v>0.25</v>
          </cell>
          <cell r="AK2422">
            <v>0.25</v>
          </cell>
          <cell r="AL2422">
            <v>0.25</v>
          </cell>
          <cell r="AM2422">
            <v>0.25</v>
          </cell>
          <cell r="AN2422">
            <v>0.25</v>
          </cell>
          <cell r="AO2422">
            <v>0.25</v>
          </cell>
          <cell r="AP2422">
            <v>0.25</v>
          </cell>
          <cell r="AQ2422">
            <v>0.25</v>
          </cell>
          <cell r="AR2422">
            <v>0.25</v>
          </cell>
          <cell r="AS2422">
            <v>0.25</v>
          </cell>
          <cell r="AT2422">
            <v>-0.04</v>
          </cell>
          <cell r="AU2422">
            <v>0.92</v>
          </cell>
          <cell r="AV2422">
            <v>20</v>
          </cell>
          <cell r="AZ2422">
            <v>0.25</v>
          </cell>
          <cell r="BA2422">
            <v>0.25</v>
          </cell>
        </row>
        <row r="2423">
          <cell r="A2423" t="str">
            <v>TECHNO DOMUS  GROUP SRL</v>
          </cell>
          <cell r="D2423" t="str">
            <v>STRADA OSTIGLIESE,  8 D</v>
          </cell>
          <cell r="E2423">
            <v>46100</v>
          </cell>
          <cell r="F2423" t="str">
            <v>MANTOVA</v>
          </cell>
          <cell r="G2423" t="str">
            <v>MN</v>
          </cell>
          <cell r="H2423" t="str">
            <v>ITALIA</v>
          </cell>
          <cell r="M2423" t="str">
            <v>UFFICIO ACQUISTI</v>
          </cell>
          <cell r="N2423" t="str">
            <v>0376 374683</v>
          </cell>
          <cell r="O2423" t="str">
            <v>Moreno 336 305085</v>
          </cell>
          <cell r="P2423" t="str">
            <v>technodomusgroup@gmail.com</v>
          </cell>
          <cell r="R2423" t="str">
            <v>BONIFICO BANCARIO, ALLA DATA DELLA NOSTRA CONFERMA D'ORDINE</v>
          </cell>
          <cell r="X2423">
            <v>0.25</v>
          </cell>
          <cell r="Y2423">
            <v>-0.04</v>
          </cell>
          <cell r="AB2423">
            <v>0.25</v>
          </cell>
          <cell r="AC2423">
            <v>0.25</v>
          </cell>
          <cell r="AD2423">
            <v>0.25</v>
          </cell>
          <cell r="AE2423">
            <v>0.25</v>
          </cell>
          <cell r="AF2423">
            <v>0.25</v>
          </cell>
          <cell r="AG2423">
            <v>0.25</v>
          </cell>
          <cell r="AH2423">
            <v>0.25</v>
          </cell>
          <cell r="AI2423">
            <v>0.25</v>
          </cell>
          <cell r="AJ2423">
            <v>0.25</v>
          </cell>
          <cell r="AK2423">
            <v>0.25</v>
          </cell>
          <cell r="AL2423">
            <v>0.25</v>
          </cell>
          <cell r="AM2423">
            <v>0.25</v>
          </cell>
          <cell r="AN2423">
            <v>0.25</v>
          </cell>
          <cell r="AO2423">
            <v>0.25</v>
          </cell>
          <cell r="AP2423">
            <v>0.25</v>
          </cell>
          <cell r="AQ2423">
            <v>0.25</v>
          </cell>
          <cell r="AR2423">
            <v>0.25</v>
          </cell>
          <cell r="AS2423">
            <v>0.25</v>
          </cell>
          <cell r="AT2423">
            <v>-0.04</v>
          </cell>
          <cell r="AU2423">
            <v>0.92</v>
          </cell>
          <cell r="AV2423">
            <v>20</v>
          </cell>
          <cell r="AZ2423">
            <v>0.25</v>
          </cell>
          <cell r="BA2423">
            <v>0.25</v>
          </cell>
        </row>
        <row r="2424">
          <cell r="A2424" t="str">
            <v>TECHNO SERRAMENTI</v>
          </cell>
          <cell r="B2424" t="str">
            <v>RIVENDITORE ACQUASTOP - 14/12 PARLATO CON STEFANO. VENDE ACQUASTOP E VENDUTO ANCHE IN QUESTO PERIODO. VUOLE MAIL. CURIOSO. DICE CON IL NUOVO ANNO DI SENTIRCI E PARLARE. CONOSCE BENE IL PRODOTTO. VORREBBE ANCHE SPECIFICHE TECNICHE. DICE CHE SAREBBE INTERESSATO A UNA VISITA E VISIONARE CAMPIONE</v>
          </cell>
          <cell r="D2424" t="str">
            <v>PIAZZA I MAGGIO 4</v>
          </cell>
          <cell r="E2424" t="str">
            <v>33100</v>
          </cell>
          <cell r="F2424" t="str">
            <v>UDINE</v>
          </cell>
          <cell r="G2424" t="str">
            <v>UD</v>
          </cell>
          <cell r="H2424" t="str">
            <v>ITALIA</v>
          </cell>
          <cell r="J2424" t="str">
            <v>02261650309</v>
          </cell>
          <cell r="M2424" t="str">
            <v>UFFICIO ACQUISTI</v>
          </cell>
          <cell r="N2424" t="str">
            <v>0432 948665</v>
          </cell>
          <cell r="O2424" t="str">
            <v>345 6900164</v>
          </cell>
          <cell r="P2424" t="str">
            <v>viciguerrastefano@technoserramenti.it</v>
          </cell>
          <cell r="R2424" t="str">
            <v>BONIFICO BANCARIO, ALLA DATA DELLA NOSTRA CONFERMA D'ORDINE</v>
          </cell>
          <cell r="X2424">
            <v>0.25</v>
          </cell>
          <cell r="Y2424">
            <v>-0.04</v>
          </cell>
          <cell r="AB2424">
            <v>0.25</v>
          </cell>
          <cell r="AC2424">
            <v>0.25</v>
          </cell>
          <cell r="AD2424">
            <v>0.25</v>
          </cell>
          <cell r="AE2424">
            <v>0.25</v>
          </cell>
          <cell r="AF2424">
            <v>0.25</v>
          </cell>
          <cell r="AG2424">
            <v>0.25</v>
          </cell>
          <cell r="AH2424">
            <v>0.25</v>
          </cell>
          <cell r="AI2424">
            <v>0.25</v>
          </cell>
          <cell r="AJ2424">
            <v>0.25</v>
          </cell>
          <cell r="AK2424">
            <v>0.25</v>
          </cell>
          <cell r="AL2424">
            <v>0.25</v>
          </cell>
          <cell r="AM2424">
            <v>0.25</v>
          </cell>
          <cell r="AN2424">
            <v>0.25</v>
          </cell>
          <cell r="AO2424">
            <v>0.25</v>
          </cell>
          <cell r="AP2424">
            <v>0.25</v>
          </cell>
          <cell r="AQ2424">
            <v>0.25</v>
          </cell>
          <cell r="AR2424">
            <v>0.25</v>
          </cell>
          <cell r="AS2424">
            <v>0.25</v>
          </cell>
          <cell r="AT2424">
            <v>-0.04</v>
          </cell>
          <cell r="AU2424">
            <v>0.92</v>
          </cell>
          <cell r="AV2424">
            <v>20</v>
          </cell>
          <cell r="AZ2424">
            <v>0.25</v>
          </cell>
          <cell r="BA2424">
            <v>0.25</v>
          </cell>
        </row>
        <row r="2425">
          <cell r="A2425" t="str">
            <v>TECMO</v>
          </cell>
          <cell r="D2425" t="str">
            <v>VIA S.GOTTARDO 97</v>
          </cell>
          <cell r="E2425" t="str">
            <v>20900</v>
          </cell>
          <cell r="F2425" t="str">
            <v>MONZA</v>
          </cell>
          <cell r="G2425" t="str">
            <v>MB</v>
          </cell>
          <cell r="H2425" t="str">
            <v>ITALIA</v>
          </cell>
          <cell r="J2425" t="str">
            <v>03893290969</v>
          </cell>
          <cell r="M2425" t="str">
            <v>UFFICIO ACQUISTI</v>
          </cell>
          <cell r="N2425" t="str">
            <v>039 324482</v>
          </cell>
          <cell r="O2425" t="str">
            <v>349 3427737</v>
          </cell>
          <cell r="R2425" t="str">
            <v>BONIFICO BANCARIO, ALLA DATA DELLA NOSTRA CONFERMA D'ORDINE</v>
          </cell>
          <cell r="X2425">
            <v>0.25</v>
          </cell>
          <cell r="Y2425">
            <v>-0.04</v>
          </cell>
          <cell r="AB2425">
            <v>0.25</v>
          </cell>
          <cell r="AC2425">
            <v>0.25</v>
          </cell>
          <cell r="AD2425">
            <v>0.25</v>
          </cell>
          <cell r="AE2425">
            <v>0.25</v>
          </cell>
          <cell r="AF2425">
            <v>0.25</v>
          </cell>
          <cell r="AG2425">
            <v>0.25</v>
          </cell>
          <cell r="AH2425">
            <v>0.25</v>
          </cell>
          <cell r="AI2425">
            <v>0.25</v>
          </cell>
          <cell r="AJ2425">
            <v>0.25</v>
          </cell>
          <cell r="AK2425">
            <v>0.25</v>
          </cell>
          <cell r="AL2425">
            <v>0.25</v>
          </cell>
          <cell r="AM2425">
            <v>0.25</v>
          </cell>
          <cell r="AN2425">
            <v>0.25</v>
          </cell>
          <cell r="AO2425">
            <v>0.25</v>
          </cell>
          <cell r="AP2425">
            <v>0.25</v>
          </cell>
          <cell r="AQ2425">
            <v>0.25</v>
          </cell>
          <cell r="AR2425">
            <v>0.25</v>
          </cell>
          <cell r="AS2425">
            <v>0.25</v>
          </cell>
          <cell r="AT2425">
            <v>-0.04</v>
          </cell>
          <cell r="AU2425">
            <v>0.92</v>
          </cell>
          <cell r="AV2425">
            <v>20</v>
          </cell>
          <cell r="AZ2425">
            <v>0.25</v>
          </cell>
          <cell r="BA2425">
            <v>0.25</v>
          </cell>
        </row>
        <row r="2426">
          <cell r="A2426" t="str">
            <v>TECNICALL snc</v>
          </cell>
          <cell r="D2426" t="str">
            <v>VIA ARGINATURA, 88</v>
          </cell>
          <cell r="E2426">
            <v>18018</v>
          </cell>
          <cell r="F2426" t="str">
            <v>TAGGIA</v>
          </cell>
          <cell r="G2426" t="str">
            <v>IM</v>
          </cell>
          <cell r="H2426" t="str">
            <v>ITALIA</v>
          </cell>
          <cell r="I2426" t="str">
            <v>00705240083</v>
          </cell>
          <cell r="J2426" t="str">
            <v>00705240083</v>
          </cell>
          <cell r="M2426" t="str">
            <v>UFFICIO ACQUISTI</v>
          </cell>
          <cell r="N2426" t="str">
            <v>0184 41515</v>
          </cell>
          <cell r="P2426" t="str">
            <v>tecnicallsnc@gmail.com</v>
          </cell>
          <cell r="R2426" t="str">
            <v>BONIFICO BANCARIO, ALLA DATA DELLA NOSTRA CONFERMA D'ORDINE</v>
          </cell>
          <cell r="X2426">
            <v>0.25</v>
          </cell>
          <cell r="Y2426">
            <v>-0.04</v>
          </cell>
          <cell r="AB2426">
            <v>0.25</v>
          </cell>
          <cell r="AC2426">
            <v>0.25</v>
          </cell>
          <cell r="AD2426">
            <v>0.25</v>
          </cell>
          <cell r="AE2426">
            <v>0.25</v>
          </cell>
          <cell r="AF2426">
            <v>0.25</v>
          </cell>
          <cell r="AG2426">
            <v>0.25</v>
          </cell>
          <cell r="AH2426">
            <v>0.25</v>
          </cell>
          <cell r="AI2426">
            <v>0.25</v>
          </cell>
          <cell r="AJ2426">
            <v>0.25</v>
          </cell>
          <cell r="AK2426">
            <v>0.25</v>
          </cell>
          <cell r="AL2426">
            <v>0.25</v>
          </cell>
          <cell r="AM2426">
            <v>0.25</v>
          </cell>
          <cell r="AN2426">
            <v>0.25</v>
          </cell>
          <cell r="AO2426">
            <v>0.25</v>
          </cell>
          <cell r="AP2426">
            <v>0.25</v>
          </cell>
          <cell r="AQ2426">
            <v>0.25</v>
          </cell>
          <cell r="AR2426">
            <v>0.25</v>
          </cell>
          <cell r="AS2426">
            <v>0.25</v>
          </cell>
          <cell r="AT2426">
            <v>-0.04</v>
          </cell>
          <cell r="AU2426">
            <v>0.92</v>
          </cell>
          <cell r="AV2426">
            <v>20</v>
          </cell>
          <cell r="AZ2426">
            <v>0.25</v>
          </cell>
          <cell r="BA2426">
            <v>0.25</v>
          </cell>
        </row>
        <row r="2427">
          <cell r="A2427" t="str">
            <v>TECNICOM</v>
          </cell>
          <cell r="D2427" t="str">
            <v>VIA DI LAMAR, 2</v>
          </cell>
          <cell r="E2427">
            <v>38121</v>
          </cell>
          <cell r="F2427" t="str">
            <v>TRENTO</v>
          </cell>
          <cell r="G2427" t="str">
            <v>TN</v>
          </cell>
          <cell r="H2427" t="str">
            <v>ITALIA</v>
          </cell>
          <cell r="M2427" t="str">
            <v>UFFICIO ACQUISTI</v>
          </cell>
          <cell r="N2427" t="str">
            <v>0461 239524</v>
          </cell>
          <cell r="O2427" t="str">
            <v>Alessandro Dallago 366 3287064</v>
          </cell>
          <cell r="P2427" t="str">
            <v>info@tecnicom-srl.it - commerciale4@tecnicom-srl.it</v>
          </cell>
          <cell r="R2427" t="str">
            <v>BONIFICO BANCARIO, ALLA DATA DELLA NOSTRA CONFERMA D'ORDINE</v>
          </cell>
          <cell r="X2427">
            <v>0.25</v>
          </cell>
          <cell r="Y2427">
            <v>-0.04</v>
          </cell>
          <cell r="AB2427">
            <v>0.25</v>
          </cell>
          <cell r="AC2427">
            <v>0.25</v>
          </cell>
          <cell r="AD2427">
            <v>0.25</v>
          </cell>
          <cell r="AE2427">
            <v>0.25</v>
          </cell>
          <cell r="AF2427">
            <v>0.25</v>
          </cell>
          <cell r="AG2427">
            <v>0.25</v>
          </cell>
          <cell r="AH2427">
            <v>0.25</v>
          </cell>
          <cell r="AI2427">
            <v>0.25</v>
          </cell>
          <cell r="AJ2427">
            <v>0.25</v>
          </cell>
          <cell r="AK2427">
            <v>0.25</v>
          </cell>
          <cell r="AL2427">
            <v>0.25</v>
          </cell>
          <cell r="AM2427">
            <v>0.25</v>
          </cell>
          <cell r="AN2427">
            <v>0.25</v>
          </cell>
          <cell r="AO2427">
            <v>0.25</v>
          </cell>
          <cell r="AP2427">
            <v>0.25</v>
          </cell>
          <cell r="AQ2427">
            <v>0.25</v>
          </cell>
          <cell r="AR2427">
            <v>0.25</v>
          </cell>
          <cell r="AS2427">
            <v>0.25</v>
          </cell>
          <cell r="AT2427">
            <v>-0.04</v>
          </cell>
          <cell r="AU2427">
            <v>0.92</v>
          </cell>
          <cell r="AV2427">
            <v>20</v>
          </cell>
          <cell r="AZ2427">
            <v>0.25</v>
          </cell>
          <cell r="BA2427">
            <v>0.25</v>
          </cell>
        </row>
        <row r="2428">
          <cell r="A2428" t="str">
            <v>TECNO 2000 SRL</v>
          </cell>
          <cell r="D2428" t="str">
            <v>VIA OFANTO, SNC</v>
          </cell>
          <cell r="E2428" t="str">
            <v>04100</v>
          </cell>
          <cell r="F2428" t="str">
            <v>LATINA</v>
          </cell>
          <cell r="G2428" t="str">
            <v>LT</v>
          </cell>
          <cell r="H2428" t="str">
            <v>ITALIA</v>
          </cell>
          <cell r="M2428" t="str">
            <v>UFFICIO ACQUISTI</v>
          </cell>
          <cell r="N2428" t="str">
            <v>0773 242780/81</v>
          </cell>
          <cell r="O2428" t="str">
            <v>389 5681368</v>
          </cell>
          <cell r="P2428" t="str">
            <v>info@tecno2000srl.it</v>
          </cell>
          <cell r="R2428" t="str">
            <v>BONIFICO BANCARIO, ALLA DATA DELLA NOSTRA CONFERMA D'ORDINE</v>
          </cell>
          <cell r="X2428">
            <v>0.2</v>
          </cell>
          <cell r="Y2428">
            <v>-0.04</v>
          </cell>
          <cell r="AB2428">
            <v>0.2</v>
          </cell>
          <cell r="AC2428">
            <v>0.2</v>
          </cell>
          <cell r="AD2428">
            <v>0.2</v>
          </cell>
          <cell r="AE2428">
            <v>0.2</v>
          </cell>
          <cell r="AF2428">
            <v>0.2</v>
          </cell>
          <cell r="AG2428">
            <v>0.2</v>
          </cell>
          <cell r="AH2428">
            <v>0.2</v>
          </cell>
          <cell r="AI2428">
            <v>0.2</v>
          </cell>
          <cell r="AJ2428">
            <v>0.2</v>
          </cell>
          <cell r="AK2428">
            <v>0.2</v>
          </cell>
          <cell r="AL2428">
            <v>0.2</v>
          </cell>
          <cell r="AM2428">
            <v>0.2</v>
          </cell>
          <cell r="AN2428">
            <v>0.2</v>
          </cell>
          <cell r="AO2428">
            <v>0.2</v>
          </cell>
          <cell r="AP2428">
            <v>0.2</v>
          </cell>
          <cell r="AQ2428">
            <v>0.2</v>
          </cell>
          <cell r="AR2428">
            <v>0.2</v>
          </cell>
          <cell r="AS2428">
            <v>0.2</v>
          </cell>
          <cell r="AT2428">
            <v>-0.04</v>
          </cell>
          <cell r="AU2428">
            <v>0.92</v>
          </cell>
          <cell r="AV2428">
            <v>20</v>
          </cell>
          <cell r="AZ2428">
            <v>0.2</v>
          </cell>
          <cell r="BA2428">
            <v>0.2</v>
          </cell>
        </row>
        <row r="2429">
          <cell r="A2429" t="str">
            <v>TECNO ALL SAS DI M. MARCHIANO E C.</v>
          </cell>
          <cell r="D2429" t="str">
            <v>VIA ROMA, 208</v>
          </cell>
          <cell r="E2429" t="str">
            <v>17053</v>
          </cell>
          <cell r="F2429" t="str">
            <v>LAIGUEGLIA</v>
          </cell>
          <cell r="G2429" t="str">
            <v>SV</v>
          </cell>
          <cell r="H2429" t="str">
            <v>ITALIA</v>
          </cell>
          <cell r="J2429" t="str">
            <v>01447880095</v>
          </cell>
          <cell r="M2429" t="str">
            <v>UFFICIO ACQUISTI</v>
          </cell>
          <cell r="N2429" t="str">
            <v>0182 698652</v>
          </cell>
          <cell r="P2429" t="str">
            <v>tecnoallsas@gmail.com</v>
          </cell>
          <cell r="R2429" t="str">
            <v>BONIFICO BANCARIO, ALLA DATA DELLA NOSTRA CONFERMA D'ORDINE</v>
          </cell>
          <cell r="X2429">
            <v>0.2</v>
          </cell>
          <cell r="Y2429">
            <v>-0.04</v>
          </cell>
          <cell r="AB2429">
            <v>0.2</v>
          </cell>
          <cell r="AC2429">
            <v>0.2</v>
          </cell>
          <cell r="AD2429">
            <v>0.2</v>
          </cell>
          <cell r="AE2429">
            <v>0.2</v>
          </cell>
          <cell r="AF2429">
            <v>0.2</v>
          </cell>
          <cell r="AG2429">
            <v>0.2</v>
          </cell>
          <cell r="AH2429">
            <v>0.2</v>
          </cell>
          <cell r="AI2429">
            <v>0.2</v>
          </cell>
          <cell r="AJ2429">
            <v>0.2</v>
          </cell>
          <cell r="AK2429">
            <v>0.2</v>
          </cell>
          <cell r="AL2429">
            <v>0.2</v>
          </cell>
          <cell r="AM2429">
            <v>0.2</v>
          </cell>
          <cell r="AN2429">
            <v>0.2</v>
          </cell>
          <cell r="AO2429">
            <v>0.2</v>
          </cell>
          <cell r="AP2429">
            <v>0.2</v>
          </cell>
          <cell r="AQ2429">
            <v>0.2</v>
          </cell>
          <cell r="AR2429">
            <v>0.2</v>
          </cell>
          <cell r="AS2429">
            <v>0.2</v>
          </cell>
          <cell r="AT2429">
            <v>-0.04</v>
          </cell>
          <cell r="AU2429">
            <v>0.92</v>
          </cell>
          <cell r="AV2429">
            <v>20</v>
          </cell>
          <cell r="AZ2429">
            <v>0.2</v>
          </cell>
          <cell r="BA2429">
            <v>0.2</v>
          </cell>
        </row>
        <row r="2430">
          <cell r="A2430" t="str">
            <v>TECNO ALLUMINIO SRL</v>
          </cell>
          <cell r="D2430" t="str">
            <v>VIA ARRIGO BOITO, 2</v>
          </cell>
          <cell r="E2430" t="str">
            <v>46028</v>
          </cell>
          <cell r="F2430" t="str">
            <v>SERMIDE</v>
          </cell>
          <cell r="G2430" t="str">
            <v>MN</v>
          </cell>
          <cell r="H2430" t="str">
            <v>ITALIA</v>
          </cell>
          <cell r="J2430" t="str">
            <v>02308990205</v>
          </cell>
          <cell r="K2430" t="str">
            <v>J6URRTW</v>
          </cell>
          <cell r="M2430" t="str">
            <v>UFFICIO ACQUISTI</v>
          </cell>
          <cell r="N2430" t="str">
            <v>0386 61171</v>
          </cell>
          <cell r="P2430" t="str">
            <v>info@tecnoalluminio.com</v>
          </cell>
          <cell r="R2430" t="str">
            <v>BONIFICO BANCARIO, ALLA DATA DELLA NOSTRA CONFERMA D'ORDINE</v>
          </cell>
          <cell r="X2430">
            <v>0.2</v>
          </cell>
          <cell r="Y2430">
            <v>-0.04</v>
          </cell>
          <cell r="AB2430">
            <v>0.2</v>
          </cell>
          <cell r="AC2430">
            <v>0.2</v>
          </cell>
          <cell r="AD2430">
            <v>0.2</v>
          </cell>
          <cell r="AE2430">
            <v>0.2</v>
          </cell>
          <cell r="AF2430">
            <v>0.2</v>
          </cell>
          <cell r="AG2430">
            <v>0.2</v>
          </cell>
          <cell r="AH2430">
            <v>0.2</v>
          </cell>
          <cell r="AI2430">
            <v>0.2</v>
          </cell>
          <cell r="AJ2430">
            <v>0.2</v>
          </cell>
          <cell r="AK2430">
            <v>0.2</v>
          </cell>
          <cell r="AL2430">
            <v>0.2</v>
          </cell>
          <cell r="AM2430">
            <v>0.2</v>
          </cell>
          <cell r="AN2430">
            <v>0.2</v>
          </cell>
          <cell r="AO2430">
            <v>0.2</v>
          </cell>
          <cell r="AP2430">
            <v>0.2</v>
          </cell>
          <cell r="AQ2430">
            <v>0.2</v>
          </cell>
          <cell r="AR2430">
            <v>0.2</v>
          </cell>
          <cell r="AS2430">
            <v>0.2</v>
          </cell>
          <cell r="AT2430">
            <v>-0.04</v>
          </cell>
          <cell r="AU2430">
            <v>0.92</v>
          </cell>
          <cell r="AV2430">
            <v>20</v>
          </cell>
          <cell r="AZ2430">
            <v>0.2</v>
          </cell>
          <cell r="BA2430">
            <v>0.2</v>
          </cell>
        </row>
        <row r="2431">
          <cell r="A2431" t="str">
            <v>TECNO ALLUMINIO SRL</v>
          </cell>
          <cell r="D2431" t="str">
            <v>VIA A. ALIPRANDI 88</v>
          </cell>
          <cell r="E2431" t="str">
            <v>00126</v>
          </cell>
          <cell r="F2431" t="str">
            <v>DRAGONA</v>
          </cell>
          <cell r="G2431" t="str">
            <v>RM</v>
          </cell>
          <cell r="H2431" t="str">
            <v>ITALIA</v>
          </cell>
          <cell r="M2431" t="str">
            <v>UFFICIO ACQUISTI</v>
          </cell>
          <cell r="N2431" t="str">
            <v>06 5781233</v>
          </cell>
          <cell r="O2431" t="str">
            <v>329 7397546</v>
          </cell>
          <cell r="P2431" t="str">
            <v>info@tecnoalluminiosrl.com</v>
          </cell>
          <cell r="R2431" t="str">
            <v>BONIFICO BANCARIO, ALLA DATA DELLA NOSTRA CONFERMA D'ORDINE</v>
          </cell>
          <cell r="X2431">
            <v>0.25</v>
          </cell>
          <cell r="Y2431">
            <v>-0.04</v>
          </cell>
          <cell r="AB2431">
            <v>0.25</v>
          </cell>
          <cell r="AC2431">
            <v>0.25</v>
          </cell>
          <cell r="AD2431">
            <v>0.25</v>
          </cell>
          <cell r="AE2431">
            <v>0.25</v>
          </cell>
          <cell r="AF2431">
            <v>0.25</v>
          </cell>
          <cell r="AG2431">
            <v>0.25</v>
          </cell>
          <cell r="AH2431">
            <v>0.25</v>
          </cell>
          <cell r="AI2431">
            <v>0.25</v>
          </cell>
          <cell r="AJ2431">
            <v>0.25</v>
          </cell>
          <cell r="AK2431">
            <v>0.25</v>
          </cell>
          <cell r="AL2431">
            <v>0.25</v>
          </cell>
          <cell r="AM2431">
            <v>0.25</v>
          </cell>
          <cell r="AN2431">
            <v>0.25</v>
          </cell>
          <cell r="AO2431">
            <v>0.25</v>
          </cell>
          <cell r="AP2431">
            <v>0.25</v>
          </cell>
          <cell r="AQ2431">
            <v>0.25</v>
          </cell>
          <cell r="AR2431">
            <v>0.25</v>
          </cell>
          <cell r="AS2431">
            <v>0.25</v>
          </cell>
          <cell r="AT2431">
            <v>-0.04</v>
          </cell>
          <cell r="AU2431">
            <v>0.92</v>
          </cell>
          <cell r="AV2431">
            <v>20</v>
          </cell>
          <cell r="AZ2431">
            <v>0.25</v>
          </cell>
          <cell r="BA2431">
            <v>0.25</v>
          </cell>
        </row>
        <row r="2432">
          <cell r="A2432" t="str">
            <v>TECNO ART</v>
          </cell>
          <cell r="D2432" t="str">
            <v>VIA VALSOLDA 33 - 35</v>
          </cell>
          <cell r="E2432" t="str">
            <v>00141</v>
          </cell>
          <cell r="F2432" t="str">
            <v>ROMA</v>
          </cell>
          <cell r="G2432" t="str">
            <v>RM</v>
          </cell>
          <cell r="H2432" t="str">
            <v>ITALIA</v>
          </cell>
          <cell r="M2432" t="str">
            <v>UFFICIO ACQUISTI</v>
          </cell>
          <cell r="N2432" t="str">
            <v>06 87195397</v>
          </cell>
          <cell r="O2432" t="str">
            <v>347 8048901</v>
          </cell>
          <cell r="P2432" t="str">
            <v>gf.lunghi@tecnoart.net</v>
          </cell>
          <cell r="R2432" t="str">
            <v>BONIFICO BANCARIO, ALLA DATA DELLA NOSTRA CONFERMA D'ORDINE</v>
          </cell>
          <cell r="X2432">
            <v>0.25</v>
          </cell>
          <cell r="Y2432">
            <v>-0.04</v>
          </cell>
          <cell r="AB2432">
            <v>0.25</v>
          </cell>
          <cell r="AC2432">
            <v>0.25</v>
          </cell>
          <cell r="AD2432">
            <v>0.25</v>
          </cell>
          <cell r="AE2432">
            <v>0.25</v>
          </cell>
          <cell r="AF2432">
            <v>0.25</v>
          </cell>
          <cell r="AG2432">
            <v>0.25</v>
          </cell>
          <cell r="AH2432">
            <v>0.25</v>
          </cell>
          <cell r="AI2432">
            <v>0.25</v>
          </cell>
          <cell r="AJ2432">
            <v>0.25</v>
          </cell>
          <cell r="AK2432">
            <v>0.25</v>
          </cell>
          <cell r="AL2432">
            <v>0.25</v>
          </cell>
          <cell r="AM2432">
            <v>0.25</v>
          </cell>
          <cell r="AN2432">
            <v>0.25</v>
          </cell>
          <cell r="AO2432">
            <v>0.25</v>
          </cell>
          <cell r="AP2432">
            <v>0.25</v>
          </cell>
          <cell r="AQ2432">
            <v>0.25</v>
          </cell>
          <cell r="AR2432">
            <v>0.25</v>
          </cell>
          <cell r="AS2432">
            <v>0.25</v>
          </cell>
          <cell r="AT2432">
            <v>-0.04</v>
          </cell>
          <cell r="AU2432">
            <v>0.92</v>
          </cell>
          <cell r="AV2432">
            <v>20</v>
          </cell>
          <cell r="AZ2432">
            <v>0.25</v>
          </cell>
          <cell r="BA2432">
            <v>0.25</v>
          </cell>
        </row>
        <row r="2433">
          <cell r="A2433" t="str">
            <v>TECNO CAD</v>
          </cell>
          <cell r="D2433" t="str">
            <v>VIA GRAMSCI 33</v>
          </cell>
          <cell r="E2433">
            <v>27028</v>
          </cell>
          <cell r="F2433" t="str">
            <v>SAN MARTINI SICCOMARIO</v>
          </cell>
          <cell r="G2433" t="str">
            <v>PV</v>
          </cell>
          <cell r="H2433" t="str">
            <v>ITALIA</v>
          </cell>
          <cell r="M2433" t="str">
            <v>UFFICIO ACQUISTI</v>
          </cell>
          <cell r="N2433" t="str">
            <v>0382 554300</v>
          </cell>
          <cell r="O2433" t="str">
            <v>393 9025497</v>
          </cell>
          <cell r="P2433" t="str">
            <v>info@tecnocadsw.com</v>
          </cell>
          <cell r="R2433" t="str">
            <v>BONIFICO BANCARIO, ALLA DATA DELLA NOSTRA CONFERMA D'ORDINE</v>
          </cell>
          <cell r="X2433">
            <v>0.25</v>
          </cell>
          <cell r="Y2433">
            <v>-0.04</v>
          </cell>
          <cell r="AB2433">
            <v>0.25</v>
          </cell>
          <cell r="AC2433">
            <v>0.25</v>
          </cell>
          <cell r="AD2433">
            <v>0.25</v>
          </cell>
          <cell r="AE2433">
            <v>0.25</v>
          </cell>
          <cell r="AF2433">
            <v>0.25</v>
          </cell>
          <cell r="AG2433">
            <v>0.25</v>
          </cell>
          <cell r="AH2433">
            <v>0.25</v>
          </cell>
          <cell r="AI2433">
            <v>0.25</v>
          </cell>
          <cell r="AJ2433">
            <v>0.25</v>
          </cell>
          <cell r="AK2433">
            <v>0.25</v>
          </cell>
          <cell r="AL2433">
            <v>0.25</v>
          </cell>
          <cell r="AM2433">
            <v>0.25</v>
          </cell>
          <cell r="AN2433">
            <v>0.25</v>
          </cell>
          <cell r="AO2433">
            <v>0.25</v>
          </cell>
          <cell r="AP2433">
            <v>0.25</v>
          </cell>
          <cell r="AQ2433">
            <v>0.25</v>
          </cell>
          <cell r="AR2433">
            <v>0.25</v>
          </cell>
          <cell r="AS2433">
            <v>0.25</v>
          </cell>
          <cell r="AT2433">
            <v>-0.04</v>
          </cell>
          <cell r="AU2433">
            <v>0.92</v>
          </cell>
          <cell r="AV2433">
            <v>20</v>
          </cell>
          <cell r="AZ2433">
            <v>0.25</v>
          </cell>
          <cell r="BA2433">
            <v>0.25</v>
          </cell>
        </row>
        <row r="2434">
          <cell r="A2434" t="str">
            <v>TECNO FINESTRA</v>
          </cell>
          <cell r="B2434" t="str">
            <v>SARA MAZZUCCHI CONSULENTE COMMERCIALE</v>
          </cell>
          <cell r="D2434" t="str">
            <v>VIA MODENESE, 1046</v>
          </cell>
          <cell r="E2434">
            <v>41057</v>
          </cell>
          <cell r="F2434" t="str">
            <v>SPILAMBERTO</v>
          </cell>
          <cell r="G2434" t="str">
            <v>MO</v>
          </cell>
          <cell r="H2434" t="str">
            <v>ITALIA</v>
          </cell>
          <cell r="J2434" t="str">
            <v>01611730365</v>
          </cell>
          <cell r="M2434" t="str">
            <v>UFFICIO ACQUISTI</v>
          </cell>
          <cell r="N2434" t="str">
            <v>059 828493</v>
          </cell>
          <cell r="O2434" t="str">
            <v>366 2696991</v>
          </cell>
          <cell r="P2434" t="str">
            <v>n.iacaruso@tecnofinestra.it</v>
          </cell>
          <cell r="R2434" t="str">
            <v>BONIFICO BANCARIO, ALLA DATA DELLA NOSTRA CONFERMA D'ORDINE</v>
          </cell>
          <cell r="X2434">
            <v>0.25</v>
          </cell>
          <cell r="Y2434">
            <v>-0.04</v>
          </cell>
          <cell r="AB2434">
            <v>0.25</v>
          </cell>
          <cell r="AC2434">
            <v>0.25</v>
          </cell>
          <cell r="AD2434">
            <v>0.25</v>
          </cell>
          <cell r="AE2434">
            <v>0.25</v>
          </cell>
          <cell r="AF2434">
            <v>0.25</v>
          </cell>
          <cell r="AG2434">
            <v>0.25</v>
          </cell>
          <cell r="AH2434">
            <v>0.25</v>
          </cell>
          <cell r="AI2434">
            <v>0.25</v>
          </cell>
          <cell r="AJ2434">
            <v>0.25</v>
          </cell>
          <cell r="AK2434">
            <v>0.25</v>
          </cell>
          <cell r="AL2434">
            <v>0.25</v>
          </cell>
          <cell r="AM2434">
            <v>0.25</v>
          </cell>
          <cell r="AN2434">
            <v>0.25</v>
          </cell>
          <cell r="AO2434">
            <v>0.25</v>
          </cell>
          <cell r="AP2434">
            <v>0.25</v>
          </cell>
          <cell r="AQ2434">
            <v>0.25</v>
          </cell>
          <cell r="AR2434">
            <v>0.25</v>
          </cell>
          <cell r="AS2434">
            <v>0.25</v>
          </cell>
          <cell r="AT2434">
            <v>-0.04</v>
          </cell>
          <cell r="AU2434">
            <v>0.92</v>
          </cell>
          <cell r="AV2434">
            <v>20</v>
          </cell>
          <cell r="AZ2434">
            <v>0.25</v>
          </cell>
          <cell r="BA2434">
            <v>0.25</v>
          </cell>
        </row>
        <row r="2435">
          <cell r="A2435" t="str">
            <v>TECNO INFISSI ALBARO</v>
          </cell>
          <cell r="B2435" t="str">
            <v>NON C'ERA LASCIATA BUSTA CON VOLANTINO  MP</v>
          </cell>
          <cell r="D2435" t="str">
            <v>VIA TRIESTE, 23  R</v>
          </cell>
          <cell r="E2435">
            <v>16145</v>
          </cell>
          <cell r="F2435" t="str">
            <v>GENOVA</v>
          </cell>
          <cell r="G2435" t="str">
            <v>GE</v>
          </cell>
          <cell r="H2435" t="str">
            <v>ITALIA</v>
          </cell>
          <cell r="M2435" t="str">
            <v>UFFICIO ACQUISTI</v>
          </cell>
          <cell r="O2435" t="str">
            <v>349 0657351</v>
          </cell>
          <cell r="P2435" t="str">
            <v>tecnoinfissialbaro@gmail.com</v>
          </cell>
          <cell r="R2435" t="str">
            <v>BONIFICO BANCARIO, ALLA DATA DELLA NOSTRA CONFERMA D'ORDINE</v>
          </cell>
          <cell r="X2435">
            <v>0.25</v>
          </cell>
          <cell r="Y2435">
            <v>-0.04</v>
          </cell>
          <cell r="AB2435">
            <v>0.25</v>
          </cell>
          <cell r="AC2435">
            <v>0.25</v>
          </cell>
          <cell r="AD2435">
            <v>0.25</v>
          </cell>
          <cell r="AE2435">
            <v>0.25</v>
          </cell>
          <cell r="AF2435">
            <v>0.25</v>
          </cell>
          <cell r="AG2435">
            <v>0.25</v>
          </cell>
          <cell r="AH2435">
            <v>0.25</v>
          </cell>
          <cell r="AI2435">
            <v>0.25</v>
          </cell>
          <cell r="AJ2435">
            <v>0.25</v>
          </cell>
          <cell r="AK2435">
            <v>0.25</v>
          </cell>
          <cell r="AL2435">
            <v>0.25</v>
          </cell>
          <cell r="AM2435">
            <v>0.25</v>
          </cell>
          <cell r="AN2435">
            <v>0.25</v>
          </cell>
          <cell r="AO2435">
            <v>0.25</v>
          </cell>
          <cell r="AP2435">
            <v>0.25</v>
          </cell>
          <cell r="AQ2435">
            <v>0.25</v>
          </cell>
          <cell r="AR2435">
            <v>0.25</v>
          </cell>
          <cell r="AS2435">
            <v>0.25</v>
          </cell>
          <cell r="AT2435">
            <v>-0.04</v>
          </cell>
          <cell r="AU2435">
            <v>0.92</v>
          </cell>
          <cell r="AV2435">
            <v>20</v>
          </cell>
          <cell r="AZ2435">
            <v>0.25</v>
          </cell>
          <cell r="BA2435">
            <v>0.25</v>
          </cell>
        </row>
        <row r="2436">
          <cell r="A2436" t="str">
            <v>TECNO INFISSI DI AMELEOTTI STEFANO &amp; C SAS</v>
          </cell>
          <cell r="D2436" t="str">
            <v>VIA BONIFACIO DAL POZZO 6</v>
          </cell>
          <cell r="E2436" t="str">
            <v>15100</v>
          </cell>
          <cell r="F2436" t="str">
            <v>ALESSANDRIA</v>
          </cell>
          <cell r="G2436" t="str">
            <v>AL</v>
          </cell>
          <cell r="H2436" t="str">
            <v>ITALIA</v>
          </cell>
          <cell r="J2436" t="str">
            <v>01422990067</v>
          </cell>
          <cell r="M2436" t="str">
            <v>UFFICIO ACQUISTI</v>
          </cell>
          <cell r="N2436" t="str">
            <v>0131 225722</v>
          </cell>
          <cell r="O2436" t="str">
            <v>333 6868644</v>
          </cell>
          <cell r="P2436" t="str">
            <v>tecnoinfissi@libero.it</v>
          </cell>
          <cell r="R2436" t="str">
            <v>BONIFICO BANCARIO, ALLA DATA DELLA NOSTRA CONFERMA D'ORDINE</v>
          </cell>
          <cell r="X2436">
            <v>0.25</v>
          </cell>
          <cell r="Y2436">
            <v>-0.04</v>
          </cell>
          <cell r="AB2436">
            <v>0.25</v>
          </cell>
          <cell r="AC2436">
            <v>0.25</v>
          </cell>
          <cell r="AD2436">
            <v>0.25</v>
          </cell>
          <cell r="AE2436">
            <v>0.25</v>
          </cell>
          <cell r="AF2436">
            <v>0.25</v>
          </cell>
          <cell r="AG2436">
            <v>0.25</v>
          </cell>
          <cell r="AH2436">
            <v>0.25</v>
          </cell>
          <cell r="AI2436">
            <v>0.25</v>
          </cell>
          <cell r="AJ2436">
            <v>0.25</v>
          </cell>
          <cell r="AK2436">
            <v>0.25</v>
          </cell>
          <cell r="AL2436">
            <v>0.25</v>
          </cell>
          <cell r="AM2436">
            <v>0.25</v>
          </cell>
          <cell r="AN2436">
            <v>0.25</v>
          </cell>
          <cell r="AO2436">
            <v>0.25</v>
          </cell>
          <cell r="AP2436">
            <v>0.25</v>
          </cell>
          <cell r="AQ2436">
            <v>0.25</v>
          </cell>
          <cell r="AR2436">
            <v>0.25</v>
          </cell>
          <cell r="AS2436">
            <v>0.25</v>
          </cell>
          <cell r="AT2436">
            <v>-0.04</v>
          </cell>
          <cell r="AU2436">
            <v>0.92</v>
          </cell>
          <cell r="AV2436">
            <v>20</v>
          </cell>
          <cell r="AZ2436">
            <v>0.25</v>
          </cell>
          <cell r="BA2436">
            <v>0.25</v>
          </cell>
        </row>
        <row r="2437">
          <cell r="A2437" t="str">
            <v>TECNO INFISSI DI GAMBETTI M CRISTINA</v>
          </cell>
          <cell r="B2437" t="str">
            <v>CRISTINA</v>
          </cell>
          <cell r="D2437" t="str">
            <v>VIA BOLOGNA 719/A</v>
          </cell>
          <cell r="E2437" t="str">
            <v>44124</v>
          </cell>
          <cell r="F2437" t="str">
            <v>CHIESUOL DEL FOSSO</v>
          </cell>
          <cell r="G2437" t="str">
            <v>FE</v>
          </cell>
          <cell r="H2437" t="str">
            <v>ITALIA</v>
          </cell>
          <cell r="J2437" t="str">
            <v>01308700382</v>
          </cell>
          <cell r="M2437" t="str">
            <v>UFFICIO ACQUISTI</v>
          </cell>
          <cell r="N2437" t="str">
            <v>0532 978204</v>
          </cell>
          <cell r="P2437" t="str">
            <v>tecnoinfissi_fe@libero.it</v>
          </cell>
          <cell r="R2437" t="str">
            <v>BONIFICO BANCARIO, ALLA DATA DELLA NOSTRA CONFERMA D'ORDINE</v>
          </cell>
          <cell r="X2437">
            <v>0.25</v>
          </cell>
          <cell r="Y2437">
            <v>-0.04</v>
          </cell>
          <cell r="AB2437">
            <v>0.25</v>
          </cell>
          <cell r="AC2437">
            <v>0.25</v>
          </cell>
          <cell r="AD2437">
            <v>0.25</v>
          </cell>
          <cell r="AE2437">
            <v>0.25</v>
          </cell>
          <cell r="AF2437">
            <v>0.25</v>
          </cell>
          <cell r="AG2437">
            <v>0.25</v>
          </cell>
          <cell r="AH2437">
            <v>0.25</v>
          </cell>
          <cell r="AI2437">
            <v>0.25</v>
          </cell>
          <cell r="AJ2437">
            <v>0.25</v>
          </cell>
          <cell r="AK2437">
            <v>0.25</v>
          </cell>
          <cell r="AL2437">
            <v>0.25</v>
          </cell>
          <cell r="AM2437">
            <v>0.25</v>
          </cell>
          <cell r="AN2437">
            <v>0.25</v>
          </cell>
          <cell r="AO2437">
            <v>0.25</v>
          </cell>
          <cell r="AP2437">
            <v>0.25</v>
          </cell>
          <cell r="AQ2437">
            <v>0.25</v>
          </cell>
          <cell r="AR2437">
            <v>0.25</v>
          </cell>
          <cell r="AS2437">
            <v>0.25</v>
          </cell>
          <cell r="AT2437">
            <v>-0.04</v>
          </cell>
          <cell r="AU2437">
            <v>0.92</v>
          </cell>
          <cell r="AV2437">
            <v>20</v>
          </cell>
          <cell r="AZ2437">
            <v>0.25</v>
          </cell>
          <cell r="BA2437">
            <v>0.25</v>
          </cell>
        </row>
        <row r="2438">
          <cell r="A2438" t="str">
            <v>TECNO INFISSI DI MARIO DE STEFANO</v>
          </cell>
          <cell r="D2438" t="str">
            <v>VIA DI TRESSANTI, 29/31 VILLAGGIO ARTIGIANI</v>
          </cell>
          <cell r="E2438" t="str">
            <v>71100</v>
          </cell>
          <cell r="F2438" t="str">
            <v>FOGGIA</v>
          </cell>
          <cell r="G2438" t="str">
            <v>FG</v>
          </cell>
          <cell r="H2438" t="str">
            <v>ITALIA</v>
          </cell>
          <cell r="J2438" t="str">
            <v>02364010716</v>
          </cell>
          <cell r="M2438" t="str">
            <v>UFFICIO ACQUISTI</v>
          </cell>
          <cell r="N2438" t="str">
            <v>0881 725393</v>
          </cell>
          <cell r="O2438" t="str">
            <v>347 7825323</v>
          </cell>
          <cell r="R2438" t="str">
            <v>BONIFICO BANCARIO, ALLA DATA DELLA NOSTRA CONFERMA D'ORDINE</v>
          </cell>
          <cell r="X2438">
            <v>0.2</v>
          </cell>
          <cell r="Y2438">
            <v>-0.04</v>
          </cell>
          <cell r="AB2438">
            <v>0.2</v>
          </cell>
          <cell r="AC2438">
            <v>0.2</v>
          </cell>
          <cell r="AD2438">
            <v>0.2</v>
          </cell>
          <cell r="AE2438">
            <v>0.2</v>
          </cell>
          <cell r="AF2438">
            <v>0.2</v>
          </cell>
          <cell r="AG2438">
            <v>0.2</v>
          </cell>
          <cell r="AH2438">
            <v>0.2</v>
          </cell>
          <cell r="AI2438">
            <v>0.2</v>
          </cell>
          <cell r="AJ2438">
            <v>0.2</v>
          </cell>
          <cell r="AK2438">
            <v>0.2</v>
          </cell>
          <cell r="AL2438">
            <v>0.2</v>
          </cell>
          <cell r="AM2438">
            <v>0.2</v>
          </cell>
          <cell r="AN2438">
            <v>0.2</v>
          </cell>
          <cell r="AO2438">
            <v>0.2</v>
          </cell>
          <cell r="AP2438">
            <v>0.2</v>
          </cell>
          <cell r="AQ2438">
            <v>0.2</v>
          </cell>
          <cell r="AR2438">
            <v>0.2</v>
          </cell>
          <cell r="AS2438">
            <v>0.2</v>
          </cell>
          <cell r="AT2438">
            <v>-0.04</v>
          </cell>
          <cell r="AU2438">
            <v>0.92</v>
          </cell>
          <cell r="AV2438">
            <v>20</v>
          </cell>
          <cell r="AZ2438">
            <v>0.2</v>
          </cell>
          <cell r="BA2438">
            <v>0.2</v>
          </cell>
        </row>
        <row r="2439">
          <cell r="A2439" t="str">
            <v>TECNO INFISSI DI SURACI</v>
          </cell>
          <cell r="D2439" t="str">
            <v>VIA TIBURTINA, 173</v>
          </cell>
          <cell r="E2439" t="str">
            <v>00019</v>
          </cell>
          <cell r="F2439" t="str">
            <v>VILLA ADRIANA DI TIVOLI</v>
          </cell>
          <cell r="G2439" t="str">
            <v>RM</v>
          </cell>
          <cell r="H2439" t="str">
            <v>ITALIA</v>
          </cell>
          <cell r="M2439" t="str">
            <v>UFFICIO ACQUISTI</v>
          </cell>
          <cell r="N2439" t="str">
            <v>0774 380694</v>
          </cell>
          <cell r="O2439" t="str">
            <v>347 3842692</v>
          </cell>
          <cell r="R2439" t="str">
            <v>BONIFICO BANCARIO, ALLA DATA DELLA NOSTRA CONFERMA D'ORDINE</v>
          </cell>
          <cell r="X2439">
            <v>0.2</v>
          </cell>
          <cell r="Y2439">
            <v>-0.04</v>
          </cell>
          <cell r="AB2439">
            <v>0.2</v>
          </cell>
          <cell r="AC2439">
            <v>0.2</v>
          </cell>
          <cell r="AD2439">
            <v>0.2</v>
          </cell>
          <cell r="AE2439">
            <v>0.2</v>
          </cell>
          <cell r="AF2439">
            <v>0.2</v>
          </cell>
          <cell r="AG2439">
            <v>0.2</v>
          </cell>
          <cell r="AH2439">
            <v>0.2</v>
          </cell>
          <cell r="AI2439">
            <v>0.2</v>
          </cell>
          <cell r="AJ2439">
            <v>0.2</v>
          </cell>
          <cell r="AK2439">
            <v>0.2</v>
          </cell>
          <cell r="AL2439">
            <v>0.2</v>
          </cell>
          <cell r="AM2439">
            <v>0.2</v>
          </cell>
          <cell r="AN2439">
            <v>0.2</v>
          </cell>
          <cell r="AO2439">
            <v>0.2</v>
          </cell>
          <cell r="AP2439">
            <v>0.2</v>
          </cell>
          <cell r="AQ2439">
            <v>0.2</v>
          </cell>
          <cell r="AR2439">
            <v>0.2</v>
          </cell>
          <cell r="AS2439">
            <v>0.2</v>
          </cell>
          <cell r="AT2439">
            <v>-0.04</v>
          </cell>
          <cell r="AU2439">
            <v>0.92</v>
          </cell>
          <cell r="AV2439">
            <v>20</v>
          </cell>
          <cell r="AZ2439">
            <v>0.2</v>
          </cell>
          <cell r="BA2439">
            <v>0.2</v>
          </cell>
        </row>
        <row r="2440">
          <cell r="A2440" t="str">
            <v>TECNO SERRAMENTI</v>
          </cell>
          <cell r="D2440" t="str">
            <v>VIALE MAGNA GRECIA, 77</v>
          </cell>
          <cell r="E2440">
            <v>88100</v>
          </cell>
          <cell r="F2440" t="str">
            <v>CATANZARO</v>
          </cell>
          <cell r="G2440" t="str">
            <v>CZ</v>
          </cell>
          <cell r="H2440" t="str">
            <v>ITALIA</v>
          </cell>
          <cell r="J2440" t="str">
            <v>02525340796</v>
          </cell>
          <cell r="K2440" t="str">
            <v>M5UXCR1</v>
          </cell>
          <cell r="M2440" t="str">
            <v>UFFICIO ACQUISTI</v>
          </cell>
          <cell r="N2440" t="str">
            <v>0961 7801131</v>
          </cell>
          <cell r="O2440" t="str">
            <v>338 4742433 BRUZZESE DOMENICO</v>
          </cell>
          <cell r="P2440" t="str">
            <v>info@tecnoserramenti.net</v>
          </cell>
          <cell r="R2440" t="str">
            <v>BONIFICO BANCARIO, ALLA DATA DELLA NOSTRA CONFERMA D'ORDINE</v>
          </cell>
          <cell r="X2440">
            <v>0.25</v>
          </cell>
          <cell r="Y2440">
            <v>-0.04</v>
          </cell>
          <cell r="AB2440">
            <v>0.25</v>
          </cell>
          <cell r="AC2440">
            <v>0.25</v>
          </cell>
          <cell r="AD2440">
            <v>0.25</v>
          </cell>
          <cell r="AE2440">
            <v>0.25</v>
          </cell>
          <cell r="AF2440">
            <v>0.25</v>
          </cell>
          <cell r="AG2440">
            <v>0.25</v>
          </cell>
          <cell r="AH2440">
            <v>0.25</v>
          </cell>
          <cell r="AI2440">
            <v>0.25</v>
          </cell>
          <cell r="AJ2440">
            <v>0.25</v>
          </cell>
          <cell r="AK2440">
            <v>0.25</v>
          </cell>
          <cell r="AL2440">
            <v>0.25</v>
          </cell>
          <cell r="AM2440">
            <v>0.25</v>
          </cell>
          <cell r="AN2440">
            <v>0.25</v>
          </cell>
          <cell r="AO2440">
            <v>0.25</v>
          </cell>
          <cell r="AP2440">
            <v>0.25</v>
          </cell>
          <cell r="AQ2440">
            <v>0.25</v>
          </cell>
          <cell r="AR2440">
            <v>0.25</v>
          </cell>
          <cell r="AS2440">
            <v>0.25</v>
          </cell>
          <cell r="AT2440">
            <v>-0.04</v>
          </cell>
          <cell r="AU2440">
            <v>0.87</v>
          </cell>
          <cell r="AV2440">
            <v>20</v>
          </cell>
          <cell r="AW2440" t="str">
            <v>PIETRO OLIVADOTI</v>
          </cell>
          <cell r="AX2440">
            <v>0.95</v>
          </cell>
          <cell r="AZ2440">
            <v>0.25</v>
          </cell>
          <cell r="BA2440">
            <v>0.25</v>
          </cell>
          <cell r="BF2440" t="str">
            <v>CLICK RAPID con carpenteria 22/10/2020</v>
          </cell>
        </row>
        <row r="2441">
          <cell r="A2441" t="str">
            <v>TECNO SERRAMENTI</v>
          </cell>
          <cell r="D2441" t="str">
            <v>VIA ROMA, 7</v>
          </cell>
          <cell r="E2441" t="str">
            <v>11100</v>
          </cell>
          <cell r="F2441" t="str">
            <v>AOSTA</v>
          </cell>
          <cell r="G2441" t="str">
            <v>AO</v>
          </cell>
          <cell r="H2441" t="str">
            <v>ITALIA</v>
          </cell>
          <cell r="I2441" t="str">
            <v>CRSFRZ70M07A326S</v>
          </cell>
          <cell r="J2441" t="str">
            <v>00587360074</v>
          </cell>
          <cell r="K2441" t="str">
            <v>W7YVJK9</v>
          </cell>
          <cell r="M2441" t="str">
            <v>UFFICIO ACQUISTI</v>
          </cell>
          <cell r="N2441" t="str">
            <v>0165 31011</v>
          </cell>
          <cell r="P2441" t="str">
            <v>tecnico@tecnoserramentiaosta.it</v>
          </cell>
          <cell r="R2441" t="str">
            <v>BONIFICO BANCARIO, ALLA DATA DELLA NOSTRA CONFERMA D'ORDINE</v>
          </cell>
          <cell r="X2441">
            <v>0.25</v>
          </cell>
          <cell r="Y2441">
            <v>-0.04</v>
          </cell>
          <cell r="AB2441">
            <v>0.25</v>
          </cell>
          <cell r="AC2441">
            <v>0.25</v>
          </cell>
          <cell r="AD2441">
            <v>0.25</v>
          </cell>
          <cell r="AE2441">
            <v>0.25</v>
          </cell>
          <cell r="AF2441">
            <v>0.25</v>
          </cell>
          <cell r="AG2441">
            <v>0.25</v>
          </cell>
          <cell r="AH2441">
            <v>0.25</v>
          </cell>
          <cell r="AI2441">
            <v>0.25</v>
          </cell>
          <cell r="AJ2441">
            <v>0.25</v>
          </cell>
          <cell r="AK2441">
            <v>0.25</v>
          </cell>
          <cell r="AL2441">
            <v>0.25</v>
          </cell>
          <cell r="AM2441">
            <v>0.25</v>
          </cell>
          <cell r="AN2441">
            <v>0.25</v>
          </cell>
          <cell r="AO2441">
            <v>0.25</v>
          </cell>
          <cell r="AP2441">
            <v>0.25</v>
          </cell>
          <cell r="AQ2441">
            <v>0.25</v>
          </cell>
          <cell r="AR2441">
            <v>0.25</v>
          </cell>
          <cell r="AS2441">
            <v>0.25</v>
          </cell>
          <cell r="AT2441">
            <v>-0.04</v>
          </cell>
          <cell r="AU2441">
            <v>0.92</v>
          </cell>
          <cell r="AV2441">
            <v>20</v>
          </cell>
          <cell r="AZ2441">
            <v>0.25</v>
          </cell>
          <cell r="BA2441">
            <v>0.25</v>
          </cell>
        </row>
        <row r="2442">
          <cell r="A2442" t="str">
            <v xml:space="preserve">TECNO SERRAMENTI </v>
          </cell>
          <cell r="B2442" t="str">
            <v>LASCIATO LISTINO - GEOM. PAMBIANCHI ALESSANDRO</v>
          </cell>
          <cell r="D2442" t="str">
            <v>VIA SS ROMEA 57</v>
          </cell>
          <cell r="F2442" t="str">
            <v>SAN GIUSEPPE DI COMACCHIO</v>
          </cell>
          <cell r="G2442" t="str">
            <v>FE</v>
          </cell>
          <cell r="H2442" t="str">
            <v>ITALIA</v>
          </cell>
          <cell r="M2442" t="str">
            <v>UFFICIO ACQUISTI</v>
          </cell>
          <cell r="N2442" t="str">
            <v>0533 382327</v>
          </cell>
          <cell r="O2442" t="str">
            <v>334 8941105</v>
          </cell>
          <cell r="P2442" t="str">
            <v>linea-serramenti@libero.it</v>
          </cell>
          <cell r="R2442" t="str">
            <v>BONIFICO BANCARIO, ALLA DATA DELLA NOSTRA CONFERMA D'ORDINE</v>
          </cell>
          <cell r="X2442">
            <v>0.25</v>
          </cell>
          <cell r="Y2442">
            <v>-0.04</v>
          </cell>
          <cell r="AB2442">
            <v>0.25</v>
          </cell>
          <cell r="AC2442">
            <v>0.25</v>
          </cell>
          <cell r="AD2442">
            <v>0.25</v>
          </cell>
          <cell r="AE2442">
            <v>0.25</v>
          </cell>
          <cell r="AF2442">
            <v>0.25</v>
          </cell>
          <cell r="AG2442">
            <v>0.25</v>
          </cell>
          <cell r="AH2442">
            <v>0.25</v>
          </cell>
          <cell r="AI2442">
            <v>0.25</v>
          </cell>
          <cell r="AJ2442">
            <v>0.25</v>
          </cell>
          <cell r="AK2442">
            <v>0.25</v>
          </cell>
          <cell r="AL2442">
            <v>0.25</v>
          </cell>
          <cell r="AM2442">
            <v>0.25</v>
          </cell>
          <cell r="AN2442">
            <v>0.25</v>
          </cell>
          <cell r="AO2442">
            <v>0.25</v>
          </cell>
          <cell r="AP2442">
            <v>0.25</v>
          </cell>
          <cell r="AQ2442">
            <v>0.25</v>
          </cell>
          <cell r="AR2442">
            <v>0.25</v>
          </cell>
          <cell r="AS2442">
            <v>0.25</v>
          </cell>
          <cell r="AT2442">
            <v>-0.04</v>
          </cell>
          <cell r="AU2442">
            <v>0.92</v>
          </cell>
          <cell r="AV2442">
            <v>20</v>
          </cell>
          <cell r="AZ2442">
            <v>0.25</v>
          </cell>
          <cell r="BA2442">
            <v>0.25</v>
          </cell>
        </row>
        <row r="2443">
          <cell r="A2443" t="str">
            <v>TECNO SERRAMENTI DI BRUZZESE DOMENICO</v>
          </cell>
          <cell r="B2443" t="str">
            <v>VOLANTINI + LETTERA  CAMPIONE 102 X 40   VETROFANIE</v>
          </cell>
          <cell r="D2443" t="str">
            <v>VIA MAGNA GRECIA, 77</v>
          </cell>
          <cell r="E2443">
            <v>88100</v>
          </cell>
          <cell r="F2443" t="str">
            <v>S.MARIA DI CZ.</v>
          </cell>
          <cell r="G2443" t="str">
            <v>CZ</v>
          </cell>
          <cell r="H2443" t="str">
            <v>ITALIA</v>
          </cell>
          <cell r="J2443" t="str">
            <v>02525340796</v>
          </cell>
          <cell r="K2443" t="str">
            <v>M5UXCR1</v>
          </cell>
          <cell r="M2443" t="str">
            <v>UFFICIO ACQUISTI</v>
          </cell>
          <cell r="N2443" t="str">
            <v>0961 780131</v>
          </cell>
          <cell r="O2443" t="str">
            <v>338 4742433</v>
          </cell>
          <cell r="P2443" t="str">
            <v>info@tecnoserramenti.net</v>
          </cell>
          <cell r="R2443" t="str">
            <v>BONIFICO BANCARIO, ALLA DATA DELLA NOSTRA CONFERMA D'ORDINE</v>
          </cell>
          <cell r="X2443">
            <v>0.25</v>
          </cell>
          <cell r="Y2443">
            <v>-0.04</v>
          </cell>
          <cell r="AB2443">
            <v>0.25</v>
          </cell>
          <cell r="AC2443">
            <v>0.25</v>
          </cell>
          <cell r="AD2443">
            <v>0.25</v>
          </cell>
          <cell r="AE2443">
            <v>0.25</v>
          </cell>
          <cell r="AF2443">
            <v>0.25</v>
          </cell>
          <cell r="AG2443">
            <v>0.25</v>
          </cell>
          <cell r="AH2443">
            <v>0.25</v>
          </cell>
          <cell r="AI2443">
            <v>0.25</v>
          </cell>
          <cell r="AJ2443">
            <v>0.25</v>
          </cell>
          <cell r="AK2443">
            <v>0.25</v>
          </cell>
          <cell r="AL2443">
            <v>0.25</v>
          </cell>
          <cell r="AM2443">
            <v>0.25</v>
          </cell>
          <cell r="AN2443">
            <v>0.25</v>
          </cell>
          <cell r="AO2443">
            <v>0.25</v>
          </cell>
          <cell r="AP2443">
            <v>0.25</v>
          </cell>
          <cell r="AQ2443">
            <v>0.25</v>
          </cell>
          <cell r="AR2443">
            <v>0.25</v>
          </cell>
          <cell r="AS2443">
            <v>0.25</v>
          </cell>
          <cell r="AT2443">
            <v>-0.04</v>
          </cell>
          <cell r="AU2443">
            <v>0.92</v>
          </cell>
          <cell r="AV2443">
            <v>20</v>
          </cell>
          <cell r="AW2443" t="str">
            <v>PIETRO OLIVADOTI</v>
          </cell>
          <cell r="AX2443">
            <v>0.95</v>
          </cell>
          <cell r="AZ2443">
            <v>0.25</v>
          </cell>
          <cell r="BA2443">
            <v>0.25</v>
          </cell>
        </row>
        <row r="2444">
          <cell r="A2444" t="str">
            <v>TECNO SERRAMENTI DI GHISETTI ALFONSO</v>
          </cell>
          <cell r="D2444" t="str">
            <v>VIA DELL'ARTIGIANATO, 7   9</v>
          </cell>
          <cell r="E2444">
            <v>26026</v>
          </cell>
          <cell r="F2444" t="str">
            <v>PIZZIGHETTONE</v>
          </cell>
          <cell r="G2444" t="str">
            <v>CR</v>
          </cell>
          <cell r="H2444" t="str">
            <v>ITALIA</v>
          </cell>
          <cell r="I2444" t="str">
            <v>GHSLNS58B09D142H</v>
          </cell>
          <cell r="J2444" t="str">
            <v>00894680198</v>
          </cell>
          <cell r="M2444" t="str">
            <v>UFFICIO ACQUISTI</v>
          </cell>
          <cell r="N2444" t="str">
            <v>0372 744391</v>
          </cell>
          <cell r="R2444" t="str">
            <v>BONIFICO BANCARIO, ALLA DATA DELLA NOSTRA CONFERMA D'ORDINE</v>
          </cell>
          <cell r="X2444">
            <v>0.25</v>
          </cell>
          <cell r="Y2444">
            <v>-0.04</v>
          </cell>
          <cell r="AB2444">
            <v>0.25</v>
          </cell>
          <cell r="AC2444">
            <v>0.25</v>
          </cell>
          <cell r="AD2444">
            <v>0.25</v>
          </cell>
          <cell r="AE2444">
            <v>0.25</v>
          </cell>
          <cell r="AF2444">
            <v>0.25</v>
          </cell>
          <cell r="AG2444">
            <v>0.25</v>
          </cell>
          <cell r="AH2444">
            <v>0.25</v>
          </cell>
          <cell r="AI2444">
            <v>0.25</v>
          </cell>
          <cell r="AJ2444">
            <v>0.25</v>
          </cell>
          <cell r="AK2444">
            <v>0.25</v>
          </cell>
          <cell r="AL2444">
            <v>0.25</v>
          </cell>
          <cell r="AM2444">
            <v>0.25</v>
          </cell>
          <cell r="AN2444">
            <v>0.25</v>
          </cell>
          <cell r="AO2444">
            <v>0.25</v>
          </cell>
          <cell r="AP2444">
            <v>0.25</v>
          </cell>
          <cell r="AQ2444">
            <v>0.25</v>
          </cell>
          <cell r="AR2444">
            <v>0.25</v>
          </cell>
          <cell r="AS2444">
            <v>0.25</v>
          </cell>
          <cell r="AT2444">
            <v>-0.04</v>
          </cell>
          <cell r="AU2444">
            <v>0.92</v>
          </cell>
          <cell r="AV2444">
            <v>20</v>
          </cell>
          <cell r="AZ2444">
            <v>0.25</v>
          </cell>
          <cell r="BA2444">
            <v>0.25</v>
          </cell>
        </row>
        <row r="2445">
          <cell r="A2445" t="str">
            <v>TECNO SERVICE S.N.C.</v>
          </cell>
          <cell r="D2445" t="str">
            <v>VIA G. DI VITTORIO, 25</v>
          </cell>
          <cell r="E2445" t="str">
            <v>27022</v>
          </cell>
          <cell r="F2445" t="str">
            <v>CASORATE PRIMO</v>
          </cell>
          <cell r="G2445" t="str">
            <v>PV</v>
          </cell>
          <cell r="H2445" t="str">
            <v>ITALIA</v>
          </cell>
          <cell r="I2445" t="str">
            <v>02084740188</v>
          </cell>
          <cell r="J2445" t="str">
            <v>02084740188</v>
          </cell>
          <cell r="M2445" t="str">
            <v>UFFICIO ACQUISTI</v>
          </cell>
          <cell r="N2445" t="str">
            <v>02 90516246</v>
          </cell>
          <cell r="P2445" t="str">
            <v>guerrisifrancesco@alice.it</v>
          </cell>
          <cell r="R2445" t="str">
            <v>BONIFICO BANCARIO, ALLA DATA DELLA NOSTRA CONFERMA D'ORDINE</v>
          </cell>
          <cell r="X2445">
            <v>0.25</v>
          </cell>
          <cell r="Y2445">
            <v>-0.04</v>
          </cell>
          <cell r="AB2445">
            <v>0.25</v>
          </cell>
          <cell r="AC2445">
            <v>0.25</v>
          </cell>
          <cell r="AD2445">
            <v>0.25</v>
          </cell>
          <cell r="AE2445">
            <v>0.25</v>
          </cell>
          <cell r="AF2445">
            <v>0.25</v>
          </cell>
          <cell r="AG2445">
            <v>0.25</v>
          </cell>
          <cell r="AH2445">
            <v>0.25</v>
          </cell>
          <cell r="AI2445">
            <v>0.25</v>
          </cell>
          <cell r="AJ2445">
            <v>0.25</v>
          </cell>
          <cell r="AK2445">
            <v>0.25</v>
          </cell>
          <cell r="AL2445">
            <v>0.25</v>
          </cell>
          <cell r="AM2445">
            <v>0.25</v>
          </cell>
          <cell r="AN2445">
            <v>0.25</v>
          </cell>
          <cell r="AO2445">
            <v>0.25</v>
          </cell>
          <cell r="AP2445">
            <v>0.25</v>
          </cell>
          <cell r="AQ2445">
            <v>0.25</v>
          </cell>
          <cell r="AR2445">
            <v>0.25</v>
          </cell>
          <cell r="AS2445">
            <v>0.25</v>
          </cell>
          <cell r="AT2445">
            <v>-0.04</v>
          </cell>
          <cell r="AU2445">
            <v>0.92</v>
          </cell>
          <cell r="AV2445">
            <v>20</v>
          </cell>
          <cell r="AZ2445">
            <v>0.25</v>
          </cell>
          <cell r="BA2445">
            <v>0.25</v>
          </cell>
        </row>
        <row r="2446">
          <cell r="A2446" t="str">
            <v>TECNODOOR SAS  DI COMPER DAMIANO E C.</v>
          </cell>
          <cell r="B2446" t="str">
            <v>PIETRO COMPER RESPONSABILE COMMERCIALE</v>
          </cell>
          <cell r="D2446" t="str">
            <v>VIA SPAGNOLI, 1  Z.A.</v>
          </cell>
          <cell r="E2446">
            <v>38060</v>
          </cell>
          <cell r="F2446" t="str">
            <v>ISERA</v>
          </cell>
          <cell r="G2446" t="str">
            <v>TN</v>
          </cell>
          <cell r="H2446" t="str">
            <v>ITALIA</v>
          </cell>
          <cell r="M2446" t="str">
            <v>UFFICIO ACQUISTI</v>
          </cell>
          <cell r="N2446" t="str">
            <v>0464 435825</v>
          </cell>
          <cell r="O2446" t="str">
            <v>348 3672803</v>
          </cell>
          <cell r="P2446" t="str">
            <v>pietrocomper@tecnodoor.com</v>
          </cell>
          <cell r="R2446" t="str">
            <v>BONIFICO BANCARIO, ALLA DATA DELLA NOSTRA CONFERMA D'ORDINE</v>
          </cell>
          <cell r="X2446">
            <v>0.25</v>
          </cell>
          <cell r="Y2446">
            <v>-0.04</v>
          </cell>
          <cell r="AB2446">
            <v>0.25</v>
          </cell>
          <cell r="AC2446">
            <v>0.25</v>
          </cell>
          <cell r="AD2446">
            <v>0.25</v>
          </cell>
          <cell r="AE2446">
            <v>0.25</v>
          </cell>
          <cell r="AF2446">
            <v>0.25</v>
          </cell>
          <cell r="AG2446">
            <v>0.25</v>
          </cell>
          <cell r="AH2446">
            <v>0.25</v>
          </cell>
          <cell r="AI2446">
            <v>0.25</v>
          </cell>
          <cell r="AJ2446">
            <v>0.25</v>
          </cell>
          <cell r="AK2446">
            <v>0.25</v>
          </cell>
          <cell r="AL2446">
            <v>0.25</v>
          </cell>
          <cell r="AM2446">
            <v>0.25</v>
          </cell>
          <cell r="AN2446">
            <v>0.25</v>
          </cell>
          <cell r="AO2446">
            <v>0.25</v>
          </cell>
          <cell r="AP2446">
            <v>0.25</v>
          </cell>
          <cell r="AQ2446">
            <v>0.25</v>
          </cell>
          <cell r="AR2446">
            <v>0.25</v>
          </cell>
          <cell r="AS2446">
            <v>0.25</v>
          </cell>
          <cell r="AT2446">
            <v>-0.04</v>
          </cell>
          <cell r="AU2446">
            <v>0.92</v>
          </cell>
          <cell r="AV2446">
            <v>20</v>
          </cell>
          <cell r="AZ2446">
            <v>0.25</v>
          </cell>
          <cell r="BA2446">
            <v>0.25</v>
          </cell>
        </row>
        <row r="2447">
          <cell r="A2447" t="str">
            <v>TECNOFFICINE S.R.L.</v>
          </cell>
          <cell r="B2447" t="str">
            <v>VANNO IN VACANZA INSIEME CON ACQUASTOP       ( COSTANTINO TRILLO)</v>
          </cell>
          <cell r="D2447" t="str">
            <v xml:space="preserve">VIA GARIBALDI, 68  </v>
          </cell>
          <cell r="E2447">
            <v>56124</v>
          </cell>
          <cell r="F2447" t="str">
            <v>PISA</v>
          </cell>
          <cell r="G2447" t="str">
            <v>PI</v>
          </cell>
          <cell r="H2447" t="str">
            <v>ITALIA</v>
          </cell>
          <cell r="J2447" t="str">
            <v>00208650507</v>
          </cell>
          <cell r="M2447" t="str">
            <v>UFFICIO ACQUISTI</v>
          </cell>
          <cell r="N2447" t="str">
            <v>050 540065</v>
          </cell>
          <cell r="P2447" t="str">
            <v>info@gianso.com</v>
          </cell>
          <cell r="R2447" t="str">
            <v>BONIFICO BANCARIO, ALLA DATA DELLA NOSTRA CONFERMA D'ORDINE</v>
          </cell>
          <cell r="X2447">
            <v>0.25</v>
          </cell>
          <cell r="Y2447">
            <v>-0.04</v>
          </cell>
          <cell r="AB2447">
            <v>0.25</v>
          </cell>
          <cell r="AC2447">
            <v>0.25</v>
          </cell>
          <cell r="AD2447">
            <v>0.25</v>
          </cell>
          <cell r="AE2447">
            <v>0.25</v>
          </cell>
          <cell r="AF2447">
            <v>0.25</v>
          </cell>
          <cell r="AG2447">
            <v>0.25</v>
          </cell>
          <cell r="AH2447">
            <v>0.25</v>
          </cell>
          <cell r="AI2447">
            <v>0.25</v>
          </cell>
          <cell r="AJ2447">
            <v>0.25</v>
          </cell>
          <cell r="AK2447">
            <v>0.25</v>
          </cell>
          <cell r="AL2447">
            <v>0.25</v>
          </cell>
          <cell r="AM2447">
            <v>0.25</v>
          </cell>
          <cell r="AN2447">
            <v>0.25</v>
          </cell>
          <cell r="AO2447">
            <v>0.25</v>
          </cell>
          <cell r="AP2447">
            <v>0.25</v>
          </cell>
          <cell r="AQ2447">
            <v>0.25</v>
          </cell>
          <cell r="AR2447">
            <v>0.25</v>
          </cell>
          <cell r="AS2447">
            <v>0.25</v>
          </cell>
          <cell r="AT2447">
            <v>-0.04</v>
          </cell>
          <cell r="AU2447">
            <v>0.92</v>
          </cell>
          <cell r="AV2447">
            <v>20</v>
          </cell>
          <cell r="AZ2447">
            <v>0.25</v>
          </cell>
          <cell r="BA2447">
            <v>0.25</v>
          </cell>
        </row>
        <row r="2448">
          <cell r="A2448" t="str">
            <v>TECNOFINESTRA</v>
          </cell>
          <cell r="D2448" t="str">
            <v>VIA MODENESE, 1046</v>
          </cell>
          <cell r="E2448" t="str">
            <v>41057</v>
          </cell>
          <cell r="F2448" t="str">
            <v>SPILAMBERTO</v>
          </cell>
          <cell r="G2448" t="str">
            <v>MO</v>
          </cell>
          <cell r="H2448" t="str">
            <v>ITALIA</v>
          </cell>
          <cell r="J2448" t="str">
            <v>01611730365</v>
          </cell>
          <cell r="M2448" t="str">
            <v>UFFICIO ACQUISTI</v>
          </cell>
          <cell r="N2448" t="str">
            <v>059 828493</v>
          </cell>
          <cell r="O2448" t="str">
            <v xml:space="preserve"> Sara Mazzucchi 335 493103</v>
          </cell>
          <cell r="P2448" t="str">
            <v>s.mazzucchi@tecnofinestra.it</v>
          </cell>
          <cell r="R2448" t="str">
            <v>BONIFICO BANCARIO, ALLA DATA DELLA NOSTRA CONFERMA D'ORDINE</v>
          </cell>
          <cell r="X2448">
            <v>0.25</v>
          </cell>
          <cell r="Y2448">
            <v>-0.04</v>
          </cell>
          <cell r="AB2448">
            <v>0.25</v>
          </cell>
          <cell r="AC2448">
            <v>0.25</v>
          </cell>
          <cell r="AD2448">
            <v>0.25</v>
          </cell>
          <cell r="AE2448">
            <v>0.25</v>
          </cell>
          <cell r="AF2448">
            <v>0.25</v>
          </cell>
          <cell r="AG2448">
            <v>0.25</v>
          </cell>
          <cell r="AH2448">
            <v>0.25</v>
          </cell>
          <cell r="AI2448">
            <v>0.25</v>
          </cell>
          <cell r="AJ2448">
            <v>0.25</v>
          </cell>
          <cell r="AK2448">
            <v>0.25</v>
          </cell>
          <cell r="AL2448">
            <v>0.25</v>
          </cell>
          <cell r="AM2448">
            <v>0.25</v>
          </cell>
          <cell r="AN2448">
            <v>0.25</v>
          </cell>
          <cell r="AO2448">
            <v>0.25</v>
          </cell>
          <cell r="AP2448">
            <v>0.25</v>
          </cell>
          <cell r="AQ2448">
            <v>0.25</v>
          </cell>
          <cell r="AR2448">
            <v>0.25</v>
          </cell>
          <cell r="AS2448">
            <v>0.25</v>
          </cell>
          <cell r="AT2448">
            <v>-0.04</v>
          </cell>
          <cell r="AU2448">
            <v>0.92</v>
          </cell>
          <cell r="AV2448">
            <v>20</v>
          </cell>
          <cell r="AZ2448">
            <v>0.25</v>
          </cell>
          <cell r="BA2448">
            <v>0.25</v>
          </cell>
        </row>
        <row r="2449">
          <cell r="A2449" t="str">
            <v>TECNOIMPIANTI</v>
          </cell>
          <cell r="D2449" t="str">
            <v>VIA LIONELLO FIUMI 2</v>
          </cell>
          <cell r="E2449" t="str">
            <v>37050</v>
          </cell>
          <cell r="F2449" t="str">
            <v>ROVERCHIARA</v>
          </cell>
          <cell r="G2449" t="str">
            <v>VR</v>
          </cell>
          <cell r="H2449" t="str">
            <v>ITALIA</v>
          </cell>
          <cell r="J2449" t="str">
            <v>04298430234</v>
          </cell>
          <cell r="M2449" t="str">
            <v>UFFICIO ACQUISTI</v>
          </cell>
          <cell r="N2449">
            <v>442689029</v>
          </cell>
          <cell r="O2449">
            <v>3450890924</v>
          </cell>
          <cell r="P2449" t="str">
            <v>info@tecno-impianti.net</v>
          </cell>
          <cell r="R2449" t="str">
            <v>BONIFICO BANCARIO, ALLA DATA DELLA NOSTRA CONFERMA D'ORDINE</v>
          </cell>
          <cell r="AU2449">
            <v>0.92</v>
          </cell>
          <cell r="AV2449">
            <v>20</v>
          </cell>
        </row>
        <row r="2450">
          <cell r="A2450" t="str">
            <v>TECNOINFISSI DI LUPPINO SAVERIO E C. SAS</v>
          </cell>
          <cell r="B2450" t="str">
            <v>ACQUASTOP - 21/10/22 Rimandata mail. Dice che un paio di settimane fa gli hanno già mandato la mail. Verificare. Non ha ancora avuto modo di visionarla. Al momento è in ospedale. Richiamare tra un paio di settimane. 09/11 Mi ha buttato giuù il telefono dicendo che è ancora in ospedale. Richiamare anno nuovo.</v>
          </cell>
          <cell r="D2450" t="str">
            <v>TRAVERSA DI VIA STALLONE</v>
          </cell>
          <cell r="E2450" t="str">
            <v>91021</v>
          </cell>
          <cell r="F2450" t="str">
            <v>CAMPOBELLO DI MAZARA</v>
          </cell>
          <cell r="G2450" t="str">
            <v>TP</v>
          </cell>
          <cell r="H2450" t="str">
            <v>ITALIA</v>
          </cell>
          <cell r="J2450" t="str">
            <v>02433840812</v>
          </cell>
          <cell r="M2450" t="str">
            <v>UFFICIO ACQUISTI</v>
          </cell>
          <cell r="O2450" t="str">
            <v>333 2371069</v>
          </cell>
          <cell r="R2450" t="str">
            <v>BONIFICO BANCARIO, ALLA DATA DELLA NOSTRA CONFERMA D'ORDINE</v>
          </cell>
          <cell r="X2450">
            <v>0.25</v>
          </cell>
          <cell r="Y2450">
            <v>-0.04</v>
          </cell>
          <cell r="AB2450">
            <v>0.25</v>
          </cell>
          <cell r="AC2450">
            <v>0.25</v>
          </cell>
          <cell r="AD2450">
            <v>0.25</v>
          </cell>
          <cell r="AE2450">
            <v>0.25</v>
          </cell>
          <cell r="AF2450">
            <v>0.25</v>
          </cell>
          <cell r="AG2450">
            <v>0.25</v>
          </cell>
          <cell r="AH2450">
            <v>0.25</v>
          </cell>
          <cell r="AI2450">
            <v>0.25</v>
          </cell>
          <cell r="AJ2450">
            <v>0.25</v>
          </cell>
          <cell r="AK2450">
            <v>0.25</v>
          </cell>
          <cell r="AL2450">
            <v>0.25</v>
          </cell>
          <cell r="AM2450">
            <v>0.25</v>
          </cell>
          <cell r="AN2450">
            <v>0.25</v>
          </cell>
          <cell r="AO2450">
            <v>0.25</v>
          </cell>
          <cell r="AP2450">
            <v>0.25</v>
          </cell>
          <cell r="AQ2450">
            <v>0.25</v>
          </cell>
          <cell r="AR2450">
            <v>0.25</v>
          </cell>
          <cell r="AS2450">
            <v>0.25</v>
          </cell>
          <cell r="AT2450">
            <v>-0.04</v>
          </cell>
          <cell r="AU2450">
            <v>0.92</v>
          </cell>
          <cell r="AV2450">
            <v>20</v>
          </cell>
          <cell r="AZ2450">
            <v>0.25</v>
          </cell>
          <cell r="BA2450">
            <v>0.25</v>
          </cell>
        </row>
        <row r="2451">
          <cell r="A2451" t="str">
            <v>TECNOINFISSI PVC DI BRIANZA LORENZO S.A.S.</v>
          </cell>
          <cell r="D2451" t="str">
            <v>VIA MERCURIO, 34</v>
          </cell>
          <cell r="E2451">
            <v>21051</v>
          </cell>
          <cell r="F2451" t="str">
            <v>ARCISATE</v>
          </cell>
          <cell r="G2451" t="str">
            <v>VA</v>
          </cell>
          <cell r="H2451" t="str">
            <v>ITALIA</v>
          </cell>
          <cell r="M2451" t="str">
            <v>UFFICIO ACQUISTI</v>
          </cell>
          <cell r="N2451" t="str">
            <v>0332 470495</v>
          </cell>
          <cell r="O2451" t="str">
            <v>348 8074702</v>
          </cell>
          <cell r="P2451" t="str">
            <v>info@tecnoinfissipvc.it</v>
          </cell>
          <cell r="R2451" t="str">
            <v>BONIFICO BANCARIO, ALLA DATA DELLA NOSTRA CONFERMA D'ORDINE</v>
          </cell>
          <cell r="X2451">
            <v>0.25</v>
          </cell>
          <cell r="Y2451">
            <v>-0.04</v>
          </cell>
          <cell r="AB2451">
            <v>0.25</v>
          </cell>
          <cell r="AC2451">
            <v>0.25</v>
          </cell>
          <cell r="AD2451">
            <v>0.25</v>
          </cell>
          <cell r="AE2451">
            <v>0.25</v>
          </cell>
          <cell r="AF2451">
            <v>0.25</v>
          </cell>
          <cell r="AG2451">
            <v>0.25</v>
          </cell>
          <cell r="AH2451">
            <v>0.25</v>
          </cell>
          <cell r="AI2451">
            <v>0.25</v>
          </cell>
          <cell r="AJ2451">
            <v>0.25</v>
          </cell>
          <cell r="AK2451">
            <v>0.25</v>
          </cell>
          <cell r="AL2451">
            <v>0.25</v>
          </cell>
          <cell r="AM2451">
            <v>0.25</v>
          </cell>
          <cell r="AN2451">
            <v>0.25</v>
          </cell>
          <cell r="AO2451">
            <v>0.25</v>
          </cell>
          <cell r="AP2451">
            <v>0.25</v>
          </cell>
          <cell r="AQ2451">
            <v>0.25</v>
          </cell>
          <cell r="AR2451">
            <v>0.25</v>
          </cell>
          <cell r="AS2451">
            <v>0.25</v>
          </cell>
          <cell r="AT2451">
            <v>-0.04</v>
          </cell>
          <cell r="AU2451">
            <v>0.92</v>
          </cell>
          <cell r="AV2451">
            <v>20</v>
          </cell>
          <cell r="AZ2451">
            <v>0.25</v>
          </cell>
          <cell r="BA2451">
            <v>0.25</v>
          </cell>
        </row>
        <row r="2452">
          <cell r="A2452" t="str">
            <v>TECNOINFISSI SRL</v>
          </cell>
          <cell r="D2452" t="str">
            <v>VIA BELGIO, 4</v>
          </cell>
          <cell r="E2452">
            <v>20083</v>
          </cell>
          <cell r="F2452" t="str">
            <v>VIGANO DI GAGGIANO</v>
          </cell>
          <cell r="G2452" t="str">
            <v>MI</v>
          </cell>
          <cell r="H2452" t="str">
            <v>ITALIA</v>
          </cell>
          <cell r="J2452" t="str">
            <v>10253380967</v>
          </cell>
          <cell r="K2452" t="str">
            <v>BA6ET11</v>
          </cell>
          <cell r="M2452" t="str">
            <v>UFFICIO ACQUISTI</v>
          </cell>
          <cell r="N2452" t="str">
            <v>02 99241855</v>
          </cell>
          <cell r="O2452" t="str">
            <v>331 5642756</v>
          </cell>
          <cell r="P2452" t="str">
            <v>tecnoinfissigaggiano@tiscali.it</v>
          </cell>
          <cell r="R2452" t="str">
            <v>BONIFICO BANCARIO, ALLA DATA DELLA NOSTRA CONFERMA D'ORDINE</v>
          </cell>
          <cell r="X2452">
            <v>0.25</v>
          </cell>
          <cell r="Y2452">
            <v>-0.04</v>
          </cell>
          <cell r="AB2452">
            <v>0.25</v>
          </cell>
          <cell r="AC2452">
            <v>0.25</v>
          </cell>
          <cell r="AD2452">
            <v>0.25</v>
          </cell>
          <cell r="AE2452">
            <v>0.25</v>
          </cell>
          <cell r="AF2452">
            <v>0.25</v>
          </cell>
          <cell r="AG2452">
            <v>0.25</v>
          </cell>
          <cell r="AH2452">
            <v>0.25</v>
          </cell>
          <cell r="AI2452">
            <v>0.25</v>
          </cell>
          <cell r="AJ2452">
            <v>0.25</v>
          </cell>
          <cell r="AK2452">
            <v>0.25</v>
          </cell>
          <cell r="AL2452">
            <v>0.25</v>
          </cell>
          <cell r="AM2452">
            <v>0.25</v>
          </cell>
          <cell r="AN2452">
            <v>0.25</v>
          </cell>
          <cell r="AO2452">
            <v>0.25</v>
          </cell>
          <cell r="AP2452">
            <v>0.25</v>
          </cell>
          <cell r="AQ2452">
            <v>0.25</v>
          </cell>
          <cell r="AR2452">
            <v>0.25</v>
          </cell>
          <cell r="AS2452">
            <v>0.25</v>
          </cell>
          <cell r="AT2452">
            <v>-0.04</v>
          </cell>
          <cell r="AU2452">
            <v>0.92</v>
          </cell>
          <cell r="AV2452">
            <v>20</v>
          </cell>
          <cell r="AZ2452">
            <v>0.25</v>
          </cell>
          <cell r="BA2452">
            <v>0.25</v>
          </cell>
          <cell r="BF2452" t="str">
            <v>CLICK RAPID con carpenteria 13/07/2020</v>
          </cell>
        </row>
        <row r="2453">
          <cell r="A2453" t="str">
            <v>TECNOINFISSI SRL</v>
          </cell>
          <cell r="D2453" t="str">
            <v>VIA DELLE INDUSTRIE 8</v>
          </cell>
          <cell r="E2453" t="str">
            <v>30020</v>
          </cell>
          <cell r="F2453" t="str">
            <v>ERACLEA</v>
          </cell>
          <cell r="G2453" t="str">
            <v>VE</v>
          </cell>
          <cell r="H2453" t="str">
            <v>ITALIA</v>
          </cell>
          <cell r="J2453" t="str">
            <v>03689310278</v>
          </cell>
          <cell r="M2453" t="str">
            <v>UFFICIO ACQUISTI</v>
          </cell>
          <cell r="N2453" t="str">
            <v>0421 232719</v>
          </cell>
          <cell r="P2453" t="str">
            <v>info@tecno-infissi.com</v>
          </cell>
          <cell r="R2453" t="str">
            <v>BONIFICO BANCARIO, ALLA DATA DELLA NOSTRA CONFERMA D'ORDINE</v>
          </cell>
          <cell r="X2453">
            <v>0.25</v>
          </cell>
          <cell r="Y2453">
            <v>-0.04</v>
          </cell>
          <cell r="AB2453">
            <v>0.25</v>
          </cell>
          <cell r="AC2453">
            <v>0.25</v>
          </cell>
          <cell r="AD2453">
            <v>0.25</v>
          </cell>
          <cell r="AE2453">
            <v>0.25</v>
          </cell>
          <cell r="AF2453">
            <v>0.25</v>
          </cell>
          <cell r="AG2453">
            <v>0.25</v>
          </cell>
          <cell r="AH2453">
            <v>0.25</v>
          </cell>
          <cell r="AI2453">
            <v>0.25</v>
          </cell>
          <cell r="AJ2453">
            <v>0.25</v>
          </cell>
          <cell r="AK2453">
            <v>0.25</v>
          </cell>
          <cell r="AL2453">
            <v>0.25</v>
          </cell>
          <cell r="AM2453">
            <v>0.25</v>
          </cell>
          <cell r="AN2453">
            <v>0.25</v>
          </cell>
          <cell r="AO2453">
            <v>0.25</v>
          </cell>
          <cell r="AP2453">
            <v>0.25</v>
          </cell>
          <cell r="AQ2453">
            <v>0.25</v>
          </cell>
          <cell r="AR2453">
            <v>0.25</v>
          </cell>
          <cell r="AS2453">
            <v>0.25</v>
          </cell>
          <cell r="AT2453">
            <v>-0.04</v>
          </cell>
          <cell r="AU2453">
            <v>0.92</v>
          </cell>
          <cell r="AV2453">
            <v>20</v>
          </cell>
          <cell r="AZ2453">
            <v>0.25</v>
          </cell>
          <cell r="BA2453">
            <v>0.25</v>
          </cell>
        </row>
        <row r="2454">
          <cell r="A2454" t="str">
            <v>TECNOINFISSI SRLS</v>
          </cell>
          <cell r="D2454" t="str">
            <v>VIALE SICILIA, 53/A</v>
          </cell>
          <cell r="E2454" t="str">
            <v>07100</v>
          </cell>
          <cell r="F2454" t="str">
            <v>SASSARI</v>
          </cell>
          <cell r="G2454" t="str">
            <v>SS</v>
          </cell>
          <cell r="H2454" t="str">
            <v>ITALIA</v>
          </cell>
          <cell r="J2454" t="str">
            <v>02733850909</v>
          </cell>
          <cell r="M2454" t="str">
            <v>UFFICIO ACQUISTI</v>
          </cell>
          <cell r="N2454" t="str">
            <v>079 244952</v>
          </cell>
          <cell r="O2454" t="str">
            <v>333 8480557 ALESSANDRO CARTA</v>
          </cell>
          <cell r="P2454" t="str">
            <v>tecnoinfissi.al@gmail.com</v>
          </cell>
          <cell r="R2454" t="str">
            <v>BONIFICO BANCARIO, ALLA DATA DELLA NOSTRA CONFERMA D'ORDINE</v>
          </cell>
          <cell r="X2454">
            <v>0.2</v>
          </cell>
          <cell r="Y2454">
            <v>-0.04</v>
          </cell>
          <cell r="AB2454">
            <v>0.2</v>
          </cell>
          <cell r="AC2454">
            <v>0.2</v>
          </cell>
          <cell r="AD2454">
            <v>0.2</v>
          </cell>
          <cell r="AE2454">
            <v>0.2</v>
          </cell>
          <cell r="AF2454">
            <v>0.2</v>
          </cell>
          <cell r="AG2454">
            <v>0.2</v>
          </cell>
          <cell r="AH2454">
            <v>0.2</v>
          </cell>
          <cell r="AI2454">
            <v>0.2</v>
          </cell>
          <cell r="AJ2454">
            <v>0.2</v>
          </cell>
          <cell r="AK2454">
            <v>0.2</v>
          </cell>
          <cell r="AL2454">
            <v>0.2</v>
          </cell>
          <cell r="AM2454">
            <v>0.2</v>
          </cell>
          <cell r="AN2454">
            <v>0.2</v>
          </cell>
          <cell r="AO2454">
            <v>0.2</v>
          </cell>
          <cell r="AP2454">
            <v>0.2</v>
          </cell>
          <cell r="AQ2454">
            <v>0.2</v>
          </cell>
          <cell r="AR2454">
            <v>0.2</v>
          </cell>
          <cell r="AS2454">
            <v>0.2</v>
          </cell>
          <cell r="AT2454">
            <v>-0.04</v>
          </cell>
          <cell r="AU2454">
            <v>0.92</v>
          </cell>
          <cell r="AV2454">
            <v>20</v>
          </cell>
          <cell r="AZ2454">
            <v>0.2</v>
          </cell>
          <cell r="BA2454">
            <v>0.2</v>
          </cell>
        </row>
        <row r="2455">
          <cell r="A2455" t="str">
            <v>TECNOLEGNO SNC</v>
          </cell>
          <cell r="D2455" t="str">
            <v>ZONA INDUSTRIALE LOTTO 12</v>
          </cell>
          <cell r="E2455" t="str">
            <v>73033</v>
          </cell>
          <cell r="F2455" t="str">
            <v>CORSANO</v>
          </cell>
          <cell r="G2455" t="str">
            <v>LE</v>
          </cell>
          <cell r="H2455" t="str">
            <v>ITALIA</v>
          </cell>
          <cell r="M2455" t="str">
            <v>UFFICIO ACQUISTI</v>
          </cell>
          <cell r="N2455" t="str">
            <v>0833 531469</v>
          </cell>
          <cell r="P2455" t="str">
            <v>tecnoleegnosnc@alice.it</v>
          </cell>
          <cell r="R2455" t="str">
            <v>BONIFICO BANCARIO, ALLA DATA DELLA NOSTRA CONFERMA D'ORDINE</v>
          </cell>
          <cell r="X2455">
            <v>0.25</v>
          </cell>
          <cell r="Y2455">
            <v>-0.04</v>
          </cell>
          <cell r="AB2455">
            <v>0.25</v>
          </cell>
          <cell r="AC2455">
            <v>0.25</v>
          </cell>
          <cell r="AD2455">
            <v>0.25</v>
          </cell>
          <cell r="AE2455">
            <v>0.25</v>
          </cell>
          <cell r="AF2455">
            <v>0.25</v>
          </cell>
          <cell r="AG2455">
            <v>0.25</v>
          </cell>
          <cell r="AH2455">
            <v>0.25</v>
          </cell>
          <cell r="AI2455">
            <v>0.25</v>
          </cell>
          <cell r="AJ2455">
            <v>0.25</v>
          </cell>
          <cell r="AK2455">
            <v>0.25</v>
          </cell>
          <cell r="AL2455">
            <v>0.25</v>
          </cell>
          <cell r="AM2455">
            <v>0.25</v>
          </cell>
          <cell r="AN2455">
            <v>0.25</v>
          </cell>
          <cell r="AO2455">
            <v>0.25</v>
          </cell>
          <cell r="AP2455">
            <v>0.25</v>
          </cell>
          <cell r="AQ2455">
            <v>0.25</v>
          </cell>
          <cell r="AR2455">
            <v>0.25</v>
          </cell>
          <cell r="AS2455">
            <v>0.25</v>
          </cell>
          <cell r="AT2455">
            <v>-0.04</v>
          </cell>
          <cell r="AU2455">
            <v>0.92</v>
          </cell>
          <cell r="AV2455">
            <v>20</v>
          </cell>
          <cell r="AZ2455">
            <v>0.25</v>
          </cell>
          <cell r="BA2455">
            <v>0.25</v>
          </cell>
        </row>
        <row r="2456">
          <cell r="A2456" t="str">
            <v>TECNOMETAL SNC</v>
          </cell>
          <cell r="D2456" t="str">
            <v>VIA MONACO 1</v>
          </cell>
          <cell r="E2456" t="str">
            <v>76123</v>
          </cell>
          <cell r="F2456" t="str">
            <v>ANDRIA</v>
          </cell>
          <cell r="G2456" t="str">
            <v>BT</v>
          </cell>
          <cell r="H2456" t="str">
            <v>ITALIA</v>
          </cell>
          <cell r="J2456" t="str">
            <v>04214590723</v>
          </cell>
          <cell r="M2456" t="str">
            <v>UFFICIO ACQUISTI</v>
          </cell>
          <cell r="N2456" t="str">
            <v>0883 558345</v>
          </cell>
          <cell r="P2456" t="str">
            <v>info@tmtecnometal.com</v>
          </cell>
          <cell r="R2456" t="str">
            <v>BONIFICO BANCARIO, ALLA DATA DELLA NOSTRA CONFERMA D'ORDINE</v>
          </cell>
          <cell r="X2456">
            <v>0.25</v>
          </cell>
          <cell r="Y2456">
            <v>-0.04</v>
          </cell>
          <cell r="AB2456">
            <v>0.25</v>
          </cell>
          <cell r="AC2456">
            <v>0.25</v>
          </cell>
          <cell r="AD2456">
            <v>0.25</v>
          </cell>
          <cell r="AE2456">
            <v>0.25</v>
          </cell>
          <cell r="AF2456">
            <v>0.25</v>
          </cell>
          <cell r="AG2456">
            <v>0.25</v>
          </cell>
          <cell r="AH2456">
            <v>0.25</v>
          </cell>
          <cell r="AI2456">
            <v>0.25</v>
          </cell>
          <cell r="AJ2456">
            <v>0.25</v>
          </cell>
          <cell r="AK2456">
            <v>0.25</v>
          </cell>
          <cell r="AL2456">
            <v>0.25</v>
          </cell>
          <cell r="AM2456">
            <v>0.25</v>
          </cell>
          <cell r="AN2456">
            <v>0.25</v>
          </cell>
          <cell r="AO2456">
            <v>0.25</v>
          </cell>
          <cell r="AP2456">
            <v>0.25</v>
          </cell>
          <cell r="AQ2456">
            <v>0.25</v>
          </cell>
          <cell r="AR2456">
            <v>0.25</v>
          </cell>
          <cell r="AS2456">
            <v>0.25</v>
          </cell>
          <cell r="AT2456">
            <v>-0.04</v>
          </cell>
          <cell r="AU2456">
            <v>0.92</v>
          </cell>
          <cell r="AV2456">
            <v>20</v>
          </cell>
          <cell r="AZ2456">
            <v>0.25</v>
          </cell>
          <cell r="BA2456">
            <v>0.25</v>
          </cell>
        </row>
        <row r="2457">
          <cell r="A2457" t="str">
            <v>TECNOSER S.R.L.</v>
          </cell>
          <cell r="D2457" t="str">
            <v>VIA TOMMASEO, 9  R</v>
          </cell>
          <cell r="E2457" t="str">
            <v>17047</v>
          </cell>
          <cell r="F2457" t="str">
            <v>VADO LIGURE</v>
          </cell>
          <cell r="G2457" t="str">
            <v>SV</v>
          </cell>
          <cell r="H2457" t="str">
            <v>ITALIA</v>
          </cell>
          <cell r="I2457" t="str">
            <v>01660810092</v>
          </cell>
          <cell r="M2457" t="str">
            <v>UFFICIO ACQUISTI</v>
          </cell>
          <cell r="N2457" t="str">
            <v>019 2160148</v>
          </cell>
          <cell r="P2457" t="str">
            <v>info@tecnosersavone.it</v>
          </cell>
          <cell r="R2457" t="str">
            <v>BONIFICO BANCARIO, ALLA DATA DELLA NOSTRA CONFERMA D'ORDINE</v>
          </cell>
          <cell r="X2457">
            <v>0.25</v>
          </cell>
          <cell r="Y2457">
            <v>-0.04</v>
          </cell>
          <cell r="AB2457">
            <v>0.25</v>
          </cell>
          <cell r="AC2457">
            <v>0.25</v>
          </cell>
          <cell r="AD2457">
            <v>0.25</v>
          </cell>
          <cell r="AE2457">
            <v>0.25</v>
          </cell>
          <cell r="AF2457">
            <v>0.25</v>
          </cell>
          <cell r="AG2457">
            <v>0.25</v>
          </cell>
          <cell r="AH2457">
            <v>0.25</v>
          </cell>
          <cell r="AI2457">
            <v>0.25</v>
          </cell>
          <cell r="AJ2457">
            <v>0.25</v>
          </cell>
          <cell r="AK2457">
            <v>0.25</v>
          </cell>
          <cell r="AL2457">
            <v>0.25</v>
          </cell>
          <cell r="AM2457">
            <v>0.25</v>
          </cell>
          <cell r="AN2457">
            <v>0.25</v>
          </cell>
          <cell r="AO2457">
            <v>0.25</v>
          </cell>
          <cell r="AP2457">
            <v>0.25</v>
          </cell>
          <cell r="AQ2457">
            <v>0.25</v>
          </cell>
          <cell r="AR2457">
            <v>0.25</v>
          </cell>
          <cell r="AS2457">
            <v>0.25</v>
          </cell>
          <cell r="AT2457">
            <v>-0.04</v>
          </cell>
          <cell r="AU2457">
            <v>0.92</v>
          </cell>
          <cell r="AV2457">
            <v>20</v>
          </cell>
          <cell r="AZ2457">
            <v>0.25</v>
          </cell>
          <cell r="BA2457">
            <v>0.25</v>
          </cell>
        </row>
        <row r="2458">
          <cell r="A2458" t="str">
            <v>TECNOSERAL SRL</v>
          </cell>
          <cell r="B2458" t="str">
            <v>PARLA CON FRATELLO</v>
          </cell>
          <cell r="D2458" t="str">
            <v xml:space="preserve">VIALE ALDO MORO, 30 </v>
          </cell>
          <cell r="E2458" t="str">
            <v>24054</v>
          </cell>
          <cell r="F2458" t="str">
            <v>CALCIO</v>
          </cell>
          <cell r="G2458" t="str">
            <v>BG</v>
          </cell>
          <cell r="H2458" t="str">
            <v>ITALIA</v>
          </cell>
          <cell r="M2458" t="str">
            <v>UFFICIO ACQUISTI</v>
          </cell>
          <cell r="N2458" t="str">
            <v>0363 906265</v>
          </cell>
          <cell r="O2458" t="str">
            <v>328 1239947     339 1562039</v>
          </cell>
          <cell r="P2458" t="str">
            <v>tecnoseral@alice.it</v>
          </cell>
          <cell r="R2458" t="str">
            <v>BONIFICO BANCARIO, ALLA DATA DELLA NOSTRA CONFERMA D'ORDINE</v>
          </cell>
          <cell r="X2458">
            <v>0.2</v>
          </cell>
          <cell r="Y2458">
            <v>-0.04</v>
          </cell>
          <cell r="AB2458">
            <v>0.2</v>
          </cell>
          <cell r="AC2458">
            <v>0.2</v>
          </cell>
          <cell r="AD2458">
            <v>0.2</v>
          </cell>
          <cell r="AE2458">
            <v>0.2</v>
          </cell>
          <cell r="AF2458">
            <v>0.2</v>
          </cell>
          <cell r="AG2458">
            <v>0.2</v>
          </cell>
          <cell r="AH2458">
            <v>0.2</v>
          </cell>
          <cell r="AI2458">
            <v>0.2</v>
          </cell>
          <cell r="AJ2458">
            <v>0.2</v>
          </cell>
          <cell r="AK2458">
            <v>0.2</v>
          </cell>
          <cell r="AL2458">
            <v>0.2</v>
          </cell>
          <cell r="AM2458">
            <v>0.2</v>
          </cell>
          <cell r="AN2458">
            <v>0.2</v>
          </cell>
          <cell r="AO2458">
            <v>0.2</v>
          </cell>
          <cell r="AP2458">
            <v>0.2</v>
          </cell>
          <cell r="AQ2458">
            <v>0.2</v>
          </cell>
          <cell r="AR2458">
            <v>0.2</v>
          </cell>
          <cell r="AS2458">
            <v>0.2</v>
          </cell>
          <cell r="AT2458">
            <v>-0.04</v>
          </cell>
          <cell r="AU2458">
            <v>0.92</v>
          </cell>
          <cell r="AV2458">
            <v>20</v>
          </cell>
          <cell r="AZ2458">
            <v>0.2</v>
          </cell>
          <cell r="BA2458">
            <v>0.2</v>
          </cell>
        </row>
        <row r="2459">
          <cell r="A2459" t="str">
            <v>TECNOSERRAMENTI TRENTINO</v>
          </cell>
          <cell r="D2459" t="str">
            <v>LOCALITA' FRATTE, 20</v>
          </cell>
          <cell r="E2459">
            <v>38057</v>
          </cell>
          <cell r="F2459" t="str">
            <v>PERGINE VALSUGANA</v>
          </cell>
          <cell r="G2459" t="str">
            <v>TN</v>
          </cell>
          <cell r="H2459" t="str">
            <v>ITALIA</v>
          </cell>
          <cell r="J2459" t="str">
            <v>01816000226</v>
          </cell>
          <cell r="M2459" t="str">
            <v>UFFICIO ACQUISTI</v>
          </cell>
          <cell r="N2459" t="str">
            <v>0461 510961</v>
          </cell>
          <cell r="O2459" t="str">
            <v>Marco Vedovato 338 3578059</v>
          </cell>
          <cell r="P2459" t="str">
            <v>info@tecnoserramenti.it</v>
          </cell>
          <cell r="R2459" t="str">
            <v>BONIFICO BANCARIO, ALLA DATA DELLA NOSTRA CONFERMA D'ORDINE</v>
          </cell>
          <cell r="X2459">
            <v>0.25</v>
          </cell>
          <cell r="Y2459">
            <v>-0.04</v>
          </cell>
          <cell r="AB2459">
            <v>0.25</v>
          </cell>
          <cell r="AC2459">
            <v>0.25</v>
          </cell>
          <cell r="AD2459">
            <v>0.25</v>
          </cell>
          <cell r="AE2459">
            <v>0.25</v>
          </cell>
          <cell r="AF2459">
            <v>0.25</v>
          </cell>
          <cell r="AG2459">
            <v>0.25</v>
          </cell>
          <cell r="AH2459">
            <v>0.25</v>
          </cell>
          <cell r="AI2459">
            <v>0.25</v>
          </cell>
          <cell r="AJ2459">
            <v>0.25</v>
          </cell>
          <cell r="AK2459">
            <v>0.25</v>
          </cell>
          <cell r="AL2459">
            <v>0.25</v>
          </cell>
          <cell r="AM2459">
            <v>0.25</v>
          </cell>
          <cell r="AN2459">
            <v>0.25</v>
          </cell>
          <cell r="AO2459">
            <v>0.25</v>
          </cell>
          <cell r="AP2459">
            <v>0.25</v>
          </cell>
          <cell r="AQ2459">
            <v>0.25</v>
          </cell>
          <cell r="AR2459">
            <v>0.25</v>
          </cell>
          <cell r="AS2459">
            <v>0.25</v>
          </cell>
          <cell r="AT2459">
            <v>-0.04</v>
          </cell>
          <cell r="AU2459">
            <v>0.92</v>
          </cell>
          <cell r="AV2459">
            <v>20</v>
          </cell>
          <cell r="AZ2459">
            <v>0.25</v>
          </cell>
          <cell r="BA2459">
            <v>0.25</v>
          </cell>
        </row>
        <row r="2460">
          <cell r="A2460" t="str">
            <v>TECNOSTIL</v>
          </cell>
          <cell r="D2460" t="str">
            <v>LOC. GEA</v>
          </cell>
          <cell r="E2460">
            <v>19013</v>
          </cell>
          <cell r="F2460" t="str">
            <v>DEIVA MARINA</v>
          </cell>
          <cell r="G2460" t="str">
            <v>SP</v>
          </cell>
          <cell r="H2460" t="str">
            <v>ITALIA</v>
          </cell>
          <cell r="J2460" t="str">
            <v>01651790998</v>
          </cell>
          <cell r="M2460" t="str">
            <v>UFFICIO ACQUISTI</v>
          </cell>
          <cell r="N2460" t="str">
            <v>0187 815945</v>
          </cell>
          <cell r="P2460" t="str">
            <v>info@tecnostil.it giovanni.panico@tecnostil.it</v>
          </cell>
          <cell r="R2460" t="str">
            <v>BONIFICO BANCARIO, ALLA DATA DELLA NOSTRA CONFERMA D'ORDINE</v>
          </cell>
          <cell r="X2460">
            <v>0.25</v>
          </cell>
          <cell r="Y2460">
            <v>-0.04</v>
          </cell>
          <cell r="AB2460">
            <v>0.25</v>
          </cell>
          <cell r="AC2460">
            <v>0.25</v>
          </cell>
          <cell r="AD2460">
            <v>0.25</v>
          </cell>
          <cell r="AE2460">
            <v>0.25</v>
          </cell>
          <cell r="AF2460">
            <v>0.25</v>
          </cell>
          <cell r="AG2460">
            <v>0.25</v>
          </cell>
          <cell r="AH2460">
            <v>0.25</v>
          </cell>
          <cell r="AI2460">
            <v>0.25</v>
          </cell>
          <cell r="AJ2460">
            <v>0.25</v>
          </cell>
          <cell r="AK2460">
            <v>0.25</v>
          </cell>
          <cell r="AL2460">
            <v>0.25</v>
          </cell>
          <cell r="AM2460">
            <v>0.25</v>
          </cell>
          <cell r="AN2460">
            <v>0.25</v>
          </cell>
          <cell r="AO2460">
            <v>0.25</v>
          </cell>
          <cell r="AP2460">
            <v>0.25</v>
          </cell>
          <cell r="AQ2460">
            <v>0.25</v>
          </cell>
          <cell r="AR2460">
            <v>0.25</v>
          </cell>
          <cell r="AS2460">
            <v>0.25</v>
          </cell>
          <cell r="AT2460">
            <v>-0.04</v>
          </cell>
          <cell r="AU2460">
            <v>0.92</v>
          </cell>
          <cell r="AV2460">
            <v>20</v>
          </cell>
          <cell r="AZ2460">
            <v>0.25</v>
          </cell>
          <cell r="BA2460">
            <v>0.25</v>
          </cell>
        </row>
        <row r="2461">
          <cell r="A2461" t="str">
            <v>TECNO-STIL</v>
          </cell>
          <cell r="D2461" t="str">
            <v>BORGO S.MARTINO SS 231, 18 B</v>
          </cell>
          <cell r="E2461">
            <v>12060</v>
          </cell>
          <cell r="F2461" t="str">
            <v>POCAPAGLIA</v>
          </cell>
          <cell r="G2461" t="str">
            <v>CN</v>
          </cell>
          <cell r="H2461" t="str">
            <v>ITALIA</v>
          </cell>
          <cell r="M2461" t="str">
            <v>UFFICIO ACQUISTI</v>
          </cell>
          <cell r="N2461" t="str">
            <v>0172 44885</v>
          </cell>
          <cell r="P2461" t="str">
            <v>info@tecnostilsrl.it</v>
          </cell>
          <cell r="R2461" t="str">
            <v>BONIFICO BANCARIO, ALLA DATA DELLA NOSTRA CONFERMA D'ORDINE</v>
          </cell>
          <cell r="X2461">
            <v>0.25</v>
          </cell>
          <cell r="Y2461">
            <v>-0.04</v>
          </cell>
          <cell r="AB2461">
            <v>0.25</v>
          </cell>
          <cell r="AC2461">
            <v>0.25</v>
          </cell>
          <cell r="AD2461">
            <v>0.25</v>
          </cell>
          <cell r="AE2461">
            <v>0.25</v>
          </cell>
          <cell r="AF2461">
            <v>0.25</v>
          </cell>
          <cell r="AG2461">
            <v>0.25</v>
          </cell>
          <cell r="AH2461">
            <v>0.25</v>
          </cell>
          <cell r="AI2461">
            <v>0.25</v>
          </cell>
          <cell r="AJ2461">
            <v>0.25</v>
          </cell>
          <cell r="AK2461">
            <v>0.25</v>
          </cell>
          <cell r="AL2461">
            <v>0.25</v>
          </cell>
          <cell r="AM2461">
            <v>0.25</v>
          </cell>
          <cell r="AN2461">
            <v>0.25</v>
          </cell>
          <cell r="AO2461">
            <v>0.25</v>
          </cell>
          <cell r="AP2461">
            <v>0.25</v>
          </cell>
          <cell r="AQ2461">
            <v>0.25</v>
          </cell>
          <cell r="AR2461">
            <v>0.25</v>
          </cell>
          <cell r="AS2461">
            <v>0.25</v>
          </cell>
          <cell r="AT2461">
            <v>-0.04</v>
          </cell>
          <cell r="AU2461">
            <v>0.92</v>
          </cell>
          <cell r="AV2461">
            <v>20</v>
          </cell>
          <cell r="AZ2461">
            <v>0.25</v>
          </cell>
          <cell r="BA2461">
            <v>0.25</v>
          </cell>
        </row>
        <row r="2462">
          <cell r="A2462" t="str">
            <v>TEDESCHI SERRAMENTI</v>
          </cell>
          <cell r="D2462" t="str">
            <v>VIA DELLA CONTEA, 43 PEDEMONTE</v>
          </cell>
          <cell r="E2462">
            <v>37029</v>
          </cell>
          <cell r="F2462" t="str">
            <v>S.PIETRO IN CARIANO</v>
          </cell>
          <cell r="G2462" t="str">
            <v>VR</v>
          </cell>
          <cell r="H2462" t="str">
            <v>ITALIA</v>
          </cell>
          <cell r="M2462" t="str">
            <v>UFFICIO ACQUISTI</v>
          </cell>
          <cell r="O2462" t="str">
            <v>Walter Tedeschi 348 3541858</v>
          </cell>
          <cell r="P2462" t="str">
            <v>walter@tedeschiserramenti.it</v>
          </cell>
          <cell r="R2462" t="str">
            <v>BONIFICO BANCARIO, ALLA DATA DELLA NOSTRA CONFERMA D'ORDINE</v>
          </cell>
          <cell r="X2462">
            <v>0.25</v>
          </cell>
          <cell r="Y2462">
            <v>-0.04</v>
          </cell>
          <cell r="AB2462">
            <v>0.25</v>
          </cell>
          <cell r="AC2462">
            <v>0.25</v>
          </cell>
          <cell r="AD2462">
            <v>0.25</v>
          </cell>
          <cell r="AE2462">
            <v>0.25</v>
          </cell>
          <cell r="AF2462">
            <v>0.25</v>
          </cell>
          <cell r="AG2462">
            <v>0.25</v>
          </cell>
          <cell r="AH2462">
            <v>0.25</v>
          </cell>
          <cell r="AI2462">
            <v>0.25</v>
          </cell>
          <cell r="AJ2462">
            <v>0.25</v>
          </cell>
          <cell r="AK2462">
            <v>0.25</v>
          </cell>
          <cell r="AL2462">
            <v>0.25</v>
          </cell>
          <cell r="AM2462">
            <v>0.25</v>
          </cell>
          <cell r="AN2462">
            <v>0.25</v>
          </cell>
          <cell r="AO2462">
            <v>0.25</v>
          </cell>
          <cell r="AP2462">
            <v>0.25</v>
          </cell>
          <cell r="AQ2462">
            <v>0.25</v>
          </cell>
          <cell r="AR2462">
            <v>0.25</v>
          </cell>
          <cell r="AS2462">
            <v>0.25</v>
          </cell>
          <cell r="AT2462">
            <v>-0.04</v>
          </cell>
          <cell r="AU2462">
            <v>0.92</v>
          </cell>
          <cell r="AV2462">
            <v>20</v>
          </cell>
          <cell r="AZ2462">
            <v>0.25</v>
          </cell>
          <cell r="BA2462">
            <v>0.25</v>
          </cell>
        </row>
        <row r="2463">
          <cell r="A2463" t="str">
            <v>TEDESCO GROUP SRLS</v>
          </cell>
          <cell r="D2463" t="str">
            <v>VIA TRENTO, 35</v>
          </cell>
          <cell r="E2463">
            <v>13900</v>
          </cell>
          <cell r="F2463" t="str">
            <v>BIELLA</v>
          </cell>
          <cell r="G2463" t="str">
            <v>BI</v>
          </cell>
          <cell r="H2463" t="str">
            <v>ITALIA</v>
          </cell>
          <cell r="I2463" t="str">
            <v>02647400023</v>
          </cell>
          <cell r="J2463" t="str">
            <v>02647400023</v>
          </cell>
          <cell r="M2463" t="str">
            <v>UFFICIO ACQUISTI</v>
          </cell>
          <cell r="O2463" t="str">
            <v>3474076672 Resp. Simone 333  8141573</v>
          </cell>
          <cell r="P2463" t="str">
            <v>info.serramentitedesco@gmail.com - fatturazione.antonella@gmail.com</v>
          </cell>
          <cell r="R2463" t="str">
            <v>BONIFICO BANCARIO, ALLA DATA DELLA NOSTRA CONFERMA D'ORDINE</v>
          </cell>
          <cell r="X2463">
            <v>0.25</v>
          </cell>
          <cell r="Y2463">
            <v>-0.04</v>
          </cell>
          <cell r="AB2463">
            <v>0.25</v>
          </cell>
          <cell r="AC2463">
            <v>0.25</v>
          </cell>
          <cell r="AD2463">
            <v>0.25</v>
          </cell>
          <cell r="AE2463">
            <v>0.25</v>
          </cell>
          <cell r="AF2463">
            <v>0.25</v>
          </cell>
          <cell r="AG2463">
            <v>0.25</v>
          </cell>
          <cell r="AH2463">
            <v>0.25</v>
          </cell>
          <cell r="AI2463">
            <v>0.25</v>
          </cell>
          <cell r="AJ2463">
            <v>0.25</v>
          </cell>
          <cell r="AK2463">
            <v>0.25</v>
          </cell>
          <cell r="AL2463">
            <v>0.25</v>
          </cell>
          <cell r="AM2463">
            <v>0.25</v>
          </cell>
          <cell r="AN2463">
            <v>0.25</v>
          </cell>
          <cell r="AO2463">
            <v>0.25</v>
          </cell>
          <cell r="AP2463">
            <v>0.25</v>
          </cell>
          <cell r="AQ2463">
            <v>0.25</v>
          </cell>
          <cell r="AR2463">
            <v>0.25</v>
          </cell>
          <cell r="AS2463">
            <v>0.25</v>
          </cell>
          <cell r="AT2463">
            <v>-0.04</v>
          </cell>
          <cell r="AU2463">
            <v>0.92</v>
          </cell>
          <cell r="AV2463">
            <v>20</v>
          </cell>
          <cell r="AZ2463">
            <v>0.25</v>
          </cell>
          <cell r="BA2463">
            <v>0.25</v>
          </cell>
        </row>
        <row r="2464">
          <cell r="A2464" t="str">
            <v xml:space="preserve">TEK SERRAMENTI </v>
          </cell>
          <cell r="D2464" t="str">
            <v>VIA AURELIA NORD 340</v>
          </cell>
          <cell r="E2464" t="str">
            <v>19021</v>
          </cell>
          <cell r="F2464" t="str">
            <v>ARCOLA</v>
          </cell>
          <cell r="G2464" t="str">
            <v>SP</v>
          </cell>
          <cell r="H2464" t="str">
            <v>ITALIA</v>
          </cell>
          <cell r="M2464" t="str">
            <v>UFFICIO ACQUISTI</v>
          </cell>
          <cell r="N2464" t="str">
            <v>0187 629998</v>
          </cell>
          <cell r="O2464" t="str">
            <v>347 4877894</v>
          </cell>
          <cell r="R2464" t="str">
            <v>BONIFICO BANCARIO, ALLA DATA DELLA NOSTRA CONFERMA D'ORDINE</v>
          </cell>
          <cell r="X2464">
            <v>0.25</v>
          </cell>
          <cell r="Y2464">
            <v>-0.04</v>
          </cell>
          <cell r="AB2464">
            <v>0.25</v>
          </cell>
          <cell r="AC2464">
            <v>0.25</v>
          </cell>
          <cell r="AD2464">
            <v>0.25</v>
          </cell>
          <cell r="AE2464">
            <v>0.25</v>
          </cell>
          <cell r="AF2464">
            <v>0.25</v>
          </cell>
          <cell r="AG2464">
            <v>0.25</v>
          </cell>
          <cell r="AH2464">
            <v>0.25</v>
          </cell>
          <cell r="AI2464">
            <v>0.25</v>
          </cell>
          <cell r="AJ2464">
            <v>0.25</v>
          </cell>
          <cell r="AK2464">
            <v>0.25</v>
          </cell>
          <cell r="AL2464">
            <v>0.25</v>
          </cell>
          <cell r="AM2464">
            <v>0.25</v>
          </cell>
          <cell r="AN2464">
            <v>0.25</v>
          </cell>
          <cell r="AO2464">
            <v>0.25</v>
          </cell>
          <cell r="AP2464">
            <v>0.25</v>
          </cell>
          <cell r="AQ2464">
            <v>0.25</v>
          </cell>
          <cell r="AR2464">
            <v>0.25</v>
          </cell>
          <cell r="AS2464">
            <v>0.25</v>
          </cell>
          <cell r="AT2464">
            <v>-0.04</v>
          </cell>
          <cell r="AU2464">
            <v>0.92</v>
          </cell>
          <cell r="AV2464">
            <v>20</v>
          </cell>
          <cell r="AZ2464">
            <v>0.25</v>
          </cell>
          <cell r="BA2464">
            <v>0.25</v>
          </cell>
        </row>
        <row r="2465">
          <cell r="A2465" t="str">
            <v>TEKLA S.R.L.</v>
          </cell>
          <cell r="D2465" t="str">
            <v>VIA G. OBERDAN, 52</v>
          </cell>
          <cell r="E2465">
            <v>84018</v>
          </cell>
          <cell r="F2465" t="str">
            <v>SARNO</v>
          </cell>
          <cell r="G2465" t="str">
            <v>SA</v>
          </cell>
          <cell r="H2465" t="str">
            <v>ITALIA</v>
          </cell>
          <cell r="M2465" t="str">
            <v>UFFICIO ACQUISTI</v>
          </cell>
          <cell r="N2465" t="str">
            <v>081 18950333</v>
          </cell>
          <cell r="P2465" t="str">
            <v>info@teklaweb.it</v>
          </cell>
          <cell r="R2465" t="str">
            <v>BONIFICO BANCARIO, ALLA DATA DELLA NOSTRA CONFERMA D'ORDINE</v>
          </cell>
          <cell r="X2465">
            <v>0.25</v>
          </cell>
          <cell r="Y2465">
            <v>-0.04</v>
          </cell>
          <cell r="AB2465">
            <v>0.25</v>
          </cell>
          <cell r="AC2465">
            <v>0.25</v>
          </cell>
          <cell r="AD2465">
            <v>0.25</v>
          </cell>
          <cell r="AE2465">
            <v>0.25</v>
          </cell>
          <cell r="AF2465">
            <v>0.25</v>
          </cell>
          <cell r="AG2465">
            <v>0.25</v>
          </cell>
          <cell r="AH2465">
            <v>0.25</v>
          </cell>
          <cell r="AI2465">
            <v>0.25</v>
          </cell>
          <cell r="AJ2465">
            <v>0.25</v>
          </cell>
          <cell r="AK2465">
            <v>0.25</v>
          </cell>
          <cell r="AL2465">
            <v>0.25</v>
          </cell>
          <cell r="AM2465">
            <v>0.25</v>
          </cell>
          <cell r="AN2465">
            <v>0.25</v>
          </cell>
          <cell r="AO2465">
            <v>0.25</v>
          </cell>
          <cell r="AP2465">
            <v>0.25</v>
          </cell>
          <cell r="AQ2465">
            <v>0.25</v>
          </cell>
          <cell r="AR2465">
            <v>0.25</v>
          </cell>
          <cell r="AS2465">
            <v>0.25</v>
          </cell>
          <cell r="AT2465">
            <v>-0.04</v>
          </cell>
          <cell r="AU2465">
            <v>0.92</v>
          </cell>
          <cell r="AV2465">
            <v>20</v>
          </cell>
          <cell r="AZ2465">
            <v>0.25</v>
          </cell>
          <cell r="BA2465">
            <v>0.25</v>
          </cell>
        </row>
        <row r="2466">
          <cell r="A2466" t="str">
            <v>TEKNIKA srl</v>
          </cell>
          <cell r="B2466" t="str">
            <v>LASCIATO DEPLIAN -MP</v>
          </cell>
          <cell r="D2466" t="str">
            <v>VIA BORGOMANERO, 42</v>
          </cell>
          <cell r="E2466">
            <v>28012</v>
          </cell>
          <cell r="F2466" t="str">
            <v>CRESSA</v>
          </cell>
          <cell r="G2466" t="str">
            <v>NO</v>
          </cell>
          <cell r="H2466" t="str">
            <v>ITALIA</v>
          </cell>
          <cell r="M2466" t="str">
            <v>UFFICIO ACQUISTI</v>
          </cell>
          <cell r="N2466" t="str">
            <v>0322 858705</v>
          </cell>
          <cell r="O2466" t="str">
            <v>349 1778963</v>
          </cell>
          <cell r="P2466" t="str">
            <v>ste.macri@teknikasrl.com</v>
          </cell>
          <cell r="R2466" t="str">
            <v>BONIFICO BANCARIO, ALLA DATA DELLA NOSTRA CONFERMA D'ORDINE</v>
          </cell>
          <cell r="X2466">
            <v>0.25</v>
          </cell>
          <cell r="Y2466">
            <v>-0.04</v>
          </cell>
          <cell r="AB2466">
            <v>0.25</v>
          </cell>
          <cell r="AC2466">
            <v>0.25</v>
          </cell>
          <cell r="AD2466">
            <v>0.25</v>
          </cell>
          <cell r="AE2466">
            <v>0.25</v>
          </cell>
          <cell r="AF2466">
            <v>0.25</v>
          </cell>
          <cell r="AG2466">
            <v>0.25</v>
          </cell>
          <cell r="AH2466">
            <v>0.25</v>
          </cell>
          <cell r="AI2466">
            <v>0.25</v>
          </cell>
          <cell r="AJ2466">
            <v>0.25</v>
          </cell>
          <cell r="AK2466">
            <v>0.25</v>
          </cell>
          <cell r="AL2466">
            <v>0.25</v>
          </cell>
          <cell r="AM2466">
            <v>0.25</v>
          </cell>
          <cell r="AN2466">
            <v>0.25</v>
          </cell>
          <cell r="AO2466">
            <v>0.25</v>
          </cell>
          <cell r="AP2466">
            <v>0.25</v>
          </cell>
          <cell r="AQ2466">
            <v>0.25</v>
          </cell>
          <cell r="AR2466">
            <v>0.25</v>
          </cell>
          <cell r="AS2466">
            <v>0.25</v>
          </cell>
          <cell r="AT2466">
            <v>-0.04</v>
          </cell>
          <cell r="AU2466">
            <v>0.92</v>
          </cell>
          <cell r="AV2466">
            <v>20</v>
          </cell>
          <cell r="AZ2466">
            <v>0.25</v>
          </cell>
          <cell r="BA2466">
            <v>0.25</v>
          </cell>
        </row>
        <row r="2467">
          <cell r="A2467" t="str">
            <v>TEKNO INFISSI</v>
          </cell>
          <cell r="D2467" t="str">
            <v>VIA BASTIONI SAN GIORGIO, 40 42</v>
          </cell>
          <cell r="E2467">
            <v>72100</v>
          </cell>
          <cell r="F2467" t="str">
            <v>BRINDISI</v>
          </cell>
          <cell r="G2467" t="str">
            <v>BR</v>
          </cell>
          <cell r="H2467" t="str">
            <v>ITALIA</v>
          </cell>
          <cell r="J2467" t="str">
            <v>02540490741</v>
          </cell>
          <cell r="M2467" t="str">
            <v>UFFICIO ACQUISTI</v>
          </cell>
          <cell r="O2467" t="str">
            <v>340 4576156   320 7418200</v>
          </cell>
          <cell r="R2467" t="str">
            <v>BONIFICO BANCARIO, ALLA DATA DELLA NOSTRA CONFERMA D'ORDINE</v>
          </cell>
          <cell r="X2467">
            <v>0.25</v>
          </cell>
          <cell r="Y2467">
            <v>-0.04</v>
          </cell>
          <cell r="AB2467">
            <v>0.25</v>
          </cell>
          <cell r="AC2467">
            <v>0.25</v>
          </cell>
          <cell r="AD2467">
            <v>0.25</v>
          </cell>
          <cell r="AE2467">
            <v>0.25</v>
          </cell>
          <cell r="AF2467">
            <v>0.25</v>
          </cell>
          <cell r="AG2467">
            <v>0.25</v>
          </cell>
          <cell r="AH2467">
            <v>0.25</v>
          </cell>
          <cell r="AI2467">
            <v>0.25</v>
          </cell>
          <cell r="AJ2467">
            <v>0.25</v>
          </cell>
          <cell r="AK2467">
            <v>0.25</v>
          </cell>
          <cell r="AL2467">
            <v>0.25</v>
          </cell>
          <cell r="AM2467">
            <v>0.25</v>
          </cell>
          <cell r="AN2467">
            <v>0.25</v>
          </cell>
          <cell r="AO2467">
            <v>0.25</v>
          </cell>
          <cell r="AP2467">
            <v>0.25</v>
          </cell>
          <cell r="AQ2467">
            <v>0.25</v>
          </cell>
          <cell r="AR2467">
            <v>0.25</v>
          </cell>
          <cell r="AS2467">
            <v>0.25</v>
          </cell>
          <cell r="AT2467">
            <v>-0.04</v>
          </cell>
          <cell r="AU2467">
            <v>0.92</v>
          </cell>
          <cell r="AV2467">
            <v>20</v>
          </cell>
          <cell r="AZ2467">
            <v>0.25</v>
          </cell>
          <cell r="BA2467">
            <v>0.25</v>
          </cell>
        </row>
        <row r="2468">
          <cell r="A2468" t="str">
            <v>TEKNO INFISSI SNC DI TESTA E CHIARI</v>
          </cell>
          <cell r="D2468" t="str">
            <v>VIA PIETRO NENNI, 17</v>
          </cell>
          <cell r="E2468" t="str">
            <v>24047</v>
          </cell>
          <cell r="F2468" t="str">
            <v>TREVIGLIO</v>
          </cell>
          <cell r="G2468" t="str">
            <v>BG</v>
          </cell>
          <cell r="H2468" t="str">
            <v>ITALIA</v>
          </cell>
          <cell r="J2468" t="str">
            <v>01000920163</v>
          </cell>
          <cell r="M2468" t="str">
            <v>UFFICIO ACQUISTI</v>
          </cell>
          <cell r="N2468" t="str">
            <v>03636 41193</v>
          </cell>
          <cell r="P2468" t="str">
            <v>info@teknoinfissi.it</v>
          </cell>
          <cell r="R2468" t="str">
            <v>BONIFICO BANCARIO, ALLA DATA DELLA NOSTRA CONFERMA D'ORDINE</v>
          </cell>
          <cell r="X2468">
            <v>0.2</v>
          </cell>
          <cell r="Y2468">
            <v>-0.04</v>
          </cell>
          <cell r="AB2468">
            <v>0.2</v>
          </cell>
          <cell r="AC2468">
            <v>0.2</v>
          </cell>
          <cell r="AD2468">
            <v>0.2</v>
          </cell>
          <cell r="AE2468">
            <v>0.2</v>
          </cell>
          <cell r="AF2468">
            <v>0.2</v>
          </cell>
          <cell r="AG2468">
            <v>0.2</v>
          </cell>
          <cell r="AH2468">
            <v>0.2</v>
          </cell>
          <cell r="AI2468">
            <v>0.2</v>
          </cell>
          <cell r="AJ2468">
            <v>0.2</v>
          </cell>
          <cell r="AK2468">
            <v>0.2</v>
          </cell>
          <cell r="AL2468">
            <v>0.2</v>
          </cell>
          <cell r="AM2468">
            <v>0.2</v>
          </cell>
          <cell r="AN2468">
            <v>0.2</v>
          </cell>
          <cell r="AO2468">
            <v>0.2</v>
          </cell>
          <cell r="AP2468">
            <v>0.2</v>
          </cell>
          <cell r="AQ2468">
            <v>0.2</v>
          </cell>
          <cell r="AR2468">
            <v>0.2</v>
          </cell>
          <cell r="AS2468">
            <v>0.2</v>
          </cell>
          <cell r="AT2468">
            <v>-0.04</v>
          </cell>
          <cell r="AU2468">
            <v>0.92</v>
          </cell>
          <cell r="AV2468">
            <v>20</v>
          </cell>
          <cell r="AZ2468">
            <v>0.2</v>
          </cell>
          <cell r="BA2468">
            <v>0.2</v>
          </cell>
        </row>
        <row r="2469">
          <cell r="A2469" t="str">
            <v>TEKNO INFISSI SRL</v>
          </cell>
          <cell r="D2469" t="str">
            <v>VIA SAN GIOVANNI BOSCO, 269</v>
          </cell>
          <cell r="E2469">
            <v>41121</v>
          </cell>
          <cell r="F2469" t="str">
            <v>MODENA</v>
          </cell>
          <cell r="G2469" t="str">
            <v>MO</v>
          </cell>
          <cell r="H2469" t="str">
            <v>ITALIA</v>
          </cell>
          <cell r="J2469" t="str">
            <v>03309140360</v>
          </cell>
          <cell r="M2469" t="str">
            <v>UFFICIO ACQUISTI</v>
          </cell>
          <cell r="N2469" t="str">
            <v>059 875302</v>
          </cell>
          <cell r="O2469" t="str">
            <v>Giovanni Caputo 339 7157572</v>
          </cell>
          <cell r="P2469" t="str">
            <v>info@teknoinfissisrl.it</v>
          </cell>
          <cell r="R2469" t="str">
            <v>BONIFICO BANCARIO, ALLA DATA DELLA NOSTRA CONFERMA D'ORDINE</v>
          </cell>
          <cell r="X2469">
            <v>0.25</v>
          </cell>
          <cell r="Y2469">
            <v>-0.04</v>
          </cell>
          <cell r="AB2469">
            <v>0.25</v>
          </cell>
          <cell r="AC2469">
            <v>0.25</v>
          </cell>
          <cell r="AD2469">
            <v>0.25</v>
          </cell>
          <cell r="AE2469">
            <v>0.25</v>
          </cell>
          <cell r="AF2469">
            <v>0.25</v>
          </cell>
          <cell r="AG2469">
            <v>0.25</v>
          </cell>
          <cell r="AH2469">
            <v>0.25</v>
          </cell>
          <cell r="AI2469">
            <v>0.25</v>
          </cell>
          <cell r="AJ2469">
            <v>0.25</v>
          </cell>
          <cell r="AK2469">
            <v>0.25</v>
          </cell>
          <cell r="AL2469">
            <v>0.25</v>
          </cell>
          <cell r="AM2469">
            <v>0.25</v>
          </cell>
          <cell r="AN2469">
            <v>0.25</v>
          </cell>
          <cell r="AO2469">
            <v>0.25</v>
          </cell>
          <cell r="AP2469">
            <v>0.25</v>
          </cell>
          <cell r="AQ2469">
            <v>0.25</v>
          </cell>
          <cell r="AR2469">
            <v>0.25</v>
          </cell>
          <cell r="AS2469">
            <v>0.25</v>
          </cell>
          <cell r="AT2469">
            <v>-0.04</v>
          </cell>
          <cell r="AU2469">
            <v>0.92</v>
          </cell>
          <cell r="AV2469">
            <v>20</v>
          </cell>
          <cell r="AZ2469">
            <v>0.25</v>
          </cell>
          <cell r="BA2469">
            <v>0.25</v>
          </cell>
        </row>
        <row r="2470">
          <cell r="A2470" t="str">
            <v>TEKNUS SNC</v>
          </cell>
          <cell r="D2470" t="str">
            <v>VIA MONTEGRAPPA 99</v>
          </cell>
          <cell r="E2470" t="str">
            <v>32100</v>
          </cell>
          <cell r="F2470" t="str">
            <v>BELLUNO</v>
          </cell>
          <cell r="G2470" t="str">
            <v>BL</v>
          </cell>
          <cell r="H2470" t="str">
            <v>ITALIA</v>
          </cell>
          <cell r="J2470" t="str">
            <v>00723600250</v>
          </cell>
          <cell r="M2470" t="str">
            <v>UFFICIO ACQUISTI</v>
          </cell>
          <cell r="N2470" t="str">
            <v>0437 927053</v>
          </cell>
          <cell r="O2470" t="str">
            <v>392 6089785</v>
          </cell>
          <cell r="P2470" t="str">
            <v>teknus2@libero.it</v>
          </cell>
          <cell r="R2470" t="str">
            <v>BONIFICO BANCARIO, ALLA DATA DELLA NOSTRA CONFERMA D'ORDINE</v>
          </cell>
          <cell r="X2470">
            <v>0.25</v>
          </cell>
          <cell r="Y2470">
            <v>-0.04</v>
          </cell>
          <cell r="AB2470">
            <v>0.25</v>
          </cell>
          <cell r="AC2470">
            <v>0.25</v>
          </cell>
          <cell r="AD2470">
            <v>0.25</v>
          </cell>
          <cell r="AE2470">
            <v>0.25</v>
          </cell>
          <cell r="AF2470">
            <v>0.25</v>
          </cell>
          <cell r="AG2470">
            <v>0.25</v>
          </cell>
          <cell r="AH2470">
            <v>0.25</v>
          </cell>
          <cell r="AI2470">
            <v>0.25</v>
          </cell>
          <cell r="AJ2470">
            <v>0.25</v>
          </cell>
          <cell r="AK2470">
            <v>0.25</v>
          </cell>
          <cell r="AL2470">
            <v>0.25</v>
          </cell>
          <cell r="AM2470">
            <v>0.25</v>
          </cell>
          <cell r="AN2470">
            <v>0.25</v>
          </cell>
          <cell r="AO2470">
            <v>0.25</v>
          </cell>
          <cell r="AP2470">
            <v>0.25</v>
          </cell>
          <cell r="AQ2470">
            <v>0.25</v>
          </cell>
          <cell r="AR2470">
            <v>0.25</v>
          </cell>
          <cell r="AS2470">
            <v>0.25</v>
          </cell>
          <cell r="AT2470">
            <v>-0.04</v>
          </cell>
          <cell r="AU2470">
            <v>0.92</v>
          </cell>
          <cell r="AV2470">
            <v>20</v>
          </cell>
          <cell r="AZ2470">
            <v>0.25</v>
          </cell>
          <cell r="BA2470">
            <v>0.25</v>
          </cell>
        </row>
        <row r="2471">
          <cell r="A2471" t="str">
            <v>TENDASTAR DI A.MECCA</v>
          </cell>
          <cell r="B2471" t="str">
            <v>MECCA ANGELI ANDREA</v>
          </cell>
          <cell r="D2471" t="str">
            <v>VIA ROMA, 40</v>
          </cell>
          <cell r="E2471" t="str">
            <v>33053</v>
          </cell>
          <cell r="F2471" t="str">
            <v>LATISANA</v>
          </cell>
          <cell r="G2471" t="str">
            <v>UD</v>
          </cell>
          <cell r="H2471" t="str">
            <v>ITALIA</v>
          </cell>
          <cell r="J2471" t="str">
            <v>02939360273</v>
          </cell>
          <cell r="M2471" t="str">
            <v>UFFICIO ACQUISTI</v>
          </cell>
          <cell r="N2471" t="str">
            <v>0431 521691</v>
          </cell>
          <cell r="O2471" t="str">
            <v>335 8129051</v>
          </cell>
          <cell r="P2471" t="str">
            <v>info@tendastar.com</v>
          </cell>
          <cell r="R2471" t="str">
            <v>BONIFICO BANCARIO, ALLA DATA DELLA NOSTRA CONFERMA D'ORDINE</v>
          </cell>
          <cell r="X2471">
            <v>0.25</v>
          </cell>
          <cell r="Y2471">
            <v>-0.04</v>
          </cell>
          <cell r="AB2471">
            <v>0.25</v>
          </cell>
          <cell r="AC2471">
            <v>0.25</v>
          </cell>
          <cell r="AD2471">
            <v>0.25</v>
          </cell>
          <cell r="AE2471">
            <v>0.25</v>
          </cell>
          <cell r="AF2471">
            <v>0.25</v>
          </cell>
          <cell r="AG2471">
            <v>0.25</v>
          </cell>
          <cell r="AH2471">
            <v>0.25</v>
          </cell>
          <cell r="AI2471">
            <v>0.25</v>
          </cell>
          <cell r="AJ2471">
            <v>0.25</v>
          </cell>
          <cell r="AK2471">
            <v>0.25</v>
          </cell>
          <cell r="AL2471">
            <v>0.25</v>
          </cell>
          <cell r="AM2471">
            <v>0.25</v>
          </cell>
          <cell r="AN2471">
            <v>0.25</v>
          </cell>
          <cell r="AO2471">
            <v>0.25</v>
          </cell>
          <cell r="AP2471">
            <v>0.25</v>
          </cell>
          <cell r="AQ2471">
            <v>0.25</v>
          </cell>
          <cell r="AR2471">
            <v>0.25</v>
          </cell>
          <cell r="AS2471">
            <v>0.25</v>
          </cell>
          <cell r="AT2471">
            <v>-0.04</v>
          </cell>
          <cell r="AU2471">
            <v>0.92</v>
          </cell>
          <cell r="AV2471">
            <v>20</v>
          </cell>
          <cell r="AZ2471">
            <v>0.25</v>
          </cell>
          <cell r="BA2471">
            <v>0.25</v>
          </cell>
        </row>
        <row r="2472">
          <cell r="A2472" t="str">
            <v>TENDE DA SOLE ROMITA S.&amp; FIGLI SNC</v>
          </cell>
          <cell r="B2472" t="str">
            <v xml:space="preserve"> MAI USATE                                                           </v>
          </cell>
          <cell r="D2472" t="str">
            <v>VIA S.G.BATTISTA, 9R</v>
          </cell>
          <cell r="E2472">
            <v>16154</v>
          </cell>
          <cell r="F2472" t="str">
            <v>GENOVA SESTRI PONENTE</v>
          </cell>
          <cell r="G2472" t="str">
            <v>GE</v>
          </cell>
          <cell r="H2472" t="str">
            <v>ITALIA</v>
          </cell>
          <cell r="J2472" t="str">
            <v>03405040100</v>
          </cell>
          <cell r="M2472" t="str">
            <v>UFFICIO ACQUISTI</v>
          </cell>
          <cell r="N2472" t="str">
            <v>010 6044204</v>
          </cell>
          <cell r="P2472" t="str">
            <v>romitaefigli@romitaefigli.it</v>
          </cell>
          <cell r="R2472" t="str">
            <v>BONIFICO BANCARIO, ALLA DATA DELLA NOSTRA CONFERMA D'ORDINE</v>
          </cell>
          <cell r="X2472">
            <v>0.25</v>
          </cell>
          <cell r="Y2472">
            <v>-0.04</v>
          </cell>
          <cell r="AB2472">
            <v>0.25</v>
          </cell>
          <cell r="AC2472">
            <v>0.25</v>
          </cell>
          <cell r="AD2472">
            <v>0.25</v>
          </cell>
          <cell r="AE2472">
            <v>0.25</v>
          </cell>
          <cell r="AF2472">
            <v>0.25</v>
          </cell>
          <cell r="AG2472">
            <v>0.25</v>
          </cell>
          <cell r="AH2472">
            <v>0.25</v>
          </cell>
          <cell r="AI2472">
            <v>0.25</v>
          </cell>
          <cell r="AJ2472">
            <v>0.25</v>
          </cell>
          <cell r="AK2472">
            <v>0.25</v>
          </cell>
          <cell r="AL2472">
            <v>0.25</v>
          </cell>
          <cell r="AM2472">
            <v>0.25</v>
          </cell>
          <cell r="AN2472">
            <v>0.25</v>
          </cell>
          <cell r="AO2472">
            <v>0.25</v>
          </cell>
          <cell r="AP2472">
            <v>0.25</v>
          </cell>
          <cell r="AQ2472">
            <v>0.25</v>
          </cell>
          <cell r="AR2472">
            <v>0.25</v>
          </cell>
          <cell r="AS2472">
            <v>0.25</v>
          </cell>
          <cell r="AT2472">
            <v>-0.04</v>
          </cell>
          <cell r="AU2472">
            <v>0.92</v>
          </cell>
          <cell r="AV2472">
            <v>20</v>
          </cell>
          <cell r="AZ2472">
            <v>0.25</v>
          </cell>
          <cell r="BA2472">
            <v>0.25</v>
          </cell>
        </row>
        <row r="2473">
          <cell r="A2473" t="str">
            <v>TENDE ED ARREDI DI ALESSANDRO TAVOLETTI</v>
          </cell>
          <cell r="B2473" t="str">
            <v>30/03/23 HA NOSTRO LISTINO MA MAI RICEVUTO UNA RICHIESTA. SE HA BISOGNO CHIAMA LUI</v>
          </cell>
          <cell r="D2473" t="str">
            <v>VIA LIBERAZIONE, 55</v>
          </cell>
          <cell r="E2473" t="str">
            <v>63074</v>
          </cell>
          <cell r="F2473" t="str">
            <v>SAN BENEDETTO DEL TRONTO</v>
          </cell>
          <cell r="G2473" t="str">
            <v>AP</v>
          </cell>
          <cell r="H2473" t="str">
            <v>ITALIA</v>
          </cell>
          <cell r="M2473" t="str">
            <v>UFFICIO ACQUISTI</v>
          </cell>
          <cell r="O2473" t="str">
            <v>348 7237852</v>
          </cell>
          <cell r="R2473" t="str">
            <v>BONIFICO BANCARIO, ALLA DATA DELLA NOSTRA CONFERMA D'ORDINE</v>
          </cell>
          <cell r="X2473">
            <v>0.2</v>
          </cell>
          <cell r="Y2473">
            <v>-0.04</v>
          </cell>
          <cell r="AB2473">
            <v>0.2</v>
          </cell>
          <cell r="AC2473">
            <v>0.2</v>
          </cell>
          <cell r="AD2473">
            <v>0.2</v>
          </cell>
          <cell r="AE2473">
            <v>0.2</v>
          </cell>
          <cell r="AF2473">
            <v>0.2</v>
          </cell>
          <cell r="AG2473">
            <v>0.2</v>
          </cell>
          <cell r="AH2473">
            <v>0.2</v>
          </cell>
          <cell r="AI2473">
            <v>0.2</v>
          </cell>
          <cell r="AJ2473">
            <v>0.2</v>
          </cell>
          <cell r="AK2473">
            <v>0.2</v>
          </cell>
          <cell r="AL2473">
            <v>0.2</v>
          </cell>
          <cell r="AM2473">
            <v>0.2</v>
          </cell>
          <cell r="AN2473">
            <v>0.2</v>
          </cell>
          <cell r="AO2473">
            <v>0.2</v>
          </cell>
          <cell r="AP2473">
            <v>0.2</v>
          </cell>
          <cell r="AQ2473">
            <v>0.2</v>
          </cell>
          <cell r="AR2473">
            <v>0.2</v>
          </cell>
          <cell r="AS2473">
            <v>0.2</v>
          </cell>
          <cell r="AT2473">
            <v>-0.04</v>
          </cell>
          <cell r="AU2473">
            <v>0.92</v>
          </cell>
          <cell r="AV2473">
            <v>20</v>
          </cell>
          <cell r="AZ2473">
            <v>0.2</v>
          </cell>
          <cell r="BA2473">
            <v>0.2</v>
          </cell>
        </row>
        <row r="2474">
          <cell r="A2474" t="str">
            <v>TENDE ZANICHELLI</v>
          </cell>
          <cell r="D2474" t="str">
            <v>VIA CAVALLO, 9C</v>
          </cell>
          <cell r="E2474">
            <v>42016</v>
          </cell>
          <cell r="F2474" t="str">
            <v>GUASTALLO</v>
          </cell>
          <cell r="G2474" t="str">
            <v>RE</v>
          </cell>
          <cell r="H2474" t="str">
            <v>ITALIA</v>
          </cell>
          <cell r="M2474" t="str">
            <v>UFFICIO ACQUISTI</v>
          </cell>
          <cell r="O2474" t="str">
            <v>339 3284438</v>
          </cell>
          <cell r="R2474" t="str">
            <v>BONIFICO BANCARIO, ALLA DATA DELLA NOSTRA CONFERMA D'ORDINE</v>
          </cell>
          <cell r="X2474">
            <v>0.25</v>
          </cell>
          <cell r="Y2474">
            <v>-0.04</v>
          </cell>
          <cell r="AB2474">
            <v>0.25</v>
          </cell>
          <cell r="AC2474">
            <v>0.25</v>
          </cell>
          <cell r="AD2474">
            <v>0.25</v>
          </cell>
          <cell r="AE2474">
            <v>0.25</v>
          </cell>
          <cell r="AF2474">
            <v>0.25</v>
          </cell>
          <cell r="AG2474">
            <v>0.25</v>
          </cell>
          <cell r="AH2474">
            <v>0.25</v>
          </cell>
          <cell r="AI2474">
            <v>0.25</v>
          </cell>
          <cell r="AJ2474">
            <v>0.25</v>
          </cell>
          <cell r="AK2474">
            <v>0.25</v>
          </cell>
          <cell r="AL2474">
            <v>0.25</v>
          </cell>
          <cell r="AM2474">
            <v>0.25</v>
          </cell>
          <cell r="AN2474">
            <v>0.25</v>
          </cell>
          <cell r="AO2474">
            <v>0.25</v>
          </cell>
          <cell r="AP2474">
            <v>0.25</v>
          </cell>
          <cell r="AQ2474">
            <v>0.25</v>
          </cell>
          <cell r="AR2474">
            <v>0.25</v>
          </cell>
          <cell r="AS2474">
            <v>0.25</v>
          </cell>
          <cell r="AT2474">
            <v>-0.04</v>
          </cell>
          <cell r="AU2474">
            <v>0.92</v>
          </cell>
          <cell r="AV2474">
            <v>20</v>
          </cell>
          <cell r="AZ2474">
            <v>0.25</v>
          </cell>
          <cell r="BA2474">
            <v>0.25</v>
          </cell>
        </row>
        <row r="2475">
          <cell r="A2475" t="str">
            <v>TEO ACCESSORI</v>
          </cell>
          <cell r="D2475" t="str">
            <v>VIA QUINTAVALLE, 28</v>
          </cell>
          <cell r="E2475" t="str">
            <v>70044</v>
          </cell>
          <cell r="F2475" t="str">
            <v>POLIGNANO A MARE</v>
          </cell>
          <cell r="G2475" t="str">
            <v>BA</v>
          </cell>
          <cell r="H2475" t="str">
            <v>ITALIA</v>
          </cell>
          <cell r="M2475" t="str">
            <v>UFFICIO ACQUISTI</v>
          </cell>
          <cell r="N2475" t="str">
            <v>080 4249105</v>
          </cell>
          <cell r="O2475" t="str">
            <v>335 5496354</v>
          </cell>
          <cell r="P2475" t="str">
            <v>teofilogianfranco@virgilio.it</v>
          </cell>
          <cell r="R2475" t="str">
            <v>BONIFICO BANCARIO, ALLA DATA DELLA NOSTRA CONFERMA D'ORDINE</v>
          </cell>
          <cell r="X2475">
            <v>0.25</v>
          </cell>
          <cell r="Y2475">
            <v>-0.04</v>
          </cell>
          <cell r="AB2475">
            <v>0.25</v>
          </cell>
          <cell r="AC2475">
            <v>0.25</v>
          </cell>
          <cell r="AD2475">
            <v>0.25</v>
          </cell>
          <cell r="AE2475">
            <v>0.25</v>
          </cell>
          <cell r="AF2475">
            <v>0.25</v>
          </cell>
          <cell r="AG2475">
            <v>0.25</v>
          </cell>
          <cell r="AH2475">
            <v>0.25</v>
          </cell>
          <cell r="AI2475">
            <v>0.25</v>
          </cell>
          <cell r="AJ2475">
            <v>0.25</v>
          </cell>
          <cell r="AK2475">
            <v>0.25</v>
          </cell>
          <cell r="AL2475">
            <v>0.25</v>
          </cell>
          <cell r="AM2475">
            <v>0.25</v>
          </cell>
          <cell r="AN2475">
            <v>0.25</v>
          </cell>
          <cell r="AO2475">
            <v>0.25</v>
          </cell>
          <cell r="AP2475">
            <v>0.25</v>
          </cell>
          <cell r="AQ2475">
            <v>0.25</v>
          </cell>
          <cell r="AR2475">
            <v>0.25</v>
          </cell>
          <cell r="AS2475">
            <v>0.25</v>
          </cell>
          <cell r="AT2475">
            <v>-0.04</v>
          </cell>
          <cell r="AU2475">
            <v>0.92</v>
          </cell>
          <cell r="AV2475">
            <v>20</v>
          </cell>
          <cell r="AZ2475">
            <v>0.25</v>
          </cell>
          <cell r="BA2475">
            <v>0.25</v>
          </cell>
        </row>
        <row r="2476">
          <cell r="A2476" t="str">
            <v>TERMO INFISSI S.R.L.S</v>
          </cell>
          <cell r="F2476" t="str">
            <v>SORA</v>
          </cell>
          <cell r="G2476" t="str">
            <v>FR</v>
          </cell>
          <cell r="H2476" t="str">
            <v>ITALIA</v>
          </cell>
          <cell r="M2476" t="str">
            <v>UFFICIO ACQUISTI</v>
          </cell>
          <cell r="N2476" t="str">
            <v>340 7004757</v>
          </cell>
          <cell r="R2476" t="str">
            <v>BONIFICO BANCARIO, ALLA DATA DELLA NOSTRA CONFERMA D'ORDINE</v>
          </cell>
          <cell r="X2476">
            <v>0.25</v>
          </cell>
          <cell r="Y2476">
            <v>-0.04</v>
          </cell>
          <cell r="AB2476">
            <v>0.25</v>
          </cell>
          <cell r="AC2476">
            <v>0.25</v>
          </cell>
          <cell r="AD2476">
            <v>0.25</v>
          </cell>
          <cell r="AE2476">
            <v>0.25</v>
          </cell>
          <cell r="AF2476">
            <v>0.25</v>
          </cell>
          <cell r="AG2476">
            <v>0.25</v>
          </cell>
          <cell r="AH2476">
            <v>0.25</v>
          </cell>
          <cell r="AI2476">
            <v>0.25</v>
          </cell>
          <cell r="AJ2476">
            <v>0.25</v>
          </cell>
          <cell r="AK2476">
            <v>0.25</v>
          </cell>
          <cell r="AL2476">
            <v>0.25</v>
          </cell>
          <cell r="AM2476">
            <v>0.25</v>
          </cell>
          <cell r="AN2476">
            <v>0.25</v>
          </cell>
          <cell r="AO2476">
            <v>0.25</v>
          </cell>
          <cell r="AP2476">
            <v>0.25</v>
          </cell>
          <cell r="AQ2476">
            <v>0.25</v>
          </cell>
          <cell r="AR2476">
            <v>0.25</v>
          </cell>
          <cell r="AS2476">
            <v>0.25</v>
          </cell>
          <cell r="AT2476">
            <v>-0.04</v>
          </cell>
          <cell r="AU2476">
            <v>0.92</v>
          </cell>
          <cell r="AV2476">
            <v>20</v>
          </cell>
          <cell r="AZ2476">
            <v>0.25</v>
          </cell>
          <cell r="BA2476">
            <v>0.25</v>
          </cell>
        </row>
        <row r="2477">
          <cell r="A2477" t="str">
            <v>TERMOINFISSI SRL</v>
          </cell>
          <cell r="D2477" t="str">
            <v>VIA DELLA GIOVENTU' CN</v>
          </cell>
          <cell r="F2477" t="str">
            <v>SAN GIOVANNI ROTONDO</v>
          </cell>
          <cell r="G2477" t="str">
            <v>FG</v>
          </cell>
          <cell r="H2477" t="str">
            <v>ITALIA</v>
          </cell>
          <cell r="M2477" t="str">
            <v>UFFICIO ACQUISTI</v>
          </cell>
          <cell r="N2477" t="str">
            <v>330 663361</v>
          </cell>
          <cell r="O2477" t="str">
            <v>338 7788341</v>
          </cell>
          <cell r="P2477" t="str">
            <v>termoinfissisrl@libero.it</v>
          </cell>
          <cell r="R2477" t="str">
            <v>BONIFICO BANCARIO, ALLA DATA DELLA NOSTRA CONFERMA D'ORDINE</v>
          </cell>
          <cell r="X2477">
            <v>0.25</v>
          </cell>
          <cell r="Y2477">
            <v>-0.04</v>
          </cell>
          <cell r="AB2477">
            <v>0.25</v>
          </cell>
          <cell r="AC2477">
            <v>0.25</v>
          </cell>
          <cell r="AD2477">
            <v>0.25</v>
          </cell>
          <cell r="AE2477">
            <v>0.25</v>
          </cell>
          <cell r="AF2477">
            <v>0.25</v>
          </cell>
          <cell r="AG2477">
            <v>0.25</v>
          </cell>
          <cell r="AH2477">
            <v>0.25</v>
          </cell>
          <cell r="AI2477">
            <v>0.25</v>
          </cell>
          <cell r="AJ2477">
            <v>0.25</v>
          </cell>
          <cell r="AK2477">
            <v>0.25</v>
          </cell>
          <cell r="AL2477">
            <v>0.25</v>
          </cell>
          <cell r="AM2477">
            <v>0.25</v>
          </cell>
          <cell r="AN2477">
            <v>0.25</v>
          </cell>
          <cell r="AO2477">
            <v>0.25</v>
          </cell>
          <cell r="AP2477">
            <v>0.25</v>
          </cell>
          <cell r="AQ2477">
            <v>0.25</v>
          </cell>
          <cell r="AR2477">
            <v>0.25</v>
          </cell>
          <cell r="AS2477">
            <v>0.25</v>
          </cell>
          <cell r="AT2477">
            <v>-0.04</v>
          </cell>
          <cell r="AU2477">
            <v>0.92</v>
          </cell>
          <cell r="AV2477">
            <v>20</v>
          </cell>
          <cell r="AZ2477">
            <v>0.25</v>
          </cell>
          <cell r="BA2477">
            <v>0.25</v>
          </cell>
        </row>
        <row r="2478">
          <cell r="A2478" t="str">
            <v>TESICNOR SL</v>
          </cell>
          <cell r="D2478" t="str">
            <v>POL.MOCHOLI, CALLE RIO ELARZ, NAVE 13 E-F</v>
          </cell>
          <cell r="E2478" t="str">
            <v>31110</v>
          </cell>
          <cell r="F2478" t="str">
            <v xml:space="preserve"> NOAIN (NAVARRA)</v>
          </cell>
          <cell r="H2478" t="str">
            <v>SPAGNA</v>
          </cell>
          <cell r="J2478" t="str">
            <v>ES-B31763899</v>
          </cell>
          <cell r="K2478" t="str">
            <v>XXXXXXX</v>
          </cell>
          <cell r="M2478" t="str">
            <v>UFFICIO ACQUISTI</v>
          </cell>
          <cell r="N2478" t="str">
            <v>+34948 214040</v>
          </cell>
          <cell r="O2478" t="str">
            <v>+34 686917850</v>
          </cell>
          <cell r="P2478" t="str">
            <v>spangua@tesicnor.com</v>
          </cell>
          <cell r="R2478" t="str">
            <v>TRANSFERENCIA BANCARIA, EN LA FECHA DE NUESTRA CONFIRMACIÓN DE PEDIDO</v>
          </cell>
          <cell r="AU2478">
            <v>0.87</v>
          </cell>
          <cell r="AV2478">
            <v>20</v>
          </cell>
          <cell r="AZ2478">
            <v>0</v>
          </cell>
          <cell r="BA2478">
            <v>0</v>
          </cell>
        </row>
        <row r="2479">
          <cell r="A2479" t="str">
            <v>TF SERRAMENTI SNC</v>
          </cell>
          <cell r="D2479" t="str">
            <v>VIA PO VECCHIO 18/A</v>
          </cell>
          <cell r="E2479" t="str">
            <v>45014</v>
          </cell>
          <cell r="F2479" t="str">
            <v>PORTO VIRO</v>
          </cell>
          <cell r="G2479" t="str">
            <v>RO</v>
          </cell>
          <cell r="H2479" t="str">
            <v>ITALIA</v>
          </cell>
          <cell r="J2479" t="str">
            <v>01275860292</v>
          </cell>
          <cell r="M2479" t="str">
            <v>UFFICIO ACQUISTI</v>
          </cell>
          <cell r="N2479" t="str">
            <v>0426 322459</v>
          </cell>
          <cell r="O2479" t="str">
            <v>349 2604244</v>
          </cell>
          <cell r="P2479" t="str">
            <v>info@tfserramentisnc.com</v>
          </cell>
          <cell r="R2479" t="str">
            <v>BONIFICO BANCARIO, ALLA DATA DELLA NOSTRA CONFERMA D'ORDINE</v>
          </cell>
          <cell r="X2479">
            <v>0.25</v>
          </cell>
          <cell r="Y2479">
            <v>-0.04</v>
          </cell>
          <cell r="AB2479">
            <v>0.25</v>
          </cell>
          <cell r="AC2479">
            <v>0.25</v>
          </cell>
          <cell r="AD2479">
            <v>0.25</v>
          </cell>
          <cell r="AE2479">
            <v>0.25</v>
          </cell>
          <cell r="AF2479">
            <v>0.25</v>
          </cell>
          <cell r="AG2479">
            <v>0.25</v>
          </cell>
          <cell r="AH2479">
            <v>0.25</v>
          </cell>
          <cell r="AI2479">
            <v>0.25</v>
          </cell>
          <cell r="AJ2479">
            <v>0.25</v>
          </cell>
          <cell r="AK2479">
            <v>0.25</v>
          </cell>
          <cell r="AL2479">
            <v>0.25</v>
          </cell>
          <cell r="AM2479">
            <v>0.25</v>
          </cell>
          <cell r="AN2479">
            <v>0.25</v>
          </cell>
          <cell r="AO2479">
            <v>0.25</v>
          </cell>
          <cell r="AP2479">
            <v>0.25</v>
          </cell>
          <cell r="AQ2479">
            <v>0.25</v>
          </cell>
          <cell r="AR2479">
            <v>0.25</v>
          </cell>
          <cell r="AS2479">
            <v>0.25</v>
          </cell>
          <cell r="AT2479">
            <v>-0.04</v>
          </cell>
          <cell r="AU2479">
            <v>0.92</v>
          </cell>
          <cell r="AV2479">
            <v>20</v>
          </cell>
          <cell r="AZ2479">
            <v>0.25</v>
          </cell>
          <cell r="BA2479">
            <v>0.25</v>
          </cell>
        </row>
        <row r="2480">
          <cell r="A2480" t="str">
            <v>THE DOORS DI PIETRO DAVIDE LIVIGNI</v>
          </cell>
          <cell r="B2480" t="str">
            <v>05/12/22 CHIAMARE A GENNAIO 2023 07/02/2023 HA PROVATO A SONDARE IL MERCATO MA NON VI E' RICHIESTA A MARSALA. NULLA DI FATTO</v>
          </cell>
          <cell r="D2480" t="str">
            <v xml:space="preserve">VIA G. CLEMENTE </v>
          </cell>
          <cell r="E2480" t="str">
            <v>91025</v>
          </cell>
          <cell r="F2480" t="str">
            <v>MARSALA</v>
          </cell>
          <cell r="G2480" t="str">
            <v>TP</v>
          </cell>
          <cell r="H2480" t="str">
            <v>ITALIA</v>
          </cell>
          <cell r="M2480" t="str">
            <v>UFFICIO ACQUISTI</v>
          </cell>
          <cell r="N2480" t="str">
            <v>0923 741426</v>
          </cell>
          <cell r="O2480" t="str">
            <v>393 9253075</v>
          </cell>
          <cell r="P2480" t="str">
            <v>info@thedoors-livigni.it</v>
          </cell>
          <cell r="R2480" t="str">
            <v>BONIFICO BANCARIO, ALLA DATA DELLA NOSTRA CONFERMA D'ORDINE</v>
          </cell>
          <cell r="X2480">
            <v>0.25</v>
          </cell>
          <cell r="Y2480">
            <v>-0.04</v>
          </cell>
          <cell r="AB2480">
            <v>0.25</v>
          </cell>
          <cell r="AC2480">
            <v>0.25</v>
          </cell>
          <cell r="AD2480">
            <v>0.25</v>
          </cell>
          <cell r="AE2480">
            <v>0.25</v>
          </cell>
          <cell r="AF2480">
            <v>0.25</v>
          </cell>
          <cell r="AG2480">
            <v>0.25</v>
          </cell>
          <cell r="AH2480">
            <v>0.25</v>
          </cell>
          <cell r="AI2480">
            <v>0.25</v>
          </cell>
          <cell r="AJ2480">
            <v>0.25</v>
          </cell>
          <cell r="AK2480">
            <v>0.25</v>
          </cell>
          <cell r="AL2480">
            <v>0.25</v>
          </cell>
          <cell r="AM2480">
            <v>0.25</v>
          </cell>
          <cell r="AN2480">
            <v>0.25</v>
          </cell>
          <cell r="AO2480">
            <v>0.25</v>
          </cell>
          <cell r="AP2480">
            <v>0.25</v>
          </cell>
          <cell r="AQ2480">
            <v>0.25</v>
          </cell>
          <cell r="AR2480">
            <v>0.25</v>
          </cell>
          <cell r="AS2480">
            <v>0.25</v>
          </cell>
          <cell r="AT2480">
            <v>-0.04</v>
          </cell>
          <cell r="AU2480">
            <v>0.92</v>
          </cell>
          <cell r="AV2480">
            <v>20</v>
          </cell>
          <cell r="AZ2480">
            <v>0.25</v>
          </cell>
          <cell r="BA2480">
            <v>0.25</v>
          </cell>
        </row>
        <row r="2481">
          <cell r="A2481" t="str">
            <v xml:space="preserve">TIBURZI PORTE E FINESTRE </v>
          </cell>
          <cell r="D2481" t="str">
            <v>VIA DELLA SCAFA 374/A</v>
          </cell>
          <cell r="F2481" t="str">
            <v xml:space="preserve">FIUMICINO </v>
          </cell>
          <cell r="G2481" t="str">
            <v>RM</v>
          </cell>
          <cell r="H2481" t="str">
            <v>ITALIA</v>
          </cell>
          <cell r="M2481" t="str">
            <v>UFFICIO ACQUISTI</v>
          </cell>
          <cell r="N2481" t="str">
            <v>06 65025262</v>
          </cell>
          <cell r="P2481" t="str">
            <v>info@tiburzigroup.it</v>
          </cell>
          <cell r="R2481" t="str">
            <v>BONIFICO BANCARIO, ALLA DATA DELLA NOSTRA CONFERMA D'ORDINE</v>
          </cell>
          <cell r="X2481">
            <v>0.25</v>
          </cell>
          <cell r="Y2481">
            <v>-0.04</v>
          </cell>
          <cell r="AB2481">
            <v>0.25</v>
          </cell>
          <cell r="AC2481">
            <v>0.25</v>
          </cell>
          <cell r="AD2481">
            <v>0.25</v>
          </cell>
          <cell r="AE2481">
            <v>0.25</v>
          </cell>
          <cell r="AF2481">
            <v>0.25</v>
          </cell>
          <cell r="AG2481">
            <v>0.25</v>
          </cell>
          <cell r="AH2481">
            <v>0.25</v>
          </cell>
          <cell r="AI2481">
            <v>0.25</v>
          </cell>
          <cell r="AJ2481">
            <v>0.25</v>
          </cell>
          <cell r="AK2481">
            <v>0.25</v>
          </cell>
          <cell r="AL2481">
            <v>0.25</v>
          </cell>
          <cell r="AM2481">
            <v>0.25</v>
          </cell>
          <cell r="AN2481">
            <v>0.25</v>
          </cell>
          <cell r="AO2481">
            <v>0.25</v>
          </cell>
          <cell r="AP2481">
            <v>0.25</v>
          </cell>
          <cell r="AQ2481">
            <v>0.25</v>
          </cell>
          <cell r="AR2481">
            <v>0.25</v>
          </cell>
          <cell r="AS2481">
            <v>0.25</v>
          </cell>
          <cell r="AT2481">
            <v>-0.04</v>
          </cell>
          <cell r="AU2481">
            <v>0.92</v>
          </cell>
          <cell r="AV2481">
            <v>20</v>
          </cell>
          <cell r="AZ2481">
            <v>0.25</v>
          </cell>
          <cell r="BA2481">
            <v>0.25</v>
          </cell>
        </row>
        <row r="2482">
          <cell r="A2482" t="str">
            <v>TIEFFE CASA</v>
          </cell>
          <cell r="D2482" t="str">
            <v xml:space="preserve">VIA CALABRIA, 10 </v>
          </cell>
          <cell r="E2482">
            <v>90014</v>
          </cell>
          <cell r="F2482" t="str">
            <v>CASTELDACCIA</v>
          </cell>
          <cell r="G2482" t="str">
            <v>PA</v>
          </cell>
          <cell r="H2482" t="str">
            <v>ITALIA</v>
          </cell>
          <cell r="I2482" t="str">
            <v>TMSRLM66D59C0740</v>
          </cell>
          <cell r="J2482" t="str">
            <v>05380270826</v>
          </cell>
          <cell r="M2482" t="str">
            <v>UFFICIO ACQUISTI</v>
          </cell>
          <cell r="N2482" t="str">
            <v>091 954583</v>
          </cell>
          <cell r="O2482" t="str">
            <v>393 9414841 - 393 9016353</v>
          </cell>
          <cell r="P2482" t="str">
            <v>info@tieffecasa.com</v>
          </cell>
          <cell r="R2482" t="str">
            <v>BONIFICO BANCARIO, ALLA DATA DELLA NOSTRA CONFERMA D'ORDINE</v>
          </cell>
          <cell r="X2482">
            <v>0.25</v>
          </cell>
          <cell r="Y2482">
            <v>-0.04</v>
          </cell>
          <cell r="AB2482">
            <v>0.25</v>
          </cell>
          <cell r="AC2482">
            <v>0.25</v>
          </cell>
          <cell r="AD2482">
            <v>0.25</v>
          </cell>
          <cell r="AE2482">
            <v>0.25</v>
          </cell>
          <cell r="AF2482">
            <v>0.25</v>
          </cell>
          <cell r="AG2482">
            <v>0.25</v>
          </cell>
          <cell r="AH2482">
            <v>0.25</v>
          </cell>
          <cell r="AI2482">
            <v>0.25</v>
          </cell>
          <cell r="AJ2482">
            <v>0.25</v>
          </cell>
          <cell r="AK2482">
            <v>0.25</v>
          </cell>
          <cell r="AL2482">
            <v>0.25</v>
          </cell>
          <cell r="AM2482">
            <v>0.25</v>
          </cell>
          <cell r="AN2482">
            <v>0.25</v>
          </cell>
          <cell r="AO2482">
            <v>0.25</v>
          </cell>
          <cell r="AP2482">
            <v>0.25</v>
          </cell>
          <cell r="AQ2482">
            <v>0.25</v>
          </cell>
          <cell r="AR2482">
            <v>0.25</v>
          </cell>
          <cell r="AS2482">
            <v>0.25</v>
          </cell>
          <cell r="AT2482">
            <v>-0.04</v>
          </cell>
          <cell r="AU2482">
            <v>0.92</v>
          </cell>
          <cell r="AV2482">
            <v>20</v>
          </cell>
          <cell r="AZ2482">
            <v>0.25</v>
          </cell>
          <cell r="BA2482">
            <v>0.25</v>
          </cell>
        </row>
        <row r="2483">
          <cell r="A2483" t="str">
            <v>TIEFFE SNC</v>
          </cell>
          <cell r="D2483" t="str">
            <v>VIA 1° MAGGIO, 12</v>
          </cell>
          <cell r="E2483">
            <v>21052</v>
          </cell>
          <cell r="F2483" t="str">
            <v>BUSTO ARSIZIO</v>
          </cell>
          <cell r="G2483" t="str">
            <v>VA</v>
          </cell>
          <cell r="H2483" t="str">
            <v>ITALIA</v>
          </cell>
          <cell r="J2483" t="str">
            <v>02744580123</v>
          </cell>
          <cell r="M2483" t="str">
            <v>UFFICIO ACQUISTI</v>
          </cell>
          <cell r="N2483" t="str">
            <v>0331 631841</v>
          </cell>
          <cell r="P2483" t="str">
            <v>tieffe@tieffesnc.it</v>
          </cell>
          <cell r="R2483" t="str">
            <v>BONIFICO BANCARIO, ALLA DATA DELLA NOSTRA CONFERMA D'ORDINE</v>
          </cell>
          <cell r="X2483">
            <v>0.25</v>
          </cell>
          <cell r="Y2483">
            <v>-0.04</v>
          </cell>
          <cell r="AB2483">
            <v>0.25</v>
          </cell>
          <cell r="AC2483">
            <v>0.25</v>
          </cell>
          <cell r="AD2483">
            <v>0.25</v>
          </cell>
          <cell r="AE2483">
            <v>0.25</v>
          </cell>
          <cell r="AF2483">
            <v>0.25</v>
          </cell>
          <cell r="AG2483">
            <v>0.25</v>
          </cell>
          <cell r="AH2483">
            <v>0.25</v>
          </cell>
          <cell r="AI2483">
            <v>0.25</v>
          </cell>
          <cell r="AJ2483">
            <v>0.25</v>
          </cell>
          <cell r="AK2483">
            <v>0.25</v>
          </cell>
          <cell r="AL2483">
            <v>0.25</v>
          </cell>
          <cell r="AM2483">
            <v>0.25</v>
          </cell>
          <cell r="AN2483">
            <v>0.25</v>
          </cell>
          <cell r="AO2483">
            <v>0.25</v>
          </cell>
          <cell r="AP2483">
            <v>0.25</v>
          </cell>
          <cell r="AQ2483">
            <v>0.25</v>
          </cell>
          <cell r="AR2483">
            <v>0.25</v>
          </cell>
          <cell r="AS2483">
            <v>0.25</v>
          </cell>
          <cell r="AT2483">
            <v>-0.04</v>
          </cell>
          <cell r="AU2483">
            <v>0.92</v>
          </cell>
          <cell r="AV2483">
            <v>20</v>
          </cell>
          <cell r="AZ2483">
            <v>0.25</v>
          </cell>
          <cell r="BA2483">
            <v>0.25</v>
          </cell>
        </row>
        <row r="2484">
          <cell r="A2484" t="str">
            <v>TIERRE SERRAMENTI di Treviso Roberto</v>
          </cell>
          <cell r="B2484" t="str">
            <v>RIVENDITORE ACQUASTOP 14/12 Dice che sono già con Acquastop e per quelle poche che vende in un anno li rimane. Non mi ha dato modo di parlare oltre</v>
          </cell>
          <cell r="D2484" t="str">
            <v>VIA DALMAZIA, 71</v>
          </cell>
          <cell r="E2484">
            <v>17031</v>
          </cell>
          <cell r="F2484" t="str">
            <v xml:space="preserve">ALBENGA </v>
          </cell>
          <cell r="G2484" t="str">
            <v>SV</v>
          </cell>
          <cell r="H2484" t="str">
            <v>ITALIA</v>
          </cell>
          <cell r="I2484" t="str">
            <v>TRVRRT83P20A145A</v>
          </cell>
          <cell r="J2484" t="str">
            <v>01584880098</v>
          </cell>
          <cell r="M2484" t="str">
            <v>UFFICIO ACQUISTI</v>
          </cell>
          <cell r="O2484" t="str">
            <v>3930775530</v>
          </cell>
          <cell r="P2484" t="str">
            <v>info@tierreserramenti.it</v>
          </cell>
          <cell r="R2484" t="str">
            <v>BONIFICO BANCARIO, ALLA DATA DELLA NOSTRA CONFERMA D'ORDINE</v>
          </cell>
          <cell r="X2484">
            <v>0.25</v>
          </cell>
          <cell r="Y2484">
            <v>-0.04</v>
          </cell>
          <cell r="AB2484">
            <v>0.25</v>
          </cell>
          <cell r="AC2484">
            <v>0.25</v>
          </cell>
          <cell r="AD2484">
            <v>0.25</v>
          </cell>
          <cell r="AE2484">
            <v>0.25</v>
          </cell>
          <cell r="AF2484">
            <v>0.25</v>
          </cell>
          <cell r="AG2484">
            <v>0.25</v>
          </cell>
          <cell r="AH2484">
            <v>0.25</v>
          </cell>
          <cell r="AI2484">
            <v>0.25</v>
          </cell>
          <cell r="AJ2484">
            <v>0.25</v>
          </cell>
          <cell r="AK2484">
            <v>0.25</v>
          </cell>
          <cell r="AL2484">
            <v>0.25</v>
          </cell>
          <cell r="AM2484">
            <v>0.25</v>
          </cell>
          <cell r="AN2484">
            <v>0.25</v>
          </cell>
          <cell r="AO2484">
            <v>0.25</v>
          </cell>
          <cell r="AP2484">
            <v>0.25</v>
          </cell>
          <cell r="AQ2484">
            <v>0.25</v>
          </cell>
          <cell r="AR2484">
            <v>0.25</v>
          </cell>
          <cell r="AS2484">
            <v>0.25</v>
          </cell>
          <cell r="AT2484">
            <v>-0.04</v>
          </cell>
          <cell r="AU2484">
            <v>0.92</v>
          </cell>
          <cell r="AV2484">
            <v>20</v>
          </cell>
          <cell r="AZ2484">
            <v>0.25</v>
          </cell>
          <cell r="BA2484">
            <v>0.25</v>
          </cell>
        </row>
        <row r="2485">
          <cell r="A2485" t="str">
            <v>TIRRENA DI NERI PIERLUICI E C. SNC</v>
          </cell>
          <cell r="B2485" t="str">
            <v>RIVENDITORE ACQUASTOP - 14/12 HA CHIESTO UN PREV A SETTEMBRE MA POI NON SI E' CONCLUSO NULLA. DICE CHE HANNO RICHIESTE, CIRCA UNA DECINA ALL'ANNO. PARLATO CON FRANCESCO. SEMBRANO INTERESSATI. MANDO MAIL. DICE CHE HANNO AVUTO DEGLI SCREZI CON RIVENDITORE PRECEDENTE E SI STANNO TROVANDO MOLTO MALE E CERCANO NUOVA AZIENDA. CHIAMARLI SUBITO CON NUOVO ANNO!!!</v>
          </cell>
          <cell r="D2485" t="str">
            <v>VIA G. ROSSA, 65 67</v>
          </cell>
          <cell r="E2485" t="str">
            <v>57016</v>
          </cell>
          <cell r="F2485" t="str">
            <v>ROSIGNANO SOLVAY</v>
          </cell>
          <cell r="G2485" t="str">
            <v>LI</v>
          </cell>
          <cell r="H2485" t="str">
            <v>ITALIA</v>
          </cell>
          <cell r="J2485" t="str">
            <v>00481610491</v>
          </cell>
          <cell r="M2485" t="str">
            <v>UFFICIO ACQUISTI</v>
          </cell>
          <cell r="N2485" t="str">
            <v>0586 790695</v>
          </cell>
          <cell r="P2485" t="str">
            <v>infissitirrena@virgilio.it</v>
          </cell>
          <cell r="R2485" t="str">
            <v>BONIFICO BANCARIO, ALLA DATA DELLA NOSTRA CONFERMA D'ORDINE</v>
          </cell>
          <cell r="X2485">
            <v>0.2</v>
          </cell>
          <cell r="Y2485">
            <v>-0.04</v>
          </cell>
          <cell r="AB2485">
            <v>0.2</v>
          </cell>
          <cell r="AC2485">
            <v>0.2</v>
          </cell>
          <cell r="AD2485">
            <v>0.2</v>
          </cell>
          <cell r="AE2485">
            <v>0.2</v>
          </cell>
          <cell r="AF2485">
            <v>0.2</v>
          </cell>
          <cell r="AG2485">
            <v>0.2</v>
          </cell>
          <cell r="AH2485">
            <v>0.2</v>
          </cell>
          <cell r="AI2485">
            <v>0.2</v>
          </cell>
          <cell r="AJ2485">
            <v>0.2</v>
          </cell>
          <cell r="AK2485">
            <v>0.2</v>
          </cell>
          <cell r="AL2485">
            <v>0.2</v>
          </cell>
          <cell r="AM2485">
            <v>0.2</v>
          </cell>
          <cell r="AN2485">
            <v>0.2</v>
          </cell>
          <cell r="AO2485">
            <v>0.2</v>
          </cell>
          <cell r="AP2485">
            <v>0.2</v>
          </cell>
          <cell r="AQ2485">
            <v>0.2</v>
          </cell>
          <cell r="AR2485">
            <v>0.2</v>
          </cell>
          <cell r="AS2485">
            <v>0.2</v>
          </cell>
          <cell r="AT2485">
            <v>-0.04</v>
          </cell>
          <cell r="AU2485">
            <v>0.9</v>
          </cell>
          <cell r="AV2485">
            <v>20</v>
          </cell>
          <cell r="AZ2485">
            <v>0.2</v>
          </cell>
          <cell r="BA2485">
            <v>0.2</v>
          </cell>
        </row>
        <row r="2486">
          <cell r="A2486" t="str">
            <v>TIESSE SERRAMENTI</v>
          </cell>
          <cell r="D2486" t="str">
            <v>VIA VALD'ELSA, 88</v>
          </cell>
          <cell r="E2486">
            <v>50053</v>
          </cell>
          <cell r="F2486" t="str">
            <v>LOCALITA' MARCIGNANA E.</v>
          </cell>
          <cell r="G2486" t="str">
            <v>FI</v>
          </cell>
          <cell r="H2486" t="str">
            <v>ITALIA</v>
          </cell>
          <cell r="J2486" t="str">
            <v>01739600508</v>
          </cell>
          <cell r="M2486" t="str">
            <v>UFFICIO ACQUISTI</v>
          </cell>
          <cell r="N2486" t="str">
            <v>0571 1963713</v>
          </cell>
          <cell r="O2486" t="str">
            <v>333 6544326   339 2322060</v>
          </cell>
          <cell r="P2486" t="str">
            <v>info@tiesseserramenti.it</v>
          </cell>
          <cell r="R2486" t="str">
            <v>BONIFICO BANCARIO, ALLA DATA DELLA NOSTRA CONFERMA D'ORDINE</v>
          </cell>
          <cell r="X2486">
            <v>0.25</v>
          </cell>
          <cell r="Y2486">
            <v>-0.04</v>
          </cell>
          <cell r="AB2486">
            <v>0.25</v>
          </cell>
          <cell r="AC2486">
            <v>0.25</v>
          </cell>
          <cell r="AD2486">
            <v>0.25</v>
          </cell>
          <cell r="AE2486">
            <v>0.25</v>
          </cell>
          <cell r="AF2486">
            <v>0.25</v>
          </cell>
          <cell r="AG2486">
            <v>0.25</v>
          </cell>
          <cell r="AH2486">
            <v>0.25</v>
          </cell>
          <cell r="AI2486">
            <v>0.25</v>
          </cell>
          <cell r="AJ2486">
            <v>0.25</v>
          </cell>
          <cell r="AK2486">
            <v>0.25</v>
          </cell>
          <cell r="AL2486">
            <v>0.25</v>
          </cell>
          <cell r="AM2486">
            <v>0.25</v>
          </cell>
          <cell r="AN2486">
            <v>0.25</v>
          </cell>
          <cell r="AO2486">
            <v>0.25</v>
          </cell>
          <cell r="AP2486">
            <v>0.25</v>
          </cell>
          <cell r="AQ2486">
            <v>0.25</v>
          </cell>
          <cell r="AR2486">
            <v>0.25</v>
          </cell>
          <cell r="AS2486">
            <v>0.25</v>
          </cell>
          <cell r="AT2486">
            <v>-0.04</v>
          </cell>
          <cell r="AU2486">
            <v>0.92</v>
          </cell>
          <cell r="AV2486">
            <v>20</v>
          </cell>
          <cell r="AZ2486">
            <v>0.25</v>
          </cell>
          <cell r="BA2486">
            <v>0.25</v>
          </cell>
        </row>
        <row r="2487">
          <cell r="A2487" t="str">
            <v>TIOZZO LUCA CURVATURE</v>
          </cell>
          <cell r="D2487" t="str">
            <v>VIA SAGA, 5 B</v>
          </cell>
          <cell r="E2487">
            <v>37024</v>
          </cell>
          <cell r="F2487" t="str">
            <v>NEGRAR</v>
          </cell>
          <cell r="G2487" t="str">
            <v>VR</v>
          </cell>
          <cell r="H2487" t="str">
            <v>ITALIA</v>
          </cell>
          <cell r="I2487" t="str">
            <v>TZZLCU74D20F861D</v>
          </cell>
          <cell r="J2487" t="str">
            <v>03868910237</v>
          </cell>
          <cell r="K2487" t="str">
            <v>M5UXCR1</v>
          </cell>
          <cell r="M2487" t="str">
            <v>UFFICIO ACQUISTI</v>
          </cell>
          <cell r="N2487" t="str">
            <v>045 7502046</v>
          </cell>
          <cell r="O2487" t="str">
            <v>345 4872453</v>
          </cell>
          <cell r="P2487" t="str">
            <v>info@tiozzolucacurvature.it</v>
          </cell>
          <cell r="R2487" t="str">
            <v>BONIFICO BANCARIO, ALLA DATA DELLA NOSTRA CONFERMA D'ORDINE</v>
          </cell>
          <cell r="X2487">
            <v>0.25</v>
          </cell>
          <cell r="Y2487">
            <v>-0.04</v>
          </cell>
          <cell r="AB2487">
            <v>0.25</v>
          </cell>
          <cell r="AC2487">
            <v>0.25</v>
          </cell>
          <cell r="AD2487">
            <v>0.25</v>
          </cell>
          <cell r="AE2487">
            <v>0.25</v>
          </cell>
          <cell r="AF2487">
            <v>0.25</v>
          </cell>
          <cell r="AG2487">
            <v>0.25</v>
          </cell>
          <cell r="AH2487">
            <v>0.25</v>
          </cell>
          <cell r="AI2487">
            <v>0.25</v>
          </cell>
          <cell r="AJ2487">
            <v>0.25</v>
          </cell>
          <cell r="AK2487">
            <v>0.25</v>
          </cell>
          <cell r="AL2487">
            <v>0.25</v>
          </cell>
          <cell r="AM2487">
            <v>0.25</v>
          </cell>
          <cell r="AN2487">
            <v>0.25</v>
          </cell>
          <cell r="AO2487">
            <v>0.25</v>
          </cell>
          <cell r="AP2487">
            <v>0.25</v>
          </cell>
          <cell r="AQ2487">
            <v>0.25</v>
          </cell>
          <cell r="AR2487">
            <v>0.25</v>
          </cell>
          <cell r="AS2487">
            <v>0.25</v>
          </cell>
          <cell r="AT2487">
            <v>-0.04</v>
          </cell>
          <cell r="AU2487">
            <v>0.92</v>
          </cell>
          <cell r="AV2487">
            <v>20</v>
          </cell>
          <cell r="AZ2487">
            <v>0.25</v>
          </cell>
          <cell r="BA2487">
            <v>0.25</v>
          </cell>
        </row>
        <row r="2488">
          <cell r="A2488" t="str">
            <v>TIZIANO BONETTI</v>
          </cell>
          <cell r="D2488" t="str">
            <v>VIA CA' BALOTTA, 5</v>
          </cell>
          <cell r="E2488">
            <v>37010</v>
          </cell>
          <cell r="F2488" t="str">
            <v>AFFI</v>
          </cell>
          <cell r="G2488" t="str">
            <v>VR</v>
          </cell>
          <cell r="H2488" t="str">
            <v>ITALIA</v>
          </cell>
          <cell r="I2488" t="str">
            <v>BNTTZN63E18A650U</v>
          </cell>
          <cell r="J2488" t="str">
            <v>02006940239</v>
          </cell>
          <cell r="M2488" t="str">
            <v>UFFICIO ACQUISTI</v>
          </cell>
          <cell r="O2488" t="str">
            <v>347 4196084</v>
          </cell>
          <cell r="P2488" t="str">
            <v>info@tizianobonetti.it</v>
          </cell>
          <cell r="R2488" t="str">
            <v>BONIFICO BANCARIO, ALLA DATA DELLA NOSTRA CONFERMA D'ORDINE</v>
          </cell>
          <cell r="X2488">
            <v>0.25</v>
          </cell>
          <cell r="Y2488">
            <v>-0.04</v>
          </cell>
          <cell r="AB2488">
            <v>0.25</v>
          </cell>
          <cell r="AC2488">
            <v>0.25</v>
          </cell>
          <cell r="AD2488">
            <v>0.25</v>
          </cell>
          <cell r="AE2488">
            <v>0.25</v>
          </cell>
          <cell r="AF2488">
            <v>0.25</v>
          </cell>
          <cell r="AG2488">
            <v>0.25</v>
          </cell>
          <cell r="AH2488">
            <v>0.25</v>
          </cell>
          <cell r="AI2488">
            <v>0.25</v>
          </cell>
          <cell r="AJ2488">
            <v>0.25</v>
          </cell>
          <cell r="AK2488">
            <v>0.25</v>
          </cell>
          <cell r="AL2488">
            <v>0.25</v>
          </cell>
          <cell r="AM2488">
            <v>0.25</v>
          </cell>
          <cell r="AN2488">
            <v>0.25</v>
          </cell>
          <cell r="AO2488">
            <v>0.25</v>
          </cell>
          <cell r="AP2488">
            <v>0.25</v>
          </cell>
          <cell r="AQ2488">
            <v>0.25</v>
          </cell>
          <cell r="AR2488">
            <v>0.25</v>
          </cell>
          <cell r="AS2488">
            <v>0.25</v>
          </cell>
          <cell r="AT2488">
            <v>-0.04</v>
          </cell>
          <cell r="AU2488">
            <v>0.92</v>
          </cell>
          <cell r="AV2488">
            <v>20</v>
          </cell>
          <cell r="AZ2488">
            <v>0.25</v>
          </cell>
          <cell r="BA2488">
            <v>0.25</v>
          </cell>
        </row>
        <row r="2489">
          <cell r="A2489" t="str">
            <v>TL IMPIANTI</v>
          </cell>
          <cell r="D2489" t="str">
            <v>VIA PALERMO 484</v>
          </cell>
          <cell r="E2489">
            <v>95122</v>
          </cell>
          <cell r="F2489" t="str">
            <v>CATANIA</v>
          </cell>
          <cell r="G2489" t="str">
            <v>CT</v>
          </cell>
          <cell r="H2489" t="str">
            <v>ITALIA</v>
          </cell>
          <cell r="J2489" t="str">
            <v>00587470873</v>
          </cell>
          <cell r="M2489" t="str">
            <v>UFFICIO ACQUISTI</v>
          </cell>
          <cell r="N2489" t="str">
            <v>095475159</v>
          </cell>
          <cell r="O2489" t="str">
            <v>328 6355575</v>
          </cell>
          <cell r="P2489" t="str">
            <v>tlimpianti.andrea@alice.it</v>
          </cell>
          <cell r="R2489" t="str">
            <v>BONIFICO BANCARIO, ALLA DATA DELLA NOSTRA CONFERMA D'ORDINE</v>
          </cell>
          <cell r="X2489">
            <v>0.25</v>
          </cell>
          <cell r="Y2489">
            <v>-0.04</v>
          </cell>
          <cell r="AB2489">
            <v>0.25</v>
          </cell>
          <cell r="AC2489">
            <v>0.25</v>
          </cell>
          <cell r="AD2489">
            <v>0.25</v>
          </cell>
          <cell r="AE2489">
            <v>0.25</v>
          </cell>
          <cell r="AF2489">
            <v>0.25</v>
          </cell>
          <cell r="AG2489">
            <v>0.25</v>
          </cell>
          <cell r="AH2489">
            <v>0.25</v>
          </cell>
          <cell r="AI2489">
            <v>0.25</v>
          </cell>
          <cell r="AJ2489">
            <v>0.25</v>
          </cell>
          <cell r="AK2489">
            <v>0.25</v>
          </cell>
          <cell r="AL2489">
            <v>0.25</v>
          </cell>
          <cell r="AM2489">
            <v>0.25</v>
          </cell>
          <cell r="AN2489">
            <v>0.25</v>
          </cell>
          <cell r="AO2489">
            <v>0.25</v>
          </cell>
          <cell r="AP2489">
            <v>0.25</v>
          </cell>
          <cell r="AQ2489">
            <v>0.25</v>
          </cell>
          <cell r="AR2489">
            <v>0.25</v>
          </cell>
          <cell r="AS2489">
            <v>0.25</v>
          </cell>
          <cell r="AT2489">
            <v>-0.04</v>
          </cell>
          <cell r="AU2489">
            <v>0.92</v>
          </cell>
          <cell r="AV2489">
            <v>20</v>
          </cell>
          <cell r="AZ2489">
            <v>0.25</v>
          </cell>
          <cell r="BA2489">
            <v>0.25</v>
          </cell>
        </row>
        <row r="2490">
          <cell r="A2490" t="str">
            <v>TMP DI TERZI SERGIO &amp; C.SRL</v>
          </cell>
          <cell r="D2490" t="str">
            <v>VIA DEI CONCIATORI, 7</v>
          </cell>
          <cell r="E2490" t="str">
            <v>25032</v>
          </cell>
          <cell r="F2490" t="str">
            <v>CHIARI</v>
          </cell>
          <cell r="G2490" t="str">
            <v>BS</v>
          </cell>
          <cell r="H2490" t="str">
            <v>ITALIA</v>
          </cell>
          <cell r="J2490" t="str">
            <v>00546680984</v>
          </cell>
          <cell r="M2490" t="str">
            <v>UFFICIO ACQUISTI</v>
          </cell>
          <cell r="N2490" t="str">
            <v>030 712024</v>
          </cell>
          <cell r="P2490" t="str">
            <v>tpmchiari@alice.it</v>
          </cell>
          <cell r="R2490" t="str">
            <v>BONIFICO BANCARIO, ALLA DATA DELLA NOSTRA CONFERMA D'ORDINE</v>
          </cell>
          <cell r="X2490">
            <v>0.2</v>
          </cell>
          <cell r="Y2490">
            <v>-0.04</v>
          </cell>
          <cell r="AB2490">
            <v>0.2</v>
          </cell>
          <cell r="AC2490">
            <v>0.2</v>
          </cell>
          <cell r="AD2490">
            <v>0.2</v>
          </cell>
          <cell r="AE2490">
            <v>0.2</v>
          </cell>
          <cell r="AF2490">
            <v>0.2</v>
          </cell>
          <cell r="AG2490">
            <v>0.2</v>
          </cell>
          <cell r="AH2490">
            <v>0.2</v>
          </cell>
          <cell r="AI2490">
            <v>0.2</v>
          </cell>
          <cell r="AJ2490">
            <v>0.2</v>
          </cell>
          <cell r="AK2490">
            <v>0.2</v>
          </cell>
          <cell r="AL2490">
            <v>0.2</v>
          </cell>
          <cell r="AM2490">
            <v>0.2</v>
          </cell>
          <cell r="AN2490">
            <v>0.2</v>
          </cell>
          <cell r="AO2490">
            <v>0.2</v>
          </cell>
          <cell r="AP2490">
            <v>0.2</v>
          </cell>
          <cell r="AQ2490">
            <v>0.2</v>
          </cell>
          <cell r="AR2490">
            <v>0.2</v>
          </cell>
          <cell r="AS2490">
            <v>0.2</v>
          </cell>
          <cell r="AT2490">
            <v>-0.04</v>
          </cell>
          <cell r="AU2490">
            <v>0.92</v>
          </cell>
          <cell r="AV2490">
            <v>20</v>
          </cell>
          <cell r="AZ2490">
            <v>0.2</v>
          </cell>
          <cell r="BA2490">
            <v>0.2</v>
          </cell>
        </row>
        <row r="2491">
          <cell r="A2491" t="str">
            <v>TOCSOL SNC</v>
          </cell>
          <cell r="D2491" t="str">
            <v>VIA CADONI PILLAI, 2</v>
          </cell>
          <cell r="E2491" t="str">
            <v>09045</v>
          </cell>
          <cell r="F2491" t="str">
            <v>QUARTU S.ELENA</v>
          </cell>
          <cell r="G2491" t="str">
            <v>CA</v>
          </cell>
          <cell r="H2491" t="str">
            <v>ITALIA</v>
          </cell>
          <cell r="J2491" t="str">
            <v>02065130920</v>
          </cell>
          <cell r="M2491" t="str">
            <v>UFFICIO ACQUISTI</v>
          </cell>
          <cell r="N2491" t="str">
            <v>070 815128</v>
          </cell>
          <cell r="P2491" t="str">
            <v>tocsol@tiscali.it</v>
          </cell>
          <cell r="R2491" t="str">
            <v>BONIFICO BANCARIO, ALLA DATA DELLA NOSTRA CONFERMA D'ORDINE</v>
          </cell>
          <cell r="X2491">
            <v>0.2</v>
          </cell>
          <cell r="Y2491">
            <v>-0.04</v>
          </cell>
          <cell r="AB2491">
            <v>0.2</v>
          </cell>
          <cell r="AC2491">
            <v>0.2</v>
          </cell>
          <cell r="AD2491">
            <v>0.2</v>
          </cell>
          <cell r="AE2491">
            <v>0.2</v>
          </cell>
          <cell r="AF2491">
            <v>0.2</v>
          </cell>
          <cell r="AG2491">
            <v>0.2</v>
          </cell>
          <cell r="AH2491">
            <v>0.2</v>
          </cell>
          <cell r="AI2491">
            <v>0.2</v>
          </cell>
          <cell r="AJ2491">
            <v>0.2</v>
          </cell>
          <cell r="AK2491">
            <v>0.2</v>
          </cell>
          <cell r="AL2491">
            <v>0.2</v>
          </cell>
          <cell r="AM2491">
            <v>0.2</v>
          </cell>
          <cell r="AN2491">
            <v>0.2</v>
          </cell>
          <cell r="AO2491">
            <v>0.2</v>
          </cell>
          <cell r="AP2491">
            <v>0.2</v>
          </cell>
          <cell r="AQ2491">
            <v>0.2</v>
          </cell>
          <cell r="AR2491">
            <v>0.2</v>
          </cell>
          <cell r="AS2491">
            <v>0.2</v>
          </cell>
          <cell r="AT2491">
            <v>-0.04</v>
          </cell>
          <cell r="AU2491">
            <v>0.92</v>
          </cell>
          <cell r="AV2491">
            <v>20</v>
          </cell>
          <cell r="AZ2491">
            <v>0.2</v>
          </cell>
          <cell r="BA2491">
            <v>0.2</v>
          </cell>
        </row>
        <row r="2492">
          <cell r="A2492" t="str">
            <v xml:space="preserve">TODARELLO INFISSI IN ALLUMINIO </v>
          </cell>
          <cell r="D2492" t="str">
            <v>VIA ANTONIO MEUCCI 2 TRAVERSA, 2</v>
          </cell>
          <cell r="E2492">
            <v>88900</v>
          </cell>
          <cell r="F2492" t="str">
            <v>CROTONE</v>
          </cell>
          <cell r="G2492" t="str">
            <v>KR</v>
          </cell>
          <cell r="H2492" t="str">
            <v>ITALIA</v>
          </cell>
          <cell r="M2492" t="str">
            <v>UFFICIO ACQUISTI</v>
          </cell>
          <cell r="N2492" t="str">
            <v>0962 962010</v>
          </cell>
          <cell r="P2492" t="str">
            <v>tod@tiscali.it</v>
          </cell>
          <cell r="R2492" t="str">
            <v>BONIFICO BANCARIO, ALLA DATA DELLA NOSTRA CONFERMA D'ORDINE</v>
          </cell>
          <cell r="X2492">
            <v>0.2</v>
          </cell>
          <cell r="Y2492">
            <v>-0.04</v>
          </cell>
          <cell r="AB2492">
            <v>0.2</v>
          </cell>
          <cell r="AC2492">
            <v>0.2</v>
          </cell>
          <cell r="AD2492">
            <v>0.2</v>
          </cell>
          <cell r="AE2492">
            <v>0.2</v>
          </cell>
          <cell r="AF2492">
            <v>0.2</v>
          </cell>
          <cell r="AG2492">
            <v>0.2</v>
          </cell>
          <cell r="AH2492">
            <v>0.2</v>
          </cell>
          <cell r="AI2492">
            <v>0.2</v>
          </cell>
          <cell r="AJ2492">
            <v>0.2</v>
          </cell>
          <cell r="AK2492">
            <v>0.2</v>
          </cell>
          <cell r="AL2492">
            <v>0.2</v>
          </cell>
          <cell r="AM2492">
            <v>0.2</v>
          </cell>
          <cell r="AN2492">
            <v>0.2</v>
          </cell>
          <cell r="AO2492">
            <v>0.2</v>
          </cell>
          <cell r="AP2492">
            <v>0.2</v>
          </cell>
          <cell r="AQ2492">
            <v>0.2</v>
          </cell>
          <cell r="AR2492">
            <v>0.2</v>
          </cell>
          <cell r="AS2492">
            <v>0.2</v>
          </cell>
          <cell r="AT2492">
            <v>-0.04</v>
          </cell>
          <cell r="AU2492">
            <v>0.92</v>
          </cell>
          <cell r="AV2492">
            <v>20</v>
          </cell>
          <cell r="AW2492" t="str">
            <v>PIETRO OLIVADOTI</v>
          </cell>
          <cell r="AX2492">
            <v>0.95</v>
          </cell>
          <cell r="AZ2492">
            <v>0.2</v>
          </cell>
          <cell r="BA2492">
            <v>0.2</v>
          </cell>
        </row>
        <row r="2493">
          <cell r="A2493" t="str">
            <v xml:space="preserve">TODOROV </v>
          </cell>
          <cell r="B2493" t="str">
            <v>EDILE + OKNOPLAST</v>
          </cell>
          <cell r="D2493" t="str">
            <v>VIA BARTOLOMEO D'ALVIANO, 92</v>
          </cell>
          <cell r="E2493" t="str">
            <v>34144</v>
          </cell>
          <cell r="F2493" t="str">
            <v>TRIESTE</v>
          </cell>
          <cell r="G2493" t="str">
            <v>TS</v>
          </cell>
          <cell r="H2493" t="str">
            <v>ITALIA</v>
          </cell>
          <cell r="M2493" t="str">
            <v>UFFICIO ACQUISTI</v>
          </cell>
          <cell r="O2493" t="str">
            <v>320 6457674</v>
          </cell>
          <cell r="P2493" t="str">
            <v>internodalviano@gmail.com</v>
          </cell>
          <cell r="R2493" t="str">
            <v>BONIFICO BANCARIO, ALLA DATA DELLA NOSTRA CONFERMA D'ORDINE</v>
          </cell>
          <cell r="X2493">
            <v>0</v>
          </cell>
          <cell r="Y2493">
            <v>-0.04</v>
          </cell>
          <cell r="AB2493">
            <v>0</v>
          </cell>
          <cell r="AC2493">
            <v>0</v>
          </cell>
          <cell r="AD2493">
            <v>0</v>
          </cell>
          <cell r="AE2493">
            <v>0</v>
          </cell>
          <cell r="AF2493">
            <v>0</v>
          </cell>
          <cell r="AG2493">
            <v>0</v>
          </cell>
          <cell r="AH2493">
            <v>0</v>
          </cell>
          <cell r="AI2493">
            <v>0</v>
          </cell>
          <cell r="AJ2493">
            <v>0</v>
          </cell>
          <cell r="AK2493">
            <v>0</v>
          </cell>
          <cell r="AL2493">
            <v>0</v>
          </cell>
          <cell r="AM2493">
            <v>0</v>
          </cell>
          <cell r="AN2493">
            <v>0</v>
          </cell>
          <cell r="AO2493">
            <v>0</v>
          </cell>
          <cell r="AP2493">
            <v>0</v>
          </cell>
          <cell r="AQ2493">
            <v>0</v>
          </cell>
          <cell r="AR2493">
            <v>0</v>
          </cell>
          <cell r="AS2493">
            <v>0</v>
          </cell>
          <cell r="AT2493">
            <v>-0.04</v>
          </cell>
          <cell r="AU2493">
            <v>0.92</v>
          </cell>
          <cell r="AV2493">
            <v>20</v>
          </cell>
          <cell r="AZ2493">
            <v>0</v>
          </cell>
          <cell r="BA2493">
            <v>0</v>
          </cell>
        </row>
        <row r="2494">
          <cell r="A2494" t="str">
            <v>TOFFALI MIRCO</v>
          </cell>
          <cell r="D2494" t="str">
            <v>VIA DEL COMMERCIO, 42</v>
          </cell>
          <cell r="E2494">
            <v>37066</v>
          </cell>
          <cell r="F2494" t="str">
            <v>SOMMACAMPAGNA</v>
          </cell>
          <cell r="G2494" t="str">
            <v>VR</v>
          </cell>
          <cell r="H2494" t="str">
            <v>ITALIA</v>
          </cell>
          <cell r="J2494" t="str">
            <v>03705110231</v>
          </cell>
          <cell r="M2494" t="str">
            <v>UFFICIO ACQUISTI</v>
          </cell>
          <cell r="N2494" t="str">
            <v>045 8961117</v>
          </cell>
          <cell r="P2494" t="str">
            <v>mirco@toffali.com</v>
          </cell>
          <cell r="R2494" t="str">
            <v>BONIFICO BANCARIO, ALLA DATA DELLA NOSTRA CONFERMA D'ORDINE</v>
          </cell>
          <cell r="X2494">
            <v>0.25</v>
          </cell>
          <cell r="Y2494">
            <v>-0.04</v>
          </cell>
          <cell r="AB2494">
            <v>0.25</v>
          </cell>
          <cell r="AC2494">
            <v>0.25</v>
          </cell>
          <cell r="AD2494">
            <v>0.25</v>
          </cell>
          <cell r="AE2494">
            <v>0.25</v>
          </cell>
          <cell r="AF2494">
            <v>0.25</v>
          </cell>
          <cell r="AG2494">
            <v>0.25</v>
          </cell>
          <cell r="AH2494">
            <v>0.25</v>
          </cell>
          <cell r="AI2494">
            <v>0.25</v>
          </cell>
          <cell r="AJ2494">
            <v>0.25</v>
          </cell>
          <cell r="AK2494">
            <v>0.25</v>
          </cell>
          <cell r="AL2494">
            <v>0.25</v>
          </cell>
          <cell r="AM2494">
            <v>0.25</v>
          </cell>
          <cell r="AN2494">
            <v>0.25</v>
          </cell>
          <cell r="AO2494">
            <v>0.25</v>
          </cell>
          <cell r="AP2494">
            <v>0.25</v>
          </cell>
          <cell r="AQ2494">
            <v>0.25</v>
          </cell>
          <cell r="AR2494">
            <v>0.25</v>
          </cell>
          <cell r="AS2494">
            <v>0.25</v>
          </cell>
          <cell r="AT2494">
            <v>-0.04</v>
          </cell>
          <cell r="AU2494">
            <v>0.92</v>
          </cell>
          <cell r="AV2494">
            <v>20</v>
          </cell>
          <cell r="AZ2494">
            <v>0.25</v>
          </cell>
          <cell r="BA2494">
            <v>0.25</v>
          </cell>
        </row>
        <row r="2495">
          <cell r="A2495" t="str">
            <v>TOFFOLI LORIS</v>
          </cell>
          <cell r="D2495" t="str">
            <v>VIA DE MARCHI 28</v>
          </cell>
          <cell r="E2495" t="str">
            <v>31020</v>
          </cell>
          <cell r="F2495" t="str">
            <v>SAN VENDEMIANO</v>
          </cell>
          <cell r="G2495" t="str">
            <v>TV</v>
          </cell>
          <cell r="H2495" t="str">
            <v>ITALIA</v>
          </cell>
          <cell r="J2495" t="str">
            <v>03881320265</v>
          </cell>
          <cell r="M2495" t="str">
            <v>UFFICIO ACQUISTI</v>
          </cell>
          <cell r="N2495" t="str">
            <v>0438 400948</v>
          </cell>
          <cell r="O2495" t="str">
            <v>333 9644804 - 345 0242049</v>
          </cell>
          <cell r="P2495" t="str">
            <v>tlc.toffoli@tiscali.it</v>
          </cell>
          <cell r="R2495" t="str">
            <v>BONIFICO BANCARIO, ALLA DATA DELLA NOSTRA CONFERMA D'ORDINE</v>
          </cell>
          <cell r="X2495">
            <v>0.25</v>
          </cell>
          <cell r="Y2495">
            <v>-0.04</v>
          </cell>
          <cell r="AB2495">
            <v>0.25</v>
          </cell>
          <cell r="AC2495">
            <v>0.25</v>
          </cell>
          <cell r="AD2495">
            <v>0.25</v>
          </cell>
          <cell r="AE2495">
            <v>0.25</v>
          </cell>
          <cell r="AF2495">
            <v>0.25</v>
          </cell>
          <cell r="AG2495">
            <v>0.25</v>
          </cell>
          <cell r="AH2495">
            <v>0.25</v>
          </cell>
          <cell r="AI2495">
            <v>0.25</v>
          </cell>
          <cell r="AJ2495">
            <v>0.25</v>
          </cell>
          <cell r="AK2495">
            <v>0.25</v>
          </cell>
          <cell r="AL2495">
            <v>0.25</v>
          </cell>
          <cell r="AM2495">
            <v>0.25</v>
          </cell>
          <cell r="AN2495">
            <v>0.25</v>
          </cell>
          <cell r="AO2495">
            <v>0.25</v>
          </cell>
          <cell r="AP2495">
            <v>0.25</v>
          </cell>
          <cell r="AQ2495">
            <v>0.25</v>
          </cell>
          <cell r="AR2495">
            <v>0.25</v>
          </cell>
          <cell r="AS2495">
            <v>0.25</v>
          </cell>
          <cell r="AT2495">
            <v>-0.04</v>
          </cell>
          <cell r="AU2495">
            <v>0.92</v>
          </cell>
          <cell r="AV2495">
            <v>20</v>
          </cell>
          <cell r="AZ2495">
            <v>0.25</v>
          </cell>
          <cell r="BA2495">
            <v>0.25</v>
          </cell>
        </row>
        <row r="2496">
          <cell r="A2496" t="str">
            <v>TOGNOLI ARREDAMENTI SRL</v>
          </cell>
          <cell r="D2496" t="str">
            <v>VIA TRIONFALE, 5637</v>
          </cell>
          <cell r="E2496" t="str">
            <v>00136</v>
          </cell>
          <cell r="F2496" t="str">
            <v>ROMA</v>
          </cell>
          <cell r="G2496" t="str">
            <v>RM</v>
          </cell>
          <cell r="H2496" t="str">
            <v>ITALIA</v>
          </cell>
          <cell r="J2496" t="str">
            <v>02054221003</v>
          </cell>
          <cell r="M2496" t="str">
            <v>UFFICIO ACQUISTI</v>
          </cell>
          <cell r="O2496" t="str">
            <v>347 1308401</v>
          </cell>
          <cell r="P2496" t="str">
            <v>tognoliarreda@mclink.it</v>
          </cell>
          <cell r="R2496" t="str">
            <v>BONIFICO BANCARIO, ALLA DATA DELLA NOSTRA CONFERMA D'ORDINE</v>
          </cell>
          <cell r="X2496">
            <v>0.25</v>
          </cell>
          <cell r="Y2496">
            <v>-0.04</v>
          </cell>
          <cell r="AB2496">
            <v>0.25</v>
          </cell>
          <cell r="AC2496">
            <v>0.25</v>
          </cell>
          <cell r="AD2496">
            <v>0.25</v>
          </cell>
          <cell r="AE2496">
            <v>0.25</v>
          </cell>
          <cell r="AF2496">
            <v>0.25</v>
          </cell>
          <cell r="AG2496">
            <v>0.25</v>
          </cell>
          <cell r="AH2496">
            <v>0.25</v>
          </cell>
          <cell r="AI2496">
            <v>0.25</v>
          </cell>
          <cell r="AJ2496">
            <v>0.25</v>
          </cell>
          <cell r="AK2496">
            <v>0.25</v>
          </cell>
          <cell r="AL2496">
            <v>0.25</v>
          </cell>
          <cell r="AM2496">
            <v>0.25</v>
          </cell>
          <cell r="AN2496">
            <v>0.25</v>
          </cell>
          <cell r="AO2496">
            <v>0.25</v>
          </cell>
          <cell r="AP2496">
            <v>0.25</v>
          </cell>
          <cell r="AQ2496">
            <v>0.25</v>
          </cell>
          <cell r="AR2496">
            <v>0.25</v>
          </cell>
          <cell r="AS2496">
            <v>0.25</v>
          </cell>
          <cell r="AT2496">
            <v>-0.04</v>
          </cell>
          <cell r="AU2496">
            <v>0.88</v>
          </cell>
          <cell r="AV2496">
            <v>20</v>
          </cell>
          <cell r="AZ2496">
            <v>0.25</v>
          </cell>
          <cell r="BA2496">
            <v>0.25</v>
          </cell>
        </row>
        <row r="2497">
          <cell r="A2497" t="str">
            <v>TOIA MAURO E ANDREA</v>
          </cell>
          <cell r="D2497" t="str">
            <v>VIA DON BOSCO 34</v>
          </cell>
          <cell r="E2497" t="str">
            <v>20010</v>
          </cell>
          <cell r="F2497" t="str">
            <v xml:space="preserve">SAN GIORGIO SU LEGNANO </v>
          </cell>
          <cell r="G2497" t="str">
            <v>MI</v>
          </cell>
          <cell r="H2497" t="str">
            <v>ITALIA</v>
          </cell>
          <cell r="M2497" t="str">
            <v>UFFICIO ACQUISTI</v>
          </cell>
          <cell r="N2497" t="str">
            <v>0331 401590</v>
          </cell>
          <cell r="R2497" t="str">
            <v>BONIFICO BANCARIO, ALLA DATA DELLA NOSTRA CONFERMA D'ORDINE</v>
          </cell>
          <cell r="X2497">
            <v>0.25</v>
          </cell>
          <cell r="Y2497">
            <v>-0.04</v>
          </cell>
          <cell r="AB2497">
            <v>0.25</v>
          </cell>
          <cell r="AC2497">
            <v>0.25</v>
          </cell>
          <cell r="AD2497">
            <v>0.25</v>
          </cell>
          <cell r="AE2497">
            <v>0.25</v>
          </cell>
          <cell r="AF2497">
            <v>0.25</v>
          </cell>
          <cell r="AG2497">
            <v>0.25</v>
          </cell>
          <cell r="AH2497">
            <v>0.25</v>
          </cell>
          <cell r="AI2497">
            <v>0.25</v>
          </cell>
          <cell r="AJ2497">
            <v>0.25</v>
          </cell>
          <cell r="AK2497">
            <v>0.25</v>
          </cell>
          <cell r="AL2497">
            <v>0.25</v>
          </cell>
          <cell r="AM2497">
            <v>0.25</v>
          </cell>
          <cell r="AN2497">
            <v>0.25</v>
          </cell>
          <cell r="AO2497">
            <v>0.25</v>
          </cell>
          <cell r="AP2497">
            <v>0.25</v>
          </cell>
          <cell r="AQ2497">
            <v>0.25</v>
          </cell>
          <cell r="AR2497">
            <v>0.25</v>
          </cell>
          <cell r="AS2497">
            <v>0.25</v>
          </cell>
          <cell r="AT2497">
            <v>-0.04</v>
          </cell>
          <cell r="AU2497">
            <v>0.92</v>
          </cell>
          <cell r="AV2497">
            <v>20</v>
          </cell>
          <cell r="AZ2497">
            <v>0.25</v>
          </cell>
          <cell r="BA2497">
            <v>0.25</v>
          </cell>
        </row>
        <row r="2498">
          <cell r="A2498" t="str">
            <v>TONI BRUNO</v>
          </cell>
          <cell r="D2498" t="str">
            <v>VIA NEGIARE</v>
          </cell>
          <cell r="E2498" t="str">
            <v>19020</v>
          </cell>
          <cell r="F2498" t="str">
            <v>ROCCHETTA DI VARA</v>
          </cell>
          <cell r="G2498" t="str">
            <v>SP</v>
          </cell>
          <cell r="H2498" t="str">
            <v>ITALIA</v>
          </cell>
          <cell r="J2498" t="str">
            <v>01179330111</v>
          </cell>
          <cell r="M2498" t="str">
            <v>UFFICIO ACQUISTI</v>
          </cell>
          <cell r="N2498" t="str">
            <v>0187 868773</v>
          </cell>
          <cell r="O2498" t="str">
            <v>338 3612120</v>
          </cell>
          <cell r="R2498" t="str">
            <v>BONIFICO BANCARIO, ALLA DATA DELLA NOSTRA CONFERMA D'ORDINE</v>
          </cell>
          <cell r="X2498">
            <v>0.25</v>
          </cell>
          <cell r="Y2498">
            <v>-0.04</v>
          </cell>
          <cell r="AB2498">
            <v>0.25</v>
          </cell>
          <cell r="AC2498">
            <v>0.25</v>
          </cell>
          <cell r="AD2498">
            <v>0.25</v>
          </cell>
          <cell r="AE2498">
            <v>0.25</v>
          </cell>
          <cell r="AF2498">
            <v>0.25</v>
          </cell>
          <cell r="AG2498">
            <v>0.25</v>
          </cell>
          <cell r="AH2498">
            <v>0.25</v>
          </cell>
          <cell r="AI2498">
            <v>0.25</v>
          </cell>
          <cell r="AJ2498">
            <v>0.25</v>
          </cell>
          <cell r="AK2498">
            <v>0.25</v>
          </cell>
          <cell r="AL2498">
            <v>0.25</v>
          </cell>
          <cell r="AM2498">
            <v>0.25</v>
          </cell>
          <cell r="AN2498">
            <v>0.25</v>
          </cell>
          <cell r="AO2498">
            <v>0.25</v>
          </cell>
          <cell r="AP2498">
            <v>0.25</v>
          </cell>
          <cell r="AQ2498">
            <v>0.25</v>
          </cell>
          <cell r="AR2498">
            <v>0.25</v>
          </cell>
          <cell r="AS2498">
            <v>0.25</v>
          </cell>
          <cell r="AT2498">
            <v>-0.04</v>
          </cell>
          <cell r="AU2498">
            <v>0.92</v>
          </cell>
          <cell r="AV2498">
            <v>20</v>
          </cell>
          <cell r="AZ2498">
            <v>0.25</v>
          </cell>
          <cell r="BA2498">
            <v>0.25</v>
          </cell>
        </row>
        <row r="2499">
          <cell r="A2499" t="str">
            <v>TONIOLO SERRAMENTI</v>
          </cell>
          <cell r="D2499" t="str">
            <v>VIA BISSUOLA 118/Q</v>
          </cell>
          <cell r="E2499" t="str">
            <v>30173</v>
          </cell>
          <cell r="F2499" t="str">
            <v>MESTRE</v>
          </cell>
          <cell r="G2499" t="str">
            <v>VE</v>
          </cell>
          <cell r="H2499" t="str">
            <v>ITALIA</v>
          </cell>
          <cell r="J2499" t="str">
            <v>03164880274</v>
          </cell>
          <cell r="M2499" t="str">
            <v>UFFICIO ACQUISTI</v>
          </cell>
          <cell r="N2499" t="str">
            <v>041 5352259</v>
          </cell>
          <cell r="O2499" t="str">
            <v>338 1911290</v>
          </cell>
          <cell r="P2499" t="str">
            <v>tm.installazioni@tiscali.it</v>
          </cell>
          <cell r="R2499" t="str">
            <v>BONIFICO BANCARIO, ALLA DATA DELLA NOSTRA CONFERMA D'ORDINE</v>
          </cell>
          <cell r="X2499">
            <v>0.25</v>
          </cell>
          <cell r="Y2499">
            <v>-0.04</v>
          </cell>
          <cell r="AB2499">
            <v>0.25</v>
          </cell>
          <cell r="AC2499">
            <v>0.25</v>
          </cell>
          <cell r="AD2499">
            <v>0.25</v>
          </cell>
          <cell r="AE2499">
            <v>0.25</v>
          </cell>
          <cell r="AF2499">
            <v>0.25</v>
          </cell>
          <cell r="AG2499">
            <v>0.25</v>
          </cell>
          <cell r="AH2499">
            <v>0.25</v>
          </cell>
          <cell r="AI2499">
            <v>0.25</v>
          </cell>
          <cell r="AJ2499">
            <v>0.25</v>
          </cell>
          <cell r="AK2499">
            <v>0.25</v>
          </cell>
          <cell r="AL2499">
            <v>0.25</v>
          </cell>
          <cell r="AM2499">
            <v>0.25</v>
          </cell>
          <cell r="AN2499">
            <v>0.25</v>
          </cell>
          <cell r="AO2499">
            <v>0.25</v>
          </cell>
          <cell r="AP2499">
            <v>0.25</v>
          </cell>
          <cell r="AQ2499">
            <v>0.25</v>
          </cell>
          <cell r="AR2499">
            <v>0.25</v>
          </cell>
          <cell r="AS2499">
            <v>0.25</v>
          </cell>
          <cell r="AT2499">
            <v>-0.04</v>
          </cell>
          <cell r="AU2499">
            <v>0.92</v>
          </cell>
          <cell r="AV2499">
            <v>20</v>
          </cell>
          <cell r="AZ2499">
            <v>0.25</v>
          </cell>
          <cell r="BA2499">
            <v>0.25</v>
          </cell>
        </row>
        <row r="2500">
          <cell r="A2500" t="str">
            <v>TOP CHIUSURE DI TREVISAN FABRIZIO</v>
          </cell>
          <cell r="D2500" t="str">
            <v>VIA G.CECCHIN, 21</v>
          </cell>
          <cell r="E2500">
            <v>36063</v>
          </cell>
          <cell r="F2500" t="str">
            <v>MAROSTICA</v>
          </cell>
          <cell r="G2500" t="str">
            <v>VI</v>
          </cell>
          <cell r="H2500" t="str">
            <v>ITALIA</v>
          </cell>
          <cell r="I2500" t="str">
            <v>TRVFRZ66P03A703E</v>
          </cell>
          <cell r="J2500" t="str">
            <v>02516010242</v>
          </cell>
          <cell r="M2500" t="str">
            <v>UFFICIO ACQUISTI</v>
          </cell>
          <cell r="N2500" t="str">
            <v>0424 85103</v>
          </cell>
          <cell r="P2500" t="str">
            <v>info@topchiusure.com</v>
          </cell>
          <cell r="R2500" t="str">
            <v>BONIFICO BANCARIO, ALLA DATA DELLA NOSTRA CONFERMA D'ORDINE</v>
          </cell>
          <cell r="X2500">
            <v>0.25</v>
          </cell>
          <cell r="Y2500">
            <v>-0.04</v>
          </cell>
          <cell r="AB2500">
            <v>0.25</v>
          </cell>
          <cell r="AC2500">
            <v>0.25</v>
          </cell>
          <cell r="AD2500">
            <v>0.25</v>
          </cell>
          <cell r="AE2500">
            <v>0.25</v>
          </cell>
          <cell r="AF2500">
            <v>0.25</v>
          </cell>
          <cell r="AG2500">
            <v>0.25</v>
          </cell>
          <cell r="AH2500">
            <v>0.25</v>
          </cell>
          <cell r="AI2500">
            <v>0.25</v>
          </cell>
          <cell r="AJ2500">
            <v>0.25</v>
          </cell>
          <cell r="AK2500">
            <v>0.25</v>
          </cell>
          <cell r="AL2500">
            <v>0.25</v>
          </cell>
          <cell r="AM2500">
            <v>0.25</v>
          </cell>
          <cell r="AN2500">
            <v>0.25</v>
          </cell>
          <cell r="AO2500">
            <v>0.25</v>
          </cell>
          <cell r="AP2500">
            <v>0.25</v>
          </cell>
          <cell r="AQ2500">
            <v>0.25</v>
          </cell>
          <cell r="AR2500">
            <v>0.25</v>
          </cell>
          <cell r="AS2500">
            <v>0.25</v>
          </cell>
          <cell r="AT2500">
            <v>-0.04</v>
          </cell>
          <cell r="AU2500">
            <v>0.92</v>
          </cell>
          <cell r="AV2500">
            <v>20</v>
          </cell>
          <cell r="AZ2500">
            <v>0.25</v>
          </cell>
          <cell r="BA2500">
            <v>0.25</v>
          </cell>
        </row>
        <row r="2501">
          <cell r="A2501" t="str">
            <v>TOP FRAMES ITALIA SRL</v>
          </cell>
          <cell r="D2501" t="str">
            <v>VIA CARLO DOLCI, 1</v>
          </cell>
          <cell r="E2501">
            <v>20148</v>
          </cell>
          <cell r="F2501" t="str">
            <v>MILANO</v>
          </cell>
          <cell r="G2501" t="str">
            <v>MI</v>
          </cell>
          <cell r="H2501" t="str">
            <v>ITALIA</v>
          </cell>
          <cell r="M2501" t="str">
            <v>UFFICIO ACQUISTI</v>
          </cell>
          <cell r="N2501" t="str">
            <v>02 90428299</v>
          </cell>
          <cell r="P2501" t="str">
            <v>info@topframesitalia.it</v>
          </cell>
          <cell r="R2501" t="str">
            <v>BONIFICO BANCARIO, ALLA DATA DELLA NOSTRA CONFERMA D'ORDINE</v>
          </cell>
          <cell r="X2501">
            <v>0.25</v>
          </cell>
          <cell r="Y2501">
            <v>-0.04</v>
          </cell>
          <cell r="AB2501">
            <v>0.25</v>
          </cell>
          <cell r="AC2501">
            <v>0.25</v>
          </cell>
          <cell r="AD2501">
            <v>0.25</v>
          </cell>
          <cell r="AE2501">
            <v>0.25</v>
          </cell>
          <cell r="AF2501">
            <v>0.25</v>
          </cell>
          <cell r="AG2501">
            <v>0.25</v>
          </cell>
          <cell r="AH2501">
            <v>0.25</v>
          </cell>
          <cell r="AI2501">
            <v>0.25</v>
          </cell>
          <cell r="AJ2501">
            <v>0.25</v>
          </cell>
          <cell r="AK2501">
            <v>0.25</v>
          </cell>
          <cell r="AL2501">
            <v>0.25</v>
          </cell>
          <cell r="AM2501">
            <v>0.25</v>
          </cell>
          <cell r="AN2501">
            <v>0.25</v>
          </cell>
          <cell r="AO2501">
            <v>0.25</v>
          </cell>
          <cell r="AP2501">
            <v>0.25</v>
          </cell>
          <cell r="AQ2501">
            <v>0.25</v>
          </cell>
          <cell r="AR2501">
            <v>0.25</v>
          </cell>
          <cell r="AS2501">
            <v>0.25</v>
          </cell>
          <cell r="AT2501">
            <v>-0.04</v>
          </cell>
          <cell r="AU2501">
            <v>0.92</v>
          </cell>
          <cell r="AV2501">
            <v>20</v>
          </cell>
          <cell r="AZ2501">
            <v>0.25</v>
          </cell>
          <cell r="BA2501">
            <v>0.25</v>
          </cell>
        </row>
        <row r="2502">
          <cell r="A2502" t="str">
            <v>TOP SERR DI CURCIO FABIO</v>
          </cell>
          <cell r="D2502" t="str">
            <v>VIA TIRANA, SNC</v>
          </cell>
          <cell r="E2502" t="str">
            <v>88050</v>
          </cell>
          <cell r="F2502" t="str">
            <v>CROPANI</v>
          </cell>
          <cell r="G2502" t="str">
            <v>CZ</v>
          </cell>
          <cell r="H2502" t="str">
            <v>ITALIA</v>
          </cell>
          <cell r="I2502" t="str">
            <v>CRCFBA81A25D181B</v>
          </cell>
          <cell r="J2502" t="str">
            <v>03286050798</v>
          </cell>
          <cell r="K2502" t="str">
            <v>M5UXCR1</v>
          </cell>
          <cell r="M2502" t="str">
            <v>UFFICIO ACQUISTI</v>
          </cell>
          <cell r="O2502" t="str">
            <v>339 3984977</v>
          </cell>
          <cell r="P2502" t="str">
            <v>topserr.lab@gmail.com</v>
          </cell>
          <cell r="R2502" t="str">
            <v>BONIFICO BANCARIO, ALLA DATA DELLA NOSTRA CONFERMA D'ORDINE</v>
          </cell>
          <cell r="X2502">
            <v>0.25</v>
          </cell>
          <cell r="Y2502">
            <v>-0.04</v>
          </cell>
          <cell r="AB2502">
            <v>0.25</v>
          </cell>
          <cell r="AC2502">
            <v>0.25</v>
          </cell>
          <cell r="AD2502">
            <v>0.25</v>
          </cell>
          <cell r="AE2502">
            <v>0.25</v>
          </cell>
          <cell r="AF2502">
            <v>0.25</v>
          </cell>
          <cell r="AG2502">
            <v>0.25</v>
          </cell>
          <cell r="AH2502">
            <v>0.25</v>
          </cell>
          <cell r="AI2502">
            <v>0.25</v>
          </cell>
          <cell r="AJ2502">
            <v>0.25</v>
          </cell>
          <cell r="AK2502">
            <v>0.25</v>
          </cell>
          <cell r="AL2502">
            <v>0.25</v>
          </cell>
          <cell r="AM2502">
            <v>0.25</v>
          </cell>
          <cell r="AN2502">
            <v>0.25</v>
          </cell>
          <cell r="AO2502">
            <v>0.25</v>
          </cell>
          <cell r="AP2502">
            <v>0.25</v>
          </cell>
          <cell r="AQ2502">
            <v>0.25</v>
          </cell>
          <cell r="AR2502">
            <v>0.25</v>
          </cell>
          <cell r="AS2502">
            <v>0.25</v>
          </cell>
          <cell r="AT2502">
            <v>-0.04</v>
          </cell>
          <cell r="AU2502">
            <v>0.92</v>
          </cell>
          <cell r="AV2502">
            <v>20</v>
          </cell>
          <cell r="AZ2502">
            <v>0.25</v>
          </cell>
          <cell r="BA2502">
            <v>0.25</v>
          </cell>
        </row>
        <row r="2503">
          <cell r="A2503" t="str">
            <v>TOP SERRAMENTI</v>
          </cell>
          <cell r="D2503" t="str">
            <v>VIA CASTELRINALDO, 12</v>
          </cell>
          <cell r="E2503">
            <v>12045</v>
          </cell>
          <cell r="F2503" t="str">
            <v>FOSSANO</v>
          </cell>
          <cell r="G2503" t="str">
            <v>CN</v>
          </cell>
          <cell r="H2503" t="str">
            <v>ITALIA</v>
          </cell>
          <cell r="I2503" t="str">
            <v>03596360044</v>
          </cell>
          <cell r="J2503" t="str">
            <v>03596360044</v>
          </cell>
          <cell r="M2503" t="str">
            <v>UFFICIO ACQUISTI</v>
          </cell>
          <cell r="N2503" t="str">
            <v>0172 637553</v>
          </cell>
          <cell r="O2503" t="str">
            <v>Maauro 338 8194533</v>
          </cell>
          <cell r="P2503" t="str">
            <v>topserramenti@gmail.com</v>
          </cell>
          <cell r="R2503" t="str">
            <v>BONIFICO BANCARIO, ALLA DATA DELLA NOSTRA CONFERMA D'ORDINE</v>
          </cell>
          <cell r="X2503">
            <v>0.25</v>
          </cell>
          <cell r="Y2503">
            <v>-0.04</v>
          </cell>
          <cell r="AB2503">
            <v>0.25</v>
          </cell>
          <cell r="AC2503">
            <v>0.25</v>
          </cell>
          <cell r="AD2503">
            <v>0.25</v>
          </cell>
          <cell r="AE2503">
            <v>0.25</v>
          </cell>
          <cell r="AF2503">
            <v>0.25</v>
          </cell>
          <cell r="AG2503">
            <v>0.25</v>
          </cell>
          <cell r="AH2503">
            <v>0.25</v>
          </cell>
          <cell r="AI2503">
            <v>0.25</v>
          </cell>
          <cell r="AJ2503">
            <v>0.25</v>
          </cell>
          <cell r="AK2503">
            <v>0.25</v>
          </cell>
          <cell r="AL2503">
            <v>0.25</v>
          </cell>
          <cell r="AM2503">
            <v>0.25</v>
          </cell>
          <cell r="AN2503">
            <v>0.25</v>
          </cell>
          <cell r="AO2503">
            <v>0.25</v>
          </cell>
          <cell r="AP2503">
            <v>0.25</v>
          </cell>
          <cell r="AQ2503">
            <v>0.25</v>
          </cell>
          <cell r="AR2503">
            <v>0.25</v>
          </cell>
          <cell r="AS2503">
            <v>0.25</v>
          </cell>
          <cell r="AT2503">
            <v>-0.04</v>
          </cell>
          <cell r="AU2503">
            <v>0.92</v>
          </cell>
          <cell r="AV2503">
            <v>20</v>
          </cell>
          <cell r="AZ2503">
            <v>0.25</v>
          </cell>
          <cell r="BA2503">
            <v>0.25</v>
          </cell>
        </row>
        <row r="2504">
          <cell r="A2504" t="str">
            <v>TORELLI LAVORAZIONE METALLI SNC</v>
          </cell>
          <cell r="D2504" t="str">
            <v>VIA NETTUNESE KM 30,535</v>
          </cell>
          <cell r="E2504" t="str">
            <v>00042</v>
          </cell>
          <cell r="F2504" t="str">
            <v>ANZIO</v>
          </cell>
          <cell r="G2504" t="str">
            <v>RM</v>
          </cell>
          <cell r="H2504" t="str">
            <v>ITALIA</v>
          </cell>
          <cell r="J2504" t="str">
            <v>01706321005</v>
          </cell>
          <cell r="M2504" t="str">
            <v>UFFICIO ACQUISTI</v>
          </cell>
          <cell r="N2504" t="str">
            <v>06 98988038</v>
          </cell>
          <cell r="O2504" t="str">
            <v>347 5505653</v>
          </cell>
          <cell r="P2504" t="str">
            <v>infissitorelli@gmail.com - info@infissitorelli.it</v>
          </cell>
          <cell r="R2504" t="str">
            <v>BONIFICO BANCARIO, ALLA DATA DELLA NOSTRA CONFERMA D'ORDINE</v>
          </cell>
          <cell r="X2504">
            <v>0.25</v>
          </cell>
          <cell r="Y2504">
            <v>-0.04</v>
          </cell>
          <cell r="AB2504">
            <v>0.25</v>
          </cell>
          <cell r="AC2504">
            <v>0.25</v>
          </cell>
          <cell r="AD2504">
            <v>0.25</v>
          </cell>
          <cell r="AE2504">
            <v>0.25</v>
          </cell>
          <cell r="AF2504">
            <v>0.25</v>
          </cell>
          <cell r="AG2504">
            <v>0.25</v>
          </cell>
          <cell r="AH2504">
            <v>0.25</v>
          </cell>
          <cell r="AI2504">
            <v>0.25</v>
          </cell>
          <cell r="AJ2504">
            <v>0.25</v>
          </cell>
          <cell r="AK2504">
            <v>0.25</v>
          </cell>
          <cell r="AL2504">
            <v>0.25</v>
          </cell>
          <cell r="AM2504">
            <v>0.25</v>
          </cell>
          <cell r="AN2504">
            <v>0.25</v>
          </cell>
          <cell r="AO2504">
            <v>0.25</v>
          </cell>
          <cell r="AP2504">
            <v>0.25</v>
          </cell>
          <cell r="AQ2504">
            <v>0.25</v>
          </cell>
          <cell r="AR2504">
            <v>0.25</v>
          </cell>
          <cell r="AS2504">
            <v>0.25</v>
          </cell>
          <cell r="AT2504">
            <v>-0.04</v>
          </cell>
          <cell r="AU2504">
            <v>0.92</v>
          </cell>
          <cell r="AV2504">
            <v>20</v>
          </cell>
          <cell r="AZ2504">
            <v>0.25</v>
          </cell>
          <cell r="BA2504">
            <v>0.25</v>
          </cell>
        </row>
        <row r="2505">
          <cell r="A2505" t="str">
            <v>TOSI ALFONSO SAS</v>
          </cell>
          <cell r="B2505" t="str">
            <v>OK RIVENDITORE  CAMPIONE SC.30%  CARPENTERIA GRATIS    EX ACQUASTOP</v>
          </cell>
          <cell r="D2505" t="str">
            <v>VIA DEL LAVORO, 2</v>
          </cell>
          <cell r="E2505">
            <v>44047</v>
          </cell>
          <cell r="F2505" t="str">
            <v>TERRE DEL RENO</v>
          </cell>
          <cell r="G2505" t="str">
            <v>FE</v>
          </cell>
          <cell r="H2505" t="str">
            <v>ITALIA</v>
          </cell>
          <cell r="I2505" t="str">
            <v>01481040382</v>
          </cell>
          <cell r="J2505" t="str">
            <v>01481040382</v>
          </cell>
          <cell r="K2505" t="str">
            <v>SUBM70N</v>
          </cell>
          <cell r="M2505" t="str">
            <v>UFFICIO ACQUISTI</v>
          </cell>
          <cell r="N2505" t="str">
            <v>0532 847552</v>
          </cell>
          <cell r="P2505" t="str">
            <v>info@serramentitosi.com</v>
          </cell>
          <cell r="R2505" t="str">
            <v>BONIFICO BANCARIO, ALLA DATA DELLA NOSTRA CONFERMA D'ORDINE</v>
          </cell>
          <cell r="X2505">
            <v>0.25</v>
          </cell>
          <cell r="Y2505">
            <v>-0.04</v>
          </cell>
          <cell r="AB2505">
            <v>0.25</v>
          </cell>
          <cell r="AC2505">
            <v>0.25</v>
          </cell>
          <cell r="AD2505">
            <v>0.25</v>
          </cell>
          <cell r="AE2505">
            <v>0.25</v>
          </cell>
          <cell r="AF2505">
            <v>0.25</v>
          </cell>
          <cell r="AG2505">
            <v>0.25</v>
          </cell>
          <cell r="AH2505">
            <v>0.25</v>
          </cell>
          <cell r="AI2505">
            <v>0.25</v>
          </cell>
          <cell r="AJ2505">
            <v>0.25</v>
          </cell>
          <cell r="AK2505">
            <v>0.25</v>
          </cell>
          <cell r="AL2505">
            <v>0.25</v>
          </cell>
          <cell r="AM2505">
            <v>0.25</v>
          </cell>
          <cell r="AN2505">
            <v>0.25</v>
          </cell>
          <cell r="AO2505">
            <v>0.25</v>
          </cell>
          <cell r="AP2505">
            <v>0.25</v>
          </cell>
          <cell r="AQ2505">
            <v>0.25</v>
          </cell>
          <cell r="AR2505">
            <v>0.25</v>
          </cell>
          <cell r="AS2505">
            <v>0.25</v>
          </cell>
          <cell r="AT2505">
            <v>-0.04</v>
          </cell>
          <cell r="AU2505">
            <v>0.87</v>
          </cell>
          <cell r="AV2505">
            <v>20</v>
          </cell>
          <cell r="AZ2505">
            <v>0.25</v>
          </cell>
          <cell r="BA2505">
            <v>0.25</v>
          </cell>
          <cell r="BF2505" t="str">
            <v>CLICK RAPID con carpenteria 27/08/2020</v>
          </cell>
        </row>
        <row r="2506">
          <cell r="A2506" t="str">
            <v xml:space="preserve">TOSI ANTONIO DI TOSI RENZO </v>
          </cell>
          <cell r="D2506" t="str">
            <v>VIA MADONNIN, 23</v>
          </cell>
          <cell r="E2506" t="str">
            <v>44033</v>
          </cell>
          <cell r="F2506" t="str">
            <v>RO DI RIVA DEL PO</v>
          </cell>
          <cell r="G2506" t="str">
            <v>FE</v>
          </cell>
          <cell r="H2506" t="str">
            <v>ITALIA</v>
          </cell>
          <cell r="I2506" t="str">
            <v>TSORNZ67E01H360B</v>
          </cell>
          <cell r="J2506" t="str">
            <v>01708790389</v>
          </cell>
          <cell r="M2506" t="str">
            <v>UFFICIO ACQUISTI</v>
          </cell>
          <cell r="N2506" t="str">
            <v>0532 868165</v>
          </cell>
          <cell r="O2506" t="str">
            <v>338 7481975</v>
          </cell>
          <cell r="P2506" t="str">
            <v>tosi.infissi@libero.it</v>
          </cell>
          <cell r="R2506" t="str">
            <v>BONIFICO BANCARIO, ALLA DATA DELLA NOSTRA CONFERMA D'ORDINE</v>
          </cell>
          <cell r="X2506">
            <v>0.25</v>
          </cell>
          <cell r="Y2506">
            <v>-0.04</v>
          </cell>
          <cell r="AB2506">
            <v>0.25</v>
          </cell>
          <cell r="AC2506">
            <v>0.25</v>
          </cell>
          <cell r="AD2506">
            <v>0.25</v>
          </cell>
          <cell r="AE2506">
            <v>0.25</v>
          </cell>
          <cell r="AF2506">
            <v>0.25</v>
          </cell>
          <cell r="AG2506">
            <v>0.25</v>
          </cell>
          <cell r="AH2506">
            <v>0.25</v>
          </cell>
          <cell r="AI2506">
            <v>0.25</v>
          </cell>
          <cell r="AJ2506">
            <v>0.25</v>
          </cell>
          <cell r="AK2506">
            <v>0.25</v>
          </cell>
          <cell r="AL2506">
            <v>0.25</v>
          </cell>
          <cell r="AM2506">
            <v>0.25</v>
          </cell>
          <cell r="AN2506">
            <v>0.25</v>
          </cell>
          <cell r="AO2506">
            <v>0.25</v>
          </cell>
          <cell r="AP2506">
            <v>0.25</v>
          </cell>
          <cell r="AQ2506">
            <v>0.25</v>
          </cell>
          <cell r="AR2506">
            <v>0.25</v>
          </cell>
          <cell r="AS2506">
            <v>0.25</v>
          </cell>
          <cell r="AT2506">
            <v>-0.04</v>
          </cell>
          <cell r="AU2506">
            <v>0.92</v>
          </cell>
          <cell r="AV2506">
            <v>20</v>
          </cell>
          <cell r="AZ2506">
            <v>0.25</v>
          </cell>
          <cell r="BA2506">
            <v>0.25</v>
          </cell>
        </row>
        <row r="2507">
          <cell r="A2507" t="str">
            <v>TOSI SERRAMENTI</v>
          </cell>
          <cell r="D2507" t="str">
            <v>VIA SABBIONI, 61</v>
          </cell>
          <cell r="E2507">
            <v>38062</v>
          </cell>
          <cell r="F2507" t="str">
            <v>ARCO</v>
          </cell>
          <cell r="G2507" t="str">
            <v>TN</v>
          </cell>
          <cell r="H2507" t="str">
            <v>ITALIA</v>
          </cell>
          <cell r="I2507" t="str">
            <v>TSOFLV66L24A372Y</v>
          </cell>
          <cell r="J2507" t="str">
            <v>00644170227</v>
          </cell>
          <cell r="M2507" t="str">
            <v>UFFICIO ACQUISTI</v>
          </cell>
          <cell r="N2507" t="str">
            <v>0464 531212</v>
          </cell>
          <cell r="P2507" t="str">
            <v>info@tosiserramenti.it</v>
          </cell>
          <cell r="R2507" t="str">
            <v>BONIFICO BANCARIO, ALLA DATA DELLA NOSTRA CONFERMA D'ORDINE</v>
          </cell>
          <cell r="X2507">
            <v>0.25</v>
          </cell>
          <cell r="Y2507">
            <v>-0.04</v>
          </cell>
          <cell r="AB2507">
            <v>0.25</v>
          </cell>
          <cell r="AC2507">
            <v>0.25</v>
          </cell>
          <cell r="AD2507">
            <v>0.25</v>
          </cell>
          <cell r="AE2507">
            <v>0.25</v>
          </cell>
          <cell r="AF2507">
            <v>0.25</v>
          </cell>
          <cell r="AG2507">
            <v>0.25</v>
          </cell>
          <cell r="AH2507">
            <v>0.25</v>
          </cell>
          <cell r="AI2507">
            <v>0.25</v>
          </cell>
          <cell r="AJ2507">
            <v>0.25</v>
          </cell>
          <cell r="AK2507">
            <v>0.25</v>
          </cell>
          <cell r="AL2507">
            <v>0.25</v>
          </cell>
          <cell r="AM2507">
            <v>0.25</v>
          </cell>
          <cell r="AN2507">
            <v>0.25</v>
          </cell>
          <cell r="AO2507">
            <v>0.25</v>
          </cell>
          <cell r="AP2507">
            <v>0.25</v>
          </cell>
          <cell r="AQ2507">
            <v>0.25</v>
          </cell>
          <cell r="AR2507">
            <v>0.25</v>
          </cell>
          <cell r="AS2507">
            <v>0.25</v>
          </cell>
          <cell r="AT2507">
            <v>-0.04</v>
          </cell>
          <cell r="AU2507">
            <v>0.92</v>
          </cell>
          <cell r="AV2507">
            <v>20</v>
          </cell>
          <cell r="AZ2507">
            <v>0.25</v>
          </cell>
          <cell r="BA2507">
            <v>0.25</v>
          </cell>
        </row>
        <row r="2508">
          <cell r="A2508" t="str">
            <v>TOSINI RENATO E FIGLI SRL</v>
          </cell>
          <cell r="D2508" t="str">
            <v>VIA SALVELLA 1^TRAVERSA, 19</v>
          </cell>
          <cell r="E2508" t="str">
            <v>25038</v>
          </cell>
          <cell r="F2508" t="str">
            <v>ROVATO</v>
          </cell>
          <cell r="G2508" t="str">
            <v>BS</v>
          </cell>
          <cell r="H2508" t="str">
            <v>ITALIA</v>
          </cell>
          <cell r="J2508" t="str">
            <v>01889040984</v>
          </cell>
          <cell r="M2508" t="str">
            <v>UFFICIO ACQUISTI</v>
          </cell>
          <cell r="N2508" t="str">
            <v>030 7722954</v>
          </cell>
          <cell r="O2508" t="str">
            <v>335 6096622 MARCO TOSINI</v>
          </cell>
          <cell r="P2508" t="str">
            <v>info@tosiniserramenti.it</v>
          </cell>
          <cell r="R2508" t="str">
            <v>BONIFICO BANCARIO, ALLA DATA DELLA NOSTRA CONFERMA D'ORDINE</v>
          </cell>
          <cell r="X2508">
            <v>0.2</v>
          </cell>
          <cell r="Y2508">
            <v>-0.04</v>
          </cell>
          <cell r="AB2508">
            <v>0.2</v>
          </cell>
          <cell r="AC2508">
            <v>0.2</v>
          </cell>
          <cell r="AD2508">
            <v>0.2</v>
          </cell>
          <cell r="AE2508">
            <v>0.2</v>
          </cell>
          <cell r="AF2508">
            <v>0.2</v>
          </cell>
          <cell r="AG2508">
            <v>0.2</v>
          </cell>
          <cell r="AH2508">
            <v>0.2</v>
          </cell>
          <cell r="AI2508">
            <v>0.2</v>
          </cell>
          <cell r="AJ2508">
            <v>0.2</v>
          </cell>
          <cell r="AK2508">
            <v>0.2</v>
          </cell>
          <cell r="AL2508">
            <v>0.2</v>
          </cell>
          <cell r="AM2508">
            <v>0.2</v>
          </cell>
          <cell r="AN2508">
            <v>0.2</v>
          </cell>
          <cell r="AO2508">
            <v>0.2</v>
          </cell>
          <cell r="AP2508">
            <v>0.2</v>
          </cell>
          <cell r="AQ2508">
            <v>0.2</v>
          </cell>
          <cell r="AR2508">
            <v>0.2</v>
          </cell>
          <cell r="AS2508">
            <v>0.2</v>
          </cell>
          <cell r="AT2508">
            <v>-0.04</v>
          </cell>
          <cell r="AU2508">
            <v>0.92</v>
          </cell>
          <cell r="AV2508">
            <v>20</v>
          </cell>
          <cell r="AZ2508">
            <v>0.2</v>
          </cell>
          <cell r="BA2508">
            <v>0.2</v>
          </cell>
        </row>
        <row r="2509">
          <cell r="A2509" t="str">
            <v>TRASTULLO INFISSI SRL</v>
          </cell>
          <cell r="B2509" t="str">
            <v>TRASTULLO SANDRO</v>
          </cell>
          <cell r="D2509" t="str">
            <v>VIA DELL'ARTIGIANATO 4</v>
          </cell>
          <cell r="E2509" t="str">
            <v>63821</v>
          </cell>
          <cell r="F2509" t="str">
            <v>PORTO SANT'ELPIDIO</v>
          </cell>
          <cell r="G2509" t="str">
            <v>FM</v>
          </cell>
          <cell r="H2509" t="str">
            <v>ITALIA</v>
          </cell>
          <cell r="M2509" t="str">
            <v>UFFICIO ACQUISTI</v>
          </cell>
          <cell r="N2509" t="str">
            <v>0734 900745</v>
          </cell>
          <cell r="P2509" t="str">
            <v>info@trastullosandro.it</v>
          </cell>
          <cell r="R2509" t="str">
            <v>BONIFICO BANCARIO, ALLA DATA DELLA NOSTRA CONFERMA D'ORDINE</v>
          </cell>
          <cell r="X2509">
            <v>0.25</v>
          </cell>
          <cell r="Y2509">
            <v>-0.04</v>
          </cell>
          <cell r="AB2509">
            <v>0.25</v>
          </cell>
          <cell r="AC2509">
            <v>0.25</v>
          </cell>
          <cell r="AD2509">
            <v>0.25</v>
          </cell>
          <cell r="AE2509">
            <v>0.25</v>
          </cell>
          <cell r="AF2509">
            <v>0.25</v>
          </cell>
          <cell r="AG2509">
            <v>0.25</v>
          </cell>
          <cell r="AH2509">
            <v>0.25</v>
          </cell>
          <cell r="AI2509">
            <v>0.25</v>
          </cell>
          <cell r="AJ2509">
            <v>0.25</v>
          </cell>
          <cell r="AK2509">
            <v>0.25</v>
          </cell>
          <cell r="AL2509">
            <v>0.25</v>
          </cell>
          <cell r="AM2509">
            <v>0.25</v>
          </cell>
          <cell r="AN2509">
            <v>0.25</v>
          </cell>
          <cell r="AO2509">
            <v>0.25</v>
          </cell>
          <cell r="AP2509">
            <v>0.25</v>
          </cell>
          <cell r="AQ2509">
            <v>0.25</v>
          </cell>
          <cell r="AR2509">
            <v>0.25</v>
          </cell>
          <cell r="AS2509">
            <v>0.25</v>
          </cell>
          <cell r="AT2509">
            <v>-0.04</v>
          </cell>
          <cell r="AU2509">
            <v>0.92</v>
          </cell>
          <cell r="AV2509">
            <v>20</v>
          </cell>
          <cell r="AZ2509">
            <v>0.25</v>
          </cell>
          <cell r="BA2509">
            <v>0.25</v>
          </cell>
        </row>
        <row r="2510">
          <cell r="A2510" t="str">
            <v>TRE ESSE SERRAMENTI</v>
          </cell>
          <cell r="B2510" t="str">
            <v>LASCIATO DEPLIAN -MP</v>
          </cell>
          <cell r="D2510" t="str">
            <v>STRADA MONTA' DEI GUISCI, 14</v>
          </cell>
          <cell r="E2510">
            <v>18038</v>
          </cell>
          <cell r="F2510" t="str">
            <v>SANREMO</v>
          </cell>
          <cell r="G2510" t="str">
            <v>IM</v>
          </cell>
          <cell r="H2510" t="str">
            <v>ITALIA</v>
          </cell>
          <cell r="I2510" t="str">
            <v>01479820084</v>
          </cell>
          <cell r="J2510" t="str">
            <v>01479820084</v>
          </cell>
          <cell r="M2510" t="str">
            <v>UFFICIO ACQUISTI</v>
          </cell>
          <cell r="N2510" t="str">
            <v>0184 669765</v>
          </cell>
          <cell r="O2510" t="str">
            <v>349 4988858</v>
          </cell>
          <cell r="P2510" t="str">
            <v>3s.serramenti@gmail.com</v>
          </cell>
          <cell r="R2510" t="str">
            <v>BONIFICO BANCARIO, ALLA DATA DELLA NOSTRA CONFERMA D'ORDINE</v>
          </cell>
          <cell r="X2510">
            <v>0.25</v>
          </cell>
          <cell r="Y2510">
            <v>-0.04</v>
          </cell>
          <cell r="AB2510">
            <v>0.25</v>
          </cell>
          <cell r="AC2510">
            <v>0.25</v>
          </cell>
          <cell r="AD2510">
            <v>0.25</v>
          </cell>
          <cell r="AE2510">
            <v>0.25</v>
          </cell>
          <cell r="AF2510">
            <v>0.25</v>
          </cell>
          <cell r="AG2510">
            <v>0.25</v>
          </cell>
          <cell r="AH2510">
            <v>0.25</v>
          </cell>
          <cell r="AI2510">
            <v>0.25</v>
          </cell>
          <cell r="AJ2510">
            <v>0.25</v>
          </cell>
          <cell r="AK2510">
            <v>0.25</v>
          </cell>
          <cell r="AL2510">
            <v>0.25</v>
          </cell>
          <cell r="AM2510">
            <v>0.25</v>
          </cell>
          <cell r="AN2510">
            <v>0.25</v>
          </cell>
          <cell r="AO2510">
            <v>0.25</v>
          </cell>
          <cell r="AP2510">
            <v>0.25</v>
          </cell>
          <cell r="AQ2510">
            <v>0.25</v>
          </cell>
          <cell r="AR2510">
            <v>0.25</v>
          </cell>
          <cell r="AS2510">
            <v>0.25</v>
          </cell>
          <cell r="AT2510">
            <v>-0.04</v>
          </cell>
          <cell r="AU2510">
            <v>0.92</v>
          </cell>
          <cell r="AV2510">
            <v>20</v>
          </cell>
          <cell r="AZ2510">
            <v>0.25</v>
          </cell>
          <cell r="BA2510">
            <v>0.25</v>
          </cell>
        </row>
        <row r="2511">
          <cell r="A2511" t="str">
            <v>TRE ESSE SRL</v>
          </cell>
          <cell r="B2511" t="str">
            <v>BARBARA</v>
          </cell>
          <cell r="D2511" t="str">
            <v>VIALE XX GIUGNO 34/36</v>
          </cell>
          <cell r="E2511" t="str">
            <v>63900</v>
          </cell>
          <cell r="F2511" t="str">
            <v xml:space="preserve">FERMO </v>
          </cell>
          <cell r="G2511" t="str">
            <v>FM</v>
          </cell>
          <cell r="H2511" t="str">
            <v>ITALIA</v>
          </cell>
          <cell r="M2511" t="str">
            <v>UFFICIO ACQUISTI</v>
          </cell>
          <cell r="N2511" t="str">
            <v>0734 622929</v>
          </cell>
          <cell r="O2511" t="str">
            <v>334 7569874</v>
          </cell>
          <cell r="P2511" t="str">
            <v>info@treessesicurezza.com</v>
          </cell>
          <cell r="R2511" t="str">
            <v>BONIFICO BANCARIO, ALLA DATA DELLA NOSTRA CONFERMA D'ORDINE</v>
          </cell>
          <cell r="X2511">
            <v>0.25</v>
          </cell>
          <cell r="Y2511">
            <v>-0.04</v>
          </cell>
          <cell r="AB2511">
            <v>0.25</v>
          </cell>
          <cell r="AC2511">
            <v>0.25</v>
          </cell>
          <cell r="AD2511">
            <v>0.25</v>
          </cell>
          <cell r="AE2511">
            <v>0.25</v>
          </cell>
          <cell r="AF2511">
            <v>0.25</v>
          </cell>
          <cell r="AG2511">
            <v>0.25</v>
          </cell>
          <cell r="AH2511">
            <v>0.25</v>
          </cell>
          <cell r="AI2511">
            <v>0.25</v>
          </cell>
          <cell r="AJ2511">
            <v>0.25</v>
          </cell>
          <cell r="AK2511">
            <v>0.25</v>
          </cell>
          <cell r="AL2511">
            <v>0.25</v>
          </cell>
          <cell r="AM2511">
            <v>0.25</v>
          </cell>
          <cell r="AN2511">
            <v>0.25</v>
          </cell>
          <cell r="AO2511">
            <v>0.25</v>
          </cell>
          <cell r="AP2511">
            <v>0.25</v>
          </cell>
          <cell r="AQ2511">
            <v>0.25</v>
          </cell>
          <cell r="AR2511">
            <v>0.25</v>
          </cell>
          <cell r="AS2511">
            <v>0.25</v>
          </cell>
          <cell r="AT2511">
            <v>-0.04</v>
          </cell>
          <cell r="AU2511">
            <v>0.92</v>
          </cell>
          <cell r="AV2511">
            <v>20</v>
          </cell>
          <cell r="AZ2511">
            <v>0.25</v>
          </cell>
          <cell r="BA2511">
            <v>0.25</v>
          </cell>
        </row>
        <row r="2512">
          <cell r="A2512" t="str">
            <v xml:space="preserve">TRE IN </v>
          </cell>
          <cell r="B2512" t="str">
            <v>MARCO</v>
          </cell>
          <cell r="D2512" t="str">
            <v>CORSO EUROPA, 588</v>
          </cell>
          <cell r="E2512">
            <v>16148</v>
          </cell>
          <cell r="F2512" t="str">
            <v>GENOVA</v>
          </cell>
          <cell r="G2512" t="str">
            <v>GE</v>
          </cell>
          <cell r="H2512" t="str">
            <v>ITALIA</v>
          </cell>
          <cell r="M2512" t="str">
            <v>UFFICIO ACQUISTI</v>
          </cell>
          <cell r="N2512" t="str">
            <v>010 3777017</v>
          </cell>
          <cell r="R2512" t="str">
            <v>BONIFICO BANCARIO, ALLA DATA DELLA NOSTRA CONFERMA D'ORDINE</v>
          </cell>
          <cell r="X2512">
            <v>0.25</v>
          </cell>
          <cell r="Y2512">
            <v>-0.04</v>
          </cell>
          <cell r="AB2512">
            <v>0.25</v>
          </cell>
          <cell r="AC2512">
            <v>0.25</v>
          </cell>
          <cell r="AD2512">
            <v>0.25</v>
          </cell>
          <cell r="AE2512">
            <v>0.25</v>
          </cell>
          <cell r="AF2512">
            <v>0.25</v>
          </cell>
          <cell r="AG2512">
            <v>0.25</v>
          </cell>
          <cell r="AH2512">
            <v>0.25</v>
          </cell>
          <cell r="AI2512">
            <v>0.25</v>
          </cell>
          <cell r="AJ2512">
            <v>0.25</v>
          </cell>
          <cell r="AK2512">
            <v>0.25</v>
          </cell>
          <cell r="AL2512">
            <v>0.25</v>
          </cell>
          <cell r="AM2512">
            <v>0.25</v>
          </cell>
          <cell r="AN2512">
            <v>0.25</v>
          </cell>
          <cell r="AO2512">
            <v>0.25</v>
          </cell>
          <cell r="AP2512">
            <v>0.25</v>
          </cell>
          <cell r="AQ2512">
            <v>0.25</v>
          </cell>
          <cell r="AR2512">
            <v>0.25</v>
          </cell>
          <cell r="AS2512">
            <v>0.25</v>
          </cell>
          <cell r="AT2512">
            <v>-0.04</v>
          </cell>
          <cell r="AU2512">
            <v>0.92</v>
          </cell>
          <cell r="AV2512">
            <v>20</v>
          </cell>
          <cell r="AZ2512">
            <v>0.25</v>
          </cell>
          <cell r="BA2512">
            <v>0.25</v>
          </cell>
        </row>
        <row r="2513">
          <cell r="A2513" t="str">
            <v>TREBO' DI TREBO' STEFANO E C SNC</v>
          </cell>
          <cell r="D2513" t="str">
            <v>VIA CAVANNA 9</v>
          </cell>
          <cell r="E2513" t="str">
            <v>13100</v>
          </cell>
          <cell r="F2513" t="str">
            <v>VERCELLI</v>
          </cell>
          <cell r="G2513" t="str">
            <v>VC</v>
          </cell>
          <cell r="H2513" t="str">
            <v>ITALIA</v>
          </cell>
          <cell r="J2513" t="str">
            <v>01962850028</v>
          </cell>
          <cell r="M2513" t="str">
            <v>UFFICIO ACQUISTI</v>
          </cell>
          <cell r="N2513" t="str">
            <v>0161 393460</v>
          </cell>
          <cell r="P2513" t="str">
            <v>info@trebo.it</v>
          </cell>
          <cell r="R2513" t="str">
            <v>BONIFICO BANCARIO, ALLA DATA DELLA NOSTRA CONFERMA D'ORDINE</v>
          </cell>
          <cell r="X2513">
            <v>0.25</v>
          </cell>
          <cell r="Y2513">
            <v>-0.04</v>
          </cell>
          <cell r="AB2513">
            <v>0.25</v>
          </cell>
          <cell r="AC2513">
            <v>0.25</v>
          </cell>
          <cell r="AD2513">
            <v>0.25</v>
          </cell>
          <cell r="AE2513">
            <v>0.25</v>
          </cell>
          <cell r="AF2513">
            <v>0.25</v>
          </cell>
          <cell r="AG2513">
            <v>0.25</v>
          </cell>
          <cell r="AH2513">
            <v>0.25</v>
          </cell>
          <cell r="AI2513">
            <v>0.25</v>
          </cell>
          <cell r="AJ2513">
            <v>0.25</v>
          </cell>
          <cell r="AK2513">
            <v>0.25</v>
          </cell>
          <cell r="AL2513">
            <v>0.25</v>
          </cell>
          <cell r="AM2513">
            <v>0.25</v>
          </cell>
          <cell r="AN2513">
            <v>0.25</v>
          </cell>
          <cell r="AO2513">
            <v>0.25</v>
          </cell>
          <cell r="AP2513">
            <v>0.25</v>
          </cell>
          <cell r="AQ2513">
            <v>0.25</v>
          </cell>
          <cell r="AR2513">
            <v>0.25</v>
          </cell>
          <cell r="AS2513">
            <v>0.25</v>
          </cell>
          <cell r="AT2513">
            <v>-0.04</v>
          </cell>
          <cell r="AU2513">
            <v>0.92</v>
          </cell>
          <cell r="AV2513">
            <v>20</v>
          </cell>
          <cell r="AZ2513">
            <v>0.25</v>
          </cell>
          <cell r="BA2513">
            <v>0.25</v>
          </cell>
        </row>
        <row r="2514">
          <cell r="A2514" t="str">
            <v xml:space="preserve">TRENTINO SERRAMENTI S.N.C. </v>
          </cell>
          <cell r="D2514" t="str">
            <v>VIA SEGANTINI, 21</v>
          </cell>
          <cell r="E2514">
            <v>38015</v>
          </cell>
          <cell r="F2514" t="str">
            <v>LAVIS</v>
          </cell>
          <cell r="G2514" t="str">
            <v>TN</v>
          </cell>
          <cell r="H2514" t="str">
            <v>ITALIA</v>
          </cell>
          <cell r="M2514" t="str">
            <v>UFFICIO ACQUISTI</v>
          </cell>
          <cell r="N2514" t="str">
            <v>0461 241760</v>
          </cell>
          <cell r="P2514" t="str">
            <v>info@trentinoserramenti.it</v>
          </cell>
          <cell r="R2514" t="str">
            <v>BONIFICO BANCARIO, ALLA DATA DELLA NOSTRA CONFERMA D'ORDINE</v>
          </cell>
          <cell r="X2514">
            <v>0.25</v>
          </cell>
          <cell r="Y2514">
            <v>-0.04</v>
          </cell>
          <cell r="AB2514">
            <v>0.25</v>
          </cell>
          <cell r="AC2514">
            <v>0.25</v>
          </cell>
          <cell r="AD2514">
            <v>0.25</v>
          </cell>
          <cell r="AE2514">
            <v>0.25</v>
          </cell>
          <cell r="AF2514">
            <v>0.25</v>
          </cell>
          <cell r="AG2514">
            <v>0.25</v>
          </cell>
          <cell r="AH2514">
            <v>0.25</v>
          </cell>
          <cell r="AI2514">
            <v>0.25</v>
          </cell>
          <cell r="AJ2514">
            <v>0.25</v>
          </cell>
          <cell r="AK2514">
            <v>0.25</v>
          </cell>
          <cell r="AL2514">
            <v>0.25</v>
          </cell>
          <cell r="AM2514">
            <v>0.25</v>
          </cell>
          <cell r="AN2514">
            <v>0.25</v>
          </cell>
          <cell r="AO2514">
            <v>0.25</v>
          </cell>
          <cell r="AP2514">
            <v>0.25</v>
          </cell>
          <cell r="AQ2514">
            <v>0.25</v>
          </cell>
          <cell r="AR2514">
            <v>0.25</v>
          </cell>
          <cell r="AS2514">
            <v>0.25</v>
          </cell>
          <cell r="AT2514">
            <v>-0.04</v>
          </cell>
          <cell r="AU2514">
            <v>0.92</v>
          </cell>
          <cell r="AV2514">
            <v>20</v>
          </cell>
          <cell r="AZ2514">
            <v>0.25</v>
          </cell>
          <cell r="BA2514">
            <v>0.25</v>
          </cell>
        </row>
        <row r="2515">
          <cell r="A2515" t="str">
            <v>TRES SERRAMENTI S.N.C. DI TRES FRANCESCO &amp; C.</v>
          </cell>
          <cell r="D2515" t="str">
            <v>VIA ASIAGO, 28</v>
          </cell>
          <cell r="E2515">
            <v>36030</v>
          </cell>
          <cell r="F2515" t="str">
            <v>SARCEDO</v>
          </cell>
          <cell r="G2515" t="str">
            <v>VI</v>
          </cell>
          <cell r="H2515" t="str">
            <v>ITALIA</v>
          </cell>
          <cell r="I2515" t="str">
            <v>03659560241</v>
          </cell>
          <cell r="J2515" t="str">
            <v>03659560241</v>
          </cell>
          <cell r="M2515" t="str">
            <v>UFFICIO ACQUISTI</v>
          </cell>
          <cell r="N2515" t="str">
            <v>0445 364307</v>
          </cell>
          <cell r="P2515" t="str">
            <v>tres.francesco@libero.it</v>
          </cell>
          <cell r="R2515" t="str">
            <v>BONIFICO BANCARIO, ALLA DATA DELLA NOSTRA CONFERMA D'ORDINE</v>
          </cell>
          <cell r="X2515">
            <v>0.25</v>
          </cell>
          <cell r="Y2515">
            <v>-0.04</v>
          </cell>
          <cell r="AB2515">
            <v>0.25</v>
          </cell>
          <cell r="AC2515">
            <v>0.25</v>
          </cell>
          <cell r="AD2515">
            <v>0.25</v>
          </cell>
          <cell r="AE2515">
            <v>0.25</v>
          </cell>
          <cell r="AF2515">
            <v>0.25</v>
          </cell>
          <cell r="AG2515">
            <v>0.25</v>
          </cell>
          <cell r="AH2515">
            <v>0.25</v>
          </cell>
          <cell r="AI2515">
            <v>0.25</v>
          </cell>
          <cell r="AJ2515">
            <v>0.25</v>
          </cell>
          <cell r="AK2515">
            <v>0.25</v>
          </cell>
          <cell r="AL2515">
            <v>0.25</v>
          </cell>
          <cell r="AM2515">
            <v>0.25</v>
          </cell>
          <cell r="AN2515">
            <v>0.25</v>
          </cell>
          <cell r="AO2515">
            <v>0.25</v>
          </cell>
          <cell r="AP2515">
            <v>0.25</v>
          </cell>
          <cell r="AQ2515">
            <v>0.25</v>
          </cell>
          <cell r="AR2515">
            <v>0.25</v>
          </cell>
          <cell r="AS2515">
            <v>0.25</v>
          </cell>
          <cell r="AT2515">
            <v>-0.04</v>
          </cell>
          <cell r="AU2515">
            <v>0.92</v>
          </cell>
          <cell r="AV2515">
            <v>20</v>
          </cell>
          <cell r="AZ2515">
            <v>0.25</v>
          </cell>
          <cell r="BA2515">
            <v>0.25</v>
          </cell>
        </row>
        <row r="2516">
          <cell r="A2516" t="str">
            <v xml:space="preserve">TREVES F.LLI S.N.C. </v>
          </cell>
          <cell r="D2516" t="str">
            <v>FRAZ. CHAMPERIOU, 8</v>
          </cell>
          <cell r="E2516">
            <v>11020</v>
          </cell>
          <cell r="F2516" t="str">
            <v>MONTJOVET</v>
          </cell>
          <cell r="G2516" t="str">
            <v>AO</v>
          </cell>
          <cell r="H2516" t="str">
            <v>ITALIA</v>
          </cell>
          <cell r="I2516" t="str">
            <v>00069150076</v>
          </cell>
          <cell r="J2516" t="str">
            <v>00069150076</v>
          </cell>
          <cell r="M2516" t="str">
            <v>UFFICIO ACQUISTI</v>
          </cell>
          <cell r="N2516" t="str">
            <v>0166 79133</v>
          </cell>
          <cell r="P2516" t="str">
            <v>massimotreves@hotmail.com</v>
          </cell>
          <cell r="R2516" t="str">
            <v>BONIFICO BANCARIO, ALLA DATA DELLA NOSTRA CONFERMA D'ORDINE</v>
          </cell>
          <cell r="X2516">
            <v>0.25</v>
          </cell>
          <cell r="Y2516">
            <v>-0.04</v>
          </cell>
          <cell r="AB2516">
            <v>0.25</v>
          </cell>
          <cell r="AC2516">
            <v>0.25</v>
          </cell>
          <cell r="AD2516">
            <v>0.25</v>
          </cell>
          <cell r="AE2516">
            <v>0.25</v>
          </cell>
          <cell r="AF2516">
            <v>0.25</v>
          </cell>
          <cell r="AG2516">
            <v>0.25</v>
          </cell>
          <cell r="AH2516">
            <v>0.25</v>
          </cell>
          <cell r="AI2516">
            <v>0.25</v>
          </cell>
          <cell r="AJ2516">
            <v>0.25</v>
          </cell>
          <cell r="AK2516">
            <v>0.25</v>
          </cell>
          <cell r="AL2516">
            <v>0.25</v>
          </cell>
          <cell r="AM2516">
            <v>0.25</v>
          </cell>
          <cell r="AN2516">
            <v>0.25</v>
          </cell>
          <cell r="AO2516">
            <v>0.25</v>
          </cell>
          <cell r="AP2516">
            <v>0.25</v>
          </cell>
          <cell r="AQ2516">
            <v>0.25</v>
          </cell>
          <cell r="AR2516">
            <v>0.25</v>
          </cell>
          <cell r="AS2516">
            <v>0.25</v>
          </cell>
          <cell r="AT2516">
            <v>-0.04</v>
          </cell>
          <cell r="AU2516">
            <v>0.92</v>
          </cell>
          <cell r="AV2516">
            <v>20</v>
          </cell>
          <cell r="AZ2516">
            <v>0.25</v>
          </cell>
          <cell r="BA2516">
            <v>0.25</v>
          </cell>
        </row>
        <row r="2517">
          <cell r="A2517" t="str">
            <v>TRICON DRY CHEMICALS LL (DANIELE VITANZA)</v>
          </cell>
          <cell r="D2517" t="str">
            <v>VIA CORRADO RICCI 29</v>
          </cell>
          <cell r="E2517" t="str">
            <v>48121</v>
          </cell>
          <cell r="F2517" t="str">
            <v>RAVENNA</v>
          </cell>
          <cell r="G2517" t="str">
            <v>RA</v>
          </cell>
          <cell r="H2517" t="str">
            <v>ITALIA</v>
          </cell>
          <cell r="J2517" t="str">
            <v>02550010397</v>
          </cell>
          <cell r="M2517" t="str">
            <v>UFFICIO ACQUISTI</v>
          </cell>
          <cell r="N2517" t="str">
            <v>0544 1841018</v>
          </cell>
          <cell r="O2517" t="str">
            <v>348 5432774</v>
          </cell>
          <cell r="R2517" t="str">
            <v>BONIFICO BANCARIO, ALLA DATA DELLA NOSTRA CONFERMA D'ORDINE</v>
          </cell>
          <cell r="X2517">
            <v>0.25</v>
          </cell>
          <cell r="Y2517">
            <v>-0.04</v>
          </cell>
          <cell r="AB2517">
            <v>0.25</v>
          </cell>
          <cell r="AC2517">
            <v>0.25</v>
          </cell>
          <cell r="AD2517">
            <v>0.25</v>
          </cell>
          <cell r="AE2517">
            <v>0.25</v>
          </cell>
          <cell r="AF2517">
            <v>0.25</v>
          </cell>
          <cell r="AG2517">
            <v>0.25</v>
          </cell>
          <cell r="AH2517">
            <v>0.25</v>
          </cell>
          <cell r="AI2517">
            <v>0.25</v>
          </cell>
          <cell r="AJ2517">
            <v>0.25</v>
          </cell>
          <cell r="AK2517">
            <v>0.25</v>
          </cell>
          <cell r="AL2517">
            <v>0.25</v>
          </cell>
          <cell r="AM2517">
            <v>0.25</v>
          </cell>
          <cell r="AN2517">
            <v>0.25</v>
          </cell>
          <cell r="AO2517">
            <v>0.25</v>
          </cell>
          <cell r="AP2517">
            <v>0.25</v>
          </cell>
          <cell r="AQ2517">
            <v>0.25</v>
          </cell>
          <cell r="AR2517">
            <v>0.25</v>
          </cell>
          <cell r="AS2517">
            <v>0.25</v>
          </cell>
          <cell r="AT2517">
            <v>-0.04</v>
          </cell>
          <cell r="AU2517">
            <v>0.92</v>
          </cell>
          <cell r="AV2517">
            <v>20</v>
          </cell>
          <cell r="AZ2517">
            <v>0.25</v>
          </cell>
          <cell r="BA2517">
            <v>0.25</v>
          </cell>
        </row>
        <row r="2518">
          <cell r="A2518" t="str">
            <v>TRIESTE SERRAMENTI DI LEONARDO FAVALE</v>
          </cell>
          <cell r="B2518" t="str">
            <v>NO SCONTI, NON INTERESSATO</v>
          </cell>
          <cell r="D2518" t="str">
            <v>VIA P-L. DA PALESTINA, 1</v>
          </cell>
          <cell r="G2518" t="str">
            <v>TS</v>
          </cell>
          <cell r="H2518" t="str">
            <v>ITALIA</v>
          </cell>
          <cell r="M2518" t="str">
            <v>UFFICIO ACQUISTI</v>
          </cell>
          <cell r="N2518" t="str">
            <v>040 631794</v>
          </cell>
          <cell r="P2518" t="str">
            <v>triesteserramenti@gmail.com</v>
          </cell>
          <cell r="R2518" t="str">
            <v>BONIFICO BANCARIO, ALLA DATA DELLA NOSTRA CONFERMA D'ORDINE</v>
          </cell>
          <cell r="X2518">
            <v>0.25</v>
          </cell>
          <cell r="Y2518">
            <v>-0.04</v>
          </cell>
          <cell r="AB2518">
            <v>0.25</v>
          </cell>
          <cell r="AC2518">
            <v>0.25</v>
          </cell>
          <cell r="AD2518">
            <v>0.25</v>
          </cell>
          <cell r="AE2518">
            <v>0.25</v>
          </cell>
          <cell r="AF2518">
            <v>0.25</v>
          </cell>
          <cell r="AG2518">
            <v>0.25</v>
          </cell>
          <cell r="AH2518">
            <v>0.25</v>
          </cell>
          <cell r="AI2518">
            <v>0.25</v>
          </cell>
          <cell r="AJ2518">
            <v>0.25</v>
          </cell>
          <cell r="AK2518">
            <v>0.25</v>
          </cell>
          <cell r="AL2518">
            <v>0.25</v>
          </cell>
          <cell r="AM2518">
            <v>0.25</v>
          </cell>
          <cell r="AN2518">
            <v>0.25</v>
          </cell>
          <cell r="AO2518">
            <v>0.25</v>
          </cell>
          <cell r="AP2518">
            <v>0.25</v>
          </cell>
          <cell r="AQ2518">
            <v>0.25</v>
          </cell>
          <cell r="AR2518">
            <v>0.25</v>
          </cell>
          <cell r="AS2518">
            <v>0.25</v>
          </cell>
          <cell r="AT2518">
            <v>-0.04</v>
          </cell>
          <cell r="AU2518">
            <v>0.92</v>
          </cell>
          <cell r="AV2518">
            <v>20</v>
          </cell>
          <cell r="AZ2518">
            <v>0.25</v>
          </cell>
          <cell r="BA2518">
            <v>0.25</v>
          </cell>
        </row>
        <row r="2519">
          <cell r="A2519" t="str">
            <v>TRINETTA LEONARDO</v>
          </cell>
          <cell r="D2519" t="str">
            <v>VIA T.TARDIO 53</v>
          </cell>
          <cell r="E2519" t="str">
            <v>71016</v>
          </cell>
          <cell r="F2519" t="str">
            <v xml:space="preserve">SAN SEVERO </v>
          </cell>
          <cell r="G2519" t="str">
            <v>FG</v>
          </cell>
          <cell r="H2519" t="str">
            <v>ITALIA</v>
          </cell>
          <cell r="M2519" t="str">
            <v>UFFICIO ACQUISTI</v>
          </cell>
          <cell r="O2519" t="str">
            <v>338 2113217</v>
          </cell>
          <cell r="P2519" t="str">
            <v>trinetta-leo@libero.it</v>
          </cell>
          <cell r="R2519" t="str">
            <v>BONIFICO BANCARIO, ALLA DATA DELLA NOSTRA CONFERMA D'ORDINE</v>
          </cell>
          <cell r="X2519">
            <v>0.25</v>
          </cell>
          <cell r="Y2519">
            <v>-0.04</v>
          </cell>
          <cell r="AB2519">
            <v>0.25</v>
          </cell>
          <cell r="AC2519">
            <v>0.25</v>
          </cell>
          <cell r="AD2519">
            <v>0.25</v>
          </cell>
          <cell r="AE2519">
            <v>0.25</v>
          </cell>
          <cell r="AF2519">
            <v>0.25</v>
          </cell>
          <cell r="AG2519">
            <v>0.25</v>
          </cell>
          <cell r="AH2519">
            <v>0.25</v>
          </cell>
          <cell r="AI2519">
            <v>0.25</v>
          </cell>
          <cell r="AJ2519">
            <v>0.25</v>
          </cell>
          <cell r="AK2519">
            <v>0.25</v>
          </cell>
          <cell r="AL2519">
            <v>0.25</v>
          </cell>
          <cell r="AM2519">
            <v>0.25</v>
          </cell>
          <cell r="AN2519">
            <v>0.25</v>
          </cell>
          <cell r="AO2519">
            <v>0.25</v>
          </cell>
          <cell r="AP2519">
            <v>0.25</v>
          </cell>
          <cell r="AQ2519">
            <v>0.25</v>
          </cell>
          <cell r="AR2519">
            <v>0.25</v>
          </cell>
          <cell r="AS2519">
            <v>0.25</v>
          </cell>
          <cell r="AT2519">
            <v>-0.04</v>
          </cell>
          <cell r="AU2519">
            <v>0.92</v>
          </cell>
          <cell r="AV2519">
            <v>20</v>
          </cell>
          <cell r="AZ2519">
            <v>0.25</v>
          </cell>
          <cell r="BA2519">
            <v>0.25</v>
          </cell>
        </row>
        <row r="2520">
          <cell r="A2520" t="str">
            <v>TROIANO</v>
          </cell>
          <cell r="D2520" t="str">
            <v>VIA NAZIONALE, 164</v>
          </cell>
          <cell r="E2520">
            <v>84012</v>
          </cell>
          <cell r="F2520" t="str">
            <v>ANGRI</v>
          </cell>
          <cell r="G2520" t="str">
            <v>SA</v>
          </cell>
          <cell r="H2520" t="str">
            <v>ITALIA</v>
          </cell>
          <cell r="J2520" t="str">
            <v>04840190658</v>
          </cell>
          <cell r="M2520" t="str">
            <v>UFFICIO ACQUISTI</v>
          </cell>
          <cell r="N2520" t="str">
            <v>081 947107</v>
          </cell>
          <cell r="O2520" t="str">
            <v>Gerardo Troiano 333 7128039</v>
          </cell>
          <cell r="P2520" t="str">
            <v>info@troianoporte.it</v>
          </cell>
          <cell r="R2520" t="str">
            <v>BONIFICO BANCARIO, ALLA DATA DELLA NOSTRA CONFERMA D'ORDINE</v>
          </cell>
          <cell r="X2520">
            <v>0.25</v>
          </cell>
          <cell r="Y2520">
            <v>-0.04</v>
          </cell>
          <cell r="AB2520">
            <v>0.25</v>
          </cell>
          <cell r="AC2520">
            <v>0.25</v>
          </cell>
          <cell r="AD2520">
            <v>0.25</v>
          </cell>
          <cell r="AE2520">
            <v>0.25</v>
          </cell>
          <cell r="AF2520">
            <v>0.25</v>
          </cell>
          <cell r="AG2520">
            <v>0.25</v>
          </cell>
          <cell r="AH2520">
            <v>0.25</v>
          </cell>
          <cell r="AI2520">
            <v>0.25</v>
          </cell>
          <cell r="AJ2520">
            <v>0.25</v>
          </cell>
          <cell r="AK2520">
            <v>0.25</v>
          </cell>
          <cell r="AL2520">
            <v>0.25</v>
          </cell>
          <cell r="AM2520">
            <v>0.25</v>
          </cell>
          <cell r="AN2520">
            <v>0.25</v>
          </cell>
          <cell r="AO2520">
            <v>0.25</v>
          </cell>
          <cell r="AP2520">
            <v>0.25</v>
          </cell>
          <cell r="AQ2520">
            <v>0.25</v>
          </cell>
          <cell r="AR2520">
            <v>0.25</v>
          </cell>
          <cell r="AS2520">
            <v>0.25</v>
          </cell>
          <cell r="AT2520">
            <v>-0.04</v>
          </cell>
          <cell r="AU2520">
            <v>0.92</v>
          </cell>
          <cell r="AV2520">
            <v>20</v>
          </cell>
          <cell r="AZ2520">
            <v>0.25</v>
          </cell>
          <cell r="BA2520">
            <v>0.25</v>
          </cell>
        </row>
        <row r="2521">
          <cell r="A2521" t="str">
            <v>TROMBETTONI</v>
          </cell>
          <cell r="D2521" t="str">
            <v>VIA XXIV MAGGIO, 20</v>
          </cell>
          <cell r="E2521">
            <v>60035</v>
          </cell>
          <cell r="F2521" t="str">
            <v xml:space="preserve">JESI </v>
          </cell>
          <cell r="G2521" t="str">
            <v>AN</v>
          </cell>
          <cell r="H2521" t="str">
            <v>ITALIA</v>
          </cell>
          <cell r="M2521" t="str">
            <v>UFFICIO ACQUISTI</v>
          </cell>
          <cell r="O2521" t="str">
            <v>Fabrizio 346 6222482</v>
          </cell>
          <cell r="P2521" t="str">
            <v>info@trombettoni.com</v>
          </cell>
          <cell r="R2521" t="str">
            <v>BONIFICO BANCARIO, ALLA DATA DELLA NOSTRA CONFERMA D'ORDINE</v>
          </cell>
          <cell r="X2521">
            <v>0.25</v>
          </cell>
          <cell r="Y2521">
            <v>-0.04</v>
          </cell>
          <cell r="AB2521">
            <v>0.25</v>
          </cell>
          <cell r="AC2521">
            <v>0.25</v>
          </cell>
          <cell r="AD2521">
            <v>0.25</v>
          </cell>
          <cell r="AE2521">
            <v>0.25</v>
          </cell>
          <cell r="AF2521">
            <v>0.25</v>
          </cell>
          <cell r="AG2521">
            <v>0.25</v>
          </cell>
          <cell r="AH2521">
            <v>0.25</v>
          </cell>
          <cell r="AI2521">
            <v>0.25</v>
          </cell>
          <cell r="AJ2521">
            <v>0.25</v>
          </cell>
          <cell r="AK2521">
            <v>0.25</v>
          </cell>
          <cell r="AL2521">
            <v>0.25</v>
          </cell>
          <cell r="AM2521">
            <v>0.25</v>
          </cell>
          <cell r="AN2521">
            <v>0.25</v>
          </cell>
          <cell r="AO2521">
            <v>0.25</v>
          </cell>
          <cell r="AP2521">
            <v>0.25</v>
          </cell>
          <cell r="AQ2521">
            <v>0.25</v>
          </cell>
          <cell r="AR2521">
            <v>0.25</v>
          </cell>
          <cell r="AS2521">
            <v>0.25</v>
          </cell>
          <cell r="AT2521">
            <v>-0.04</v>
          </cell>
          <cell r="AU2521">
            <v>0.92</v>
          </cell>
          <cell r="AV2521">
            <v>20</v>
          </cell>
          <cell r="AZ2521">
            <v>0.25</v>
          </cell>
          <cell r="BA2521">
            <v>0.25</v>
          </cell>
        </row>
        <row r="2522">
          <cell r="A2522" t="str">
            <v>TRUCCHI EFISIO S.r.l.</v>
          </cell>
          <cell r="D2522" t="str">
            <v>VIA ROMA, 70 R</v>
          </cell>
          <cell r="E2522">
            <v>18039</v>
          </cell>
          <cell r="F2522" t="str">
            <v>VENTIMIGLIA</v>
          </cell>
          <cell r="G2522" t="str">
            <v>IM</v>
          </cell>
          <cell r="H2522" t="str">
            <v>ITALIA</v>
          </cell>
          <cell r="I2522" t="str">
            <v>00097920086</v>
          </cell>
          <cell r="J2522" t="str">
            <v>00097920086</v>
          </cell>
          <cell r="M2522" t="str">
            <v>UFFICIO ACQUISTI</v>
          </cell>
          <cell r="N2522" t="str">
            <v>0184 230777</v>
          </cell>
          <cell r="P2522" t="str">
            <v>romina@trucchiefisio.it</v>
          </cell>
          <cell r="R2522" t="str">
            <v>BONIFICO BANCARIO, ALLA DATA DELLA NOSTRA CONFERMA D'ORDINE</v>
          </cell>
          <cell r="X2522">
            <v>0.25</v>
          </cell>
          <cell r="Y2522">
            <v>-0.04</v>
          </cell>
          <cell r="AB2522">
            <v>0.25</v>
          </cell>
          <cell r="AC2522">
            <v>0.25</v>
          </cell>
          <cell r="AD2522">
            <v>0.25</v>
          </cell>
          <cell r="AE2522">
            <v>0.25</v>
          </cell>
          <cell r="AF2522">
            <v>0.25</v>
          </cell>
          <cell r="AG2522">
            <v>0.25</v>
          </cell>
          <cell r="AH2522">
            <v>0.25</v>
          </cell>
          <cell r="AI2522">
            <v>0.25</v>
          </cell>
          <cell r="AJ2522">
            <v>0.25</v>
          </cell>
          <cell r="AK2522">
            <v>0.25</v>
          </cell>
          <cell r="AL2522">
            <v>0.25</v>
          </cell>
          <cell r="AM2522">
            <v>0.25</v>
          </cell>
          <cell r="AN2522">
            <v>0.25</v>
          </cell>
          <cell r="AO2522">
            <v>0.25</v>
          </cell>
          <cell r="AP2522">
            <v>0.25</v>
          </cell>
          <cell r="AQ2522">
            <v>0.25</v>
          </cell>
          <cell r="AR2522">
            <v>0.25</v>
          </cell>
          <cell r="AS2522">
            <v>0.25</v>
          </cell>
          <cell r="AT2522">
            <v>-0.04</v>
          </cell>
          <cell r="AU2522">
            <v>0.92</v>
          </cell>
          <cell r="AV2522">
            <v>20</v>
          </cell>
          <cell r="AZ2522">
            <v>0.25</v>
          </cell>
          <cell r="BA2522">
            <v>0.25</v>
          </cell>
        </row>
        <row r="2523">
          <cell r="A2523" t="str">
            <v>TS  AMA LA TUA CASA</v>
          </cell>
          <cell r="B2523" t="str">
            <v>RAMONA      OKNOPLAST</v>
          </cell>
          <cell r="D2523" t="str">
            <v>VIA O. TENNI, 35  35 A</v>
          </cell>
          <cell r="E2523">
            <v>42123</v>
          </cell>
          <cell r="F2523" t="str">
            <v>REGGIO EMILIA</v>
          </cell>
          <cell r="G2523" t="str">
            <v>RE</v>
          </cell>
          <cell r="H2523" t="str">
            <v>ITALIA</v>
          </cell>
          <cell r="M2523" t="str">
            <v>UFFICIO ACQUISTI</v>
          </cell>
          <cell r="N2523" t="str">
            <v>0522 271675</v>
          </cell>
          <cell r="R2523" t="str">
            <v>BONIFICO BANCARIO, ALLA DATA DELLA NOSTRA CONFERMA D'ORDINE</v>
          </cell>
          <cell r="X2523">
            <v>0.25</v>
          </cell>
          <cell r="Y2523">
            <v>-0.04</v>
          </cell>
          <cell r="AB2523">
            <v>0.25</v>
          </cell>
          <cell r="AC2523">
            <v>0.25</v>
          </cell>
          <cell r="AD2523">
            <v>0.25</v>
          </cell>
          <cell r="AE2523">
            <v>0.25</v>
          </cell>
          <cell r="AF2523">
            <v>0.25</v>
          </cell>
          <cell r="AG2523">
            <v>0.25</v>
          </cell>
          <cell r="AH2523">
            <v>0.25</v>
          </cell>
          <cell r="AI2523">
            <v>0.25</v>
          </cell>
          <cell r="AJ2523">
            <v>0.25</v>
          </cell>
          <cell r="AK2523">
            <v>0.25</v>
          </cell>
          <cell r="AL2523">
            <v>0.25</v>
          </cell>
          <cell r="AM2523">
            <v>0.25</v>
          </cell>
          <cell r="AN2523">
            <v>0.25</v>
          </cell>
          <cell r="AO2523">
            <v>0.25</v>
          </cell>
          <cell r="AP2523">
            <v>0.25</v>
          </cell>
          <cell r="AQ2523">
            <v>0.25</v>
          </cell>
          <cell r="AR2523">
            <v>0.25</v>
          </cell>
          <cell r="AS2523">
            <v>0.25</v>
          </cell>
          <cell r="AT2523">
            <v>-0.04</v>
          </cell>
          <cell r="AU2523">
            <v>0.92</v>
          </cell>
          <cell r="AV2523">
            <v>20</v>
          </cell>
          <cell r="AZ2523">
            <v>0.25</v>
          </cell>
          <cell r="BA2523">
            <v>0.25</v>
          </cell>
        </row>
        <row r="2524">
          <cell r="A2524" t="str">
            <v>TS SERRAMENTI SRLS</v>
          </cell>
          <cell r="D2524" t="str">
            <v>S.S. CISA, 81</v>
          </cell>
          <cell r="E2524">
            <v>46047</v>
          </cell>
          <cell r="F2524" t="str">
            <v>PORTO MANTOVANO</v>
          </cell>
          <cell r="G2524" t="str">
            <v>MN</v>
          </cell>
          <cell r="H2524" t="str">
            <v>ITALIA</v>
          </cell>
          <cell r="I2524" t="str">
            <v>02518570201</v>
          </cell>
          <cell r="J2524" t="str">
            <v>02518570201</v>
          </cell>
          <cell r="M2524" t="str">
            <v>UFFICIO ACQUISTI</v>
          </cell>
          <cell r="N2524" t="str">
            <v>0376 397930</v>
          </cell>
          <cell r="O2524" t="str">
            <v>331 1997812</v>
          </cell>
          <cell r="P2524" t="str">
            <v>info@ts-serramenti.it</v>
          </cell>
          <cell r="R2524" t="str">
            <v>BONIFICO BANCARIO, ALLA DATA DELLA NOSTRA CONFERMA D'ORDINE</v>
          </cell>
          <cell r="X2524">
            <v>0.25</v>
          </cell>
          <cell r="Y2524">
            <v>-0.04</v>
          </cell>
          <cell r="AB2524">
            <v>0.25</v>
          </cell>
          <cell r="AC2524">
            <v>0.25</v>
          </cell>
          <cell r="AD2524">
            <v>0.25</v>
          </cell>
          <cell r="AE2524">
            <v>0.25</v>
          </cell>
          <cell r="AF2524">
            <v>0.25</v>
          </cell>
          <cell r="AG2524">
            <v>0.25</v>
          </cell>
          <cell r="AH2524">
            <v>0.25</v>
          </cell>
          <cell r="AI2524">
            <v>0.25</v>
          </cell>
          <cell r="AJ2524">
            <v>0.25</v>
          </cell>
          <cell r="AK2524">
            <v>0.25</v>
          </cell>
          <cell r="AL2524">
            <v>0.25</v>
          </cell>
          <cell r="AM2524">
            <v>0.25</v>
          </cell>
          <cell r="AN2524">
            <v>0.25</v>
          </cell>
          <cell r="AO2524">
            <v>0.25</v>
          </cell>
          <cell r="AP2524">
            <v>0.25</v>
          </cell>
          <cell r="AQ2524">
            <v>0.25</v>
          </cell>
          <cell r="AR2524">
            <v>0.25</v>
          </cell>
          <cell r="AS2524">
            <v>0.25</v>
          </cell>
          <cell r="AT2524">
            <v>-0.04</v>
          </cell>
          <cell r="AU2524">
            <v>0.92</v>
          </cell>
          <cell r="AV2524">
            <v>20</v>
          </cell>
          <cell r="AZ2524">
            <v>0.25</v>
          </cell>
          <cell r="BA2524">
            <v>0.25</v>
          </cell>
        </row>
        <row r="2525">
          <cell r="A2525" t="str">
            <v>TSQ</v>
          </cell>
          <cell r="B2525" t="str">
            <v>OKNOPLAST</v>
          </cell>
          <cell r="D2525" t="str">
            <v>VIA NAZIONALE EMILIA, 11</v>
          </cell>
          <cell r="E2525">
            <v>43015</v>
          </cell>
          <cell r="F2525" t="str">
            <v>PONTETARO</v>
          </cell>
          <cell r="G2525" t="str">
            <v>PR</v>
          </cell>
          <cell r="H2525" t="str">
            <v>ITALIA</v>
          </cell>
          <cell r="M2525" t="str">
            <v>UFFICIO ACQUISTI</v>
          </cell>
          <cell r="N2525" t="str">
            <v>0521 1756821</v>
          </cell>
          <cell r="P2525" t="str">
            <v>info@ts4.it</v>
          </cell>
          <cell r="R2525" t="str">
            <v>BONIFICO BANCARIO, ALLA DATA DELLA NOSTRA CONFERMA D'ORDINE</v>
          </cell>
          <cell r="X2525">
            <v>0.25</v>
          </cell>
          <cell r="Y2525">
            <v>-0.04</v>
          </cell>
          <cell r="AB2525">
            <v>0.25</v>
          </cell>
          <cell r="AC2525">
            <v>0.25</v>
          </cell>
          <cell r="AD2525">
            <v>0.25</v>
          </cell>
          <cell r="AE2525">
            <v>0.25</v>
          </cell>
          <cell r="AF2525">
            <v>0.25</v>
          </cell>
          <cell r="AG2525">
            <v>0.25</v>
          </cell>
          <cell r="AH2525">
            <v>0.25</v>
          </cell>
          <cell r="AI2525">
            <v>0.25</v>
          </cell>
          <cell r="AJ2525">
            <v>0.25</v>
          </cell>
          <cell r="AK2525">
            <v>0.25</v>
          </cell>
          <cell r="AL2525">
            <v>0.25</v>
          </cell>
          <cell r="AM2525">
            <v>0.25</v>
          </cell>
          <cell r="AN2525">
            <v>0.25</v>
          </cell>
          <cell r="AO2525">
            <v>0.25</v>
          </cell>
          <cell r="AP2525">
            <v>0.25</v>
          </cell>
          <cell r="AQ2525">
            <v>0.25</v>
          </cell>
          <cell r="AR2525">
            <v>0.25</v>
          </cell>
          <cell r="AS2525">
            <v>0.25</v>
          </cell>
          <cell r="AT2525">
            <v>-0.04</v>
          </cell>
          <cell r="AU2525">
            <v>0.92</v>
          </cell>
          <cell r="AV2525">
            <v>20</v>
          </cell>
          <cell r="AZ2525">
            <v>0.25</v>
          </cell>
          <cell r="BA2525">
            <v>0.25</v>
          </cell>
        </row>
        <row r="2526">
          <cell r="A2526" t="str">
            <v>TU RI NA F.LLI SNC</v>
          </cell>
          <cell r="D2526" t="str">
            <v>VIA DELLE NOVEGLIE, 95</v>
          </cell>
          <cell r="E2526">
            <v>25080</v>
          </cell>
          <cell r="F2526" t="str">
            <v>MANERBA DEL GARDA</v>
          </cell>
          <cell r="G2526" t="str">
            <v>BS</v>
          </cell>
          <cell r="H2526" t="str">
            <v>ITALIA</v>
          </cell>
          <cell r="I2526" t="str">
            <v>01657190987</v>
          </cell>
          <cell r="J2526" t="str">
            <v>01657190987</v>
          </cell>
          <cell r="M2526" t="str">
            <v>UFFICIO ACQUISTI</v>
          </cell>
          <cell r="N2526" t="str">
            <v>0365 551151</v>
          </cell>
          <cell r="P2526" t="str">
            <v>ferramentabrunelli@gmail.com</v>
          </cell>
          <cell r="R2526" t="str">
            <v>BONIFICO BANCARIO, ALLA DATA DELLA NOSTRA CONFERMA D'ORDINE</v>
          </cell>
          <cell r="X2526">
            <v>0.25</v>
          </cell>
          <cell r="Y2526">
            <v>-0.04</v>
          </cell>
          <cell r="AB2526">
            <v>0.25</v>
          </cell>
          <cell r="AC2526">
            <v>0.25</v>
          </cell>
          <cell r="AD2526">
            <v>0.25</v>
          </cell>
          <cell r="AE2526">
            <v>0.25</v>
          </cell>
          <cell r="AF2526">
            <v>0.25</v>
          </cell>
          <cell r="AG2526">
            <v>0.25</v>
          </cell>
          <cell r="AH2526">
            <v>0.25</v>
          </cell>
          <cell r="AI2526">
            <v>0.25</v>
          </cell>
          <cell r="AJ2526">
            <v>0.25</v>
          </cell>
          <cell r="AK2526">
            <v>0.25</v>
          </cell>
          <cell r="AL2526">
            <v>0.25</v>
          </cell>
          <cell r="AM2526">
            <v>0.25</v>
          </cell>
          <cell r="AN2526">
            <v>0.25</v>
          </cell>
          <cell r="AO2526">
            <v>0.25</v>
          </cell>
          <cell r="AP2526">
            <v>0.25</v>
          </cell>
          <cell r="AQ2526">
            <v>0.25</v>
          </cell>
          <cell r="AR2526">
            <v>0.25</v>
          </cell>
          <cell r="AS2526">
            <v>0.25</v>
          </cell>
          <cell r="AT2526">
            <v>-0.04</v>
          </cell>
          <cell r="AU2526">
            <v>0.92</v>
          </cell>
          <cell r="AV2526">
            <v>20</v>
          </cell>
          <cell r="AZ2526">
            <v>0.25</v>
          </cell>
          <cell r="BA2526">
            <v>0.25</v>
          </cell>
        </row>
        <row r="2527">
          <cell r="A2527" t="str">
            <v>TULLI ARREDAMENTI SRL</v>
          </cell>
          <cell r="D2527" t="str">
            <v>VIA DEL MANDRIONE 105</v>
          </cell>
          <cell r="E2527" t="str">
            <v>00181</v>
          </cell>
          <cell r="F2527" t="str">
            <v>ROMA</v>
          </cell>
          <cell r="G2527" t="str">
            <v>RM</v>
          </cell>
          <cell r="H2527" t="str">
            <v>ITALIA</v>
          </cell>
          <cell r="J2527" t="str">
            <v>06635461004</v>
          </cell>
          <cell r="M2527" t="str">
            <v>UFFICIO ACQUISTI</v>
          </cell>
          <cell r="N2527" t="str">
            <v>06 7801443 - 803978</v>
          </cell>
          <cell r="R2527" t="str">
            <v>BONIFICO BANCARIO, ALLA DATA DELLA NOSTRA CONFERMA D'ORDINE</v>
          </cell>
          <cell r="X2527">
            <v>0.25</v>
          </cell>
          <cell r="Y2527">
            <v>-0.04</v>
          </cell>
          <cell r="AB2527">
            <v>0.25</v>
          </cell>
          <cell r="AC2527">
            <v>0.25</v>
          </cell>
          <cell r="AD2527">
            <v>0.25</v>
          </cell>
          <cell r="AE2527">
            <v>0.25</v>
          </cell>
          <cell r="AF2527">
            <v>0.25</v>
          </cell>
          <cell r="AG2527">
            <v>0.25</v>
          </cell>
          <cell r="AH2527">
            <v>0.25</v>
          </cell>
          <cell r="AI2527">
            <v>0.25</v>
          </cell>
          <cell r="AJ2527">
            <v>0.25</v>
          </cell>
          <cell r="AK2527">
            <v>0.25</v>
          </cell>
          <cell r="AL2527">
            <v>0.25</v>
          </cell>
          <cell r="AM2527">
            <v>0.25</v>
          </cell>
          <cell r="AN2527">
            <v>0.25</v>
          </cell>
          <cell r="AO2527">
            <v>0.25</v>
          </cell>
          <cell r="AP2527">
            <v>0.25</v>
          </cell>
          <cell r="AQ2527">
            <v>0.25</v>
          </cell>
          <cell r="AR2527">
            <v>0.25</v>
          </cell>
          <cell r="AS2527">
            <v>0.25</v>
          </cell>
          <cell r="AT2527">
            <v>-0.04</v>
          </cell>
          <cell r="AU2527">
            <v>0.92</v>
          </cell>
          <cell r="AV2527">
            <v>20</v>
          </cell>
          <cell r="AZ2527">
            <v>0.25</v>
          </cell>
          <cell r="BA2527">
            <v>0.25</v>
          </cell>
        </row>
        <row r="2528">
          <cell r="A2528" t="str">
            <v>TURRI SERRAMENTI S.R.L.</v>
          </cell>
          <cell r="D2528" t="str">
            <v>VIA VITTIME DEL FASCISMO, 33</v>
          </cell>
          <cell r="E2528">
            <v>50053</v>
          </cell>
          <cell r="F2528" t="str">
            <v>EMPOLI</v>
          </cell>
          <cell r="G2528" t="str">
            <v>FI</v>
          </cell>
          <cell r="H2528" t="str">
            <v>ITALIA</v>
          </cell>
          <cell r="M2528" t="str">
            <v>UFFICIO ACQUISTI</v>
          </cell>
          <cell r="N2528" t="str">
            <v>0571 931137</v>
          </cell>
          <cell r="P2528" t="str">
            <v>info@turriserramenti.com</v>
          </cell>
          <cell r="R2528" t="str">
            <v>BONIFICO BANCARIO, ALLA DATA DELLA NOSTRA CONFERMA D'ORDINE</v>
          </cell>
          <cell r="X2528">
            <v>0.25</v>
          </cell>
          <cell r="Y2528">
            <v>-0.04</v>
          </cell>
          <cell r="AB2528">
            <v>0.25</v>
          </cell>
          <cell r="AC2528">
            <v>0.25</v>
          </cell>
          <cell r="AD2528">
            <v>0.25</v>
          </cell>
          <cell r="AE2528">
            <v>0.25</v>
          </cell>
          <cell r="AF2528">
            <v>0.25</v>
          </cell>
          <cell r="AG2528">
            <v>0.25</v>
          </cell>
          <cell r="AH2528">
            <v>0.25</v>
          </cell>
          <cell r="AI2528">
            <v>0.25</v>
          </cell>
          <cell r="AJ2528">
            <v>0.25</v>
          </cell>
          <cell r="AK2528">
            <v>0.25</v>
          </cell>
          <cell r="AL2528">
            <v>0.25</v>
          </cell>
          <cell r="AM2528">
            <v>0.25</v>
          </cell>
          <cell r="AN2528">
            <v>0.25</v>
          </cell>
          <cell r="AO2528">
            <v>0.25</v>
          </cell>
          <cell r="AP2528">
            <v>0.25</v>
          </cell>
          <cell r="AQ2528">
            <v>0.25</v>
          </cell>
          <cell r="AR2528">
            <v>0.25</v>
          </cell>
          <cell r="AS2528">
            <v>0.25</v>
          </cell>
          <cell r="AT2528">
            <v>-0.04</v>
          </cell>
          <cell r="AU2528">
            <v>0.92</v>
          </cell>
          <cell r="AV2528">
            <v>20</v>
          </cell>
          <cell r="AZ2528">
            <v>0.25</v>
          </cell>
          <cell r="BA2528">
            <v>0.25</v>
          </cell>
        </row>
        <row r="2529">
          <cell r="A2529" t="str">
            <v>TUTTO SERRAMENTI SNC</v>
          </cell>
          <cell r="D2529" t="str">
            <v>VIA SALARIA KM 92,600</v>
          </cell>
          <cell r="E2529" t="str">
            <v>02010</v>
          </cell>
          <cell r="F2529" t="str">
            <v>S. RUFINA DI CITTADUCALE</v>
          </cell>
          <cell r="G2529" t="str">
            <v>RI</v>
          </cell>
          <cell r="H2529" t="str">
            <v>ITALIA</v>
          </cell>
          <cell r="M2529" t="str">
            <v>UFFICIO ACQUISTI</v>
          </cell>
          <cell r="N2529" t="str">
            <v>0746 696160</v>
          </cell>
          <cell r="O2529" t="str">
            <v>347 4537007 - 348 7420742</v>
          </cell>
          <cell r="P2529" t="str">
            <v>tuttoserramenti@alice.it</v>
          </cell>
          <cell r="R2529" t="str">
            <v>BONIFICO BANCARIO, ALLA DATA DELLA NOSTRA CONFERMA D'ORDINE</v>
          </cell>
          <cell r="Y2529">
            <v>-0.04</v>
          </cell>
          <cell r="AT2529">
            <v>-0.04</v>
          </cell>
          <cell r="AV2529">
            <v>20</v>
          </cell>
          <cell r="AZ2529">
            <v>0</v>
          </cell>
          <cell r="BA2529">
            <v>0</v>
          </cell>
        </row>
        <row r="2530">
          <cell r="A2530" t="str">
            <v>TUTTOINFISSI SNC</v>
          </cell>
          <cell r="D2530" t="str">
            <v>CORSO MILANO, 63</v>
          </cell>
          <cell r="E2530">
            <v>27029</v>
          </cell>
          <cell r="F2530" t="str">
            <v>VIGEVANO</v>
          </cell>
          <cell r="G2530" t="str">
            <v>PV</v>
          </cell>
          <cell r="H2530" t="str">
            <v>ITALIA</v>
          </cell>
          <cell r="J2530" t="str">
            <v>0192309185</v>
          </cell>
          <cell r="M2530" t="str">
            <v>UFFICIO ACQUISTI</v>
          </cell>
          <cell r="N2530" t="str">
            <v>0381 690793</v>
          </cell>
          <cell r="O2530" t="str">
            <v>Andrea Gallina 348 2927285</v>
          </cell>
          <cell r="P2530" t="str">
            <v>info@tuttoinfissi.net</v>
          </cell>
          <cell r="R2530" t="str">
            <v>BONIFICO BANCARIO, ALLA DATA DELLA NOSTRA CONFERMA D'ORDINE</v>
          </cell>
          <cell r="X2530">
            <v>0.25</v>
          </cell>
          <cell r="Y2530">
            <v>-0.04</v>
          </cell>
          <cell r="AB2530">
            <v>0.25</v>
          </cell>
          <cell r="AC2530">
            <v>0.25</v>
          </cell>
          <cell r="AD2530">
            <v>0.25</v>
          </cell>
          <cell r="AE2530">
            <v>0.25</v>
          </cell>
          <cell r="AF2530">
            <v>0.25</v>
          </cell>
          <cell r="AG2530">
            <v>0.25</v>
          </cell>
          <cell r="AH2530">
            <v>0.25</v>
          </cell>
          <cell r="AI2530">
            <v>0.25</v>
          </cell>
          <cell r="AJ2530">
            <v>0.25</v>
          </cell>
          <cell r="AK2530">
            <v>0.25</v>
          </cell>
          <cell r="AL2530">
            <v>0.25</v>
          </cell>
          <cell r="AM2530">
            <v>0.25</v>
          </cell>
          <cell r="AN2530">
            <v>0.25</v>
          </cell>
          <cell r="AO2530">
            <v>0.25</v>
          </cell>
          <cell r="AP2530">
            <v>0.25</v>
          </cell>
          <cell r="AQ2530">
            <v>0.25</v>
          </cell>
          <cell r="AR2530">
            <v>0.25</v>
          </cell>
          <cell r="AS2530">
            <v>0.25</v>
          </cell>
          <cell r="AT2530">
            <v>-0.04</v>
          </cell>
          <cell r="AU2530">
            <v>0.92</v>
          </cell>
          <cell r="AV2530">
            <v>20</v>
          </cell>
          <cell r="AZ2530">
            <v>0.25</v>
          </cell>
          <cell r="BA2530">
            <v>0.25</v>
          </cell>
        </row>
        <row r="2531">
          <cell r="A2531" t="str">
            <v>TWIN METAL 2006 SNC</v>
          </cell>
          <cell r="D2531" t="str">
            <v>VIA DOMENICO MUSTILLI 132</v>
          </cell>
          <cell r="E2531" t="str">
            <v>00122</v>
          </cell>
          <cell r="F2531" t="str">
            <v>ROMA</v>
          </cell>
          <cell r="G2531" t="str">
            <v>RM</v>
          </cell>
          <cell r="H2531" t="str">
            <v>ITALIA</v>
          </cell>
          <cell r="J2531" t="str">
            <v>09132011009</v>
          </cell>
          <cell r="M2531" t="str">
            <v>UFFICIO ACQUISTI</v>
          </cell>
          <cell r="N2531" t="str">
            <v>06 5218206</v>
          </cell>
          <cell r="O2531" t="str">
            <v>333 6296883</v>
          </cell>
          <cell r="R2531" t="str">
            <v>BONIFICO BANCARIO, ALLA DATA DELLA NOSTRA CONFERMA D'ORDINE</v>
          </cell>
          <cell r="X2531">
            <v>0.25</v>
          </cell>
          <cell r="Y2531">
            <v>-0.04</v>
          </cell>
          <cell r="AB2531">
            <v>0.25</v>
          </cell>
          <cell r="AC2531">
            <v>0.25</v>
          </cell>
          <cell r="AD2531">
            <v>0.25</v>
          </cell>
          <cell r="AE2531">
            <v>0.25</v>
          </cell>
          <cell r="AF2531">
            <v>0.25</v>
          </cell>
          <cell r="AG2531">
            <v>0.25</v>
          </cell>
          <cell r="AH2531">
            <v>0.25</v>
          </cell>
          <cell r="AI2531">
            <v>0.25</v>
          </cell>
          <cell r="AJ2531">
            <v>0.25</v>
          </cell>
          <cell r="AK2531">
            <v>0.25</v>
          </cell>
          <cell r="AL2531">
            <v>0.25</v>
          </cell>
          <cell r="AM2531">
            <v>0.25</v>
          </cell>
          <cell r="AN2531">
            <v>0.25</v>
          </cell>
          <cell r="AO2531">
            <v>0.25</v>
          </cell>
          <cell r="AP2531">
            <v>0.25</v>
          </cell>
          <cell r="AQ2531">
            <v>0.25</v>
          </cell>
          <cell r="AR2531">
            <v>0.25</v>
          </cell>
          <cell r="AS2531">
            <v>0.25</v>
          </cell>
          <cell r="AT2531">
            <v>-0.04</v>
          </cell>
          <cell r="AU2531">
            <v>0.92</v>
          </cell>
          <cell r="AV2531">
            <v>20</v>
          </cell>
          <cell r="AZ2531">
            <v>0.25</v>
          </cell>
          <cell r="BA2531">
            <v>0.25</v>
          </cell>
        </row>
        <row r="2532">
          <cell r="A2532" t="str">
            <v>UDIM SUMINISTROS Y SERVICIOS S.L.</v>
          </cell>
          <cell r="D2532" t="str">
            <v>C/ARIZA 1, EDIF.EXPOZARAGOZA, NAVE 1</v>
          </cell>
          <cell r="E2532" t="str">
            <v xml:space="preserve">50011 </v>
          </cell>
          <cell r="F2532" t="str">
            <v>ZARAGOZA</v>
          </cell>
          <cell r="H2532" t="str">
            <v>SPAGNA</v>
          </cell>
          <cell r="J2532" t="str">
            <v>ES-B99565368</v>
          </cell>
          <cell r="K2532" t="str">
            <v>XXXXXXX</v>
          </cell>
          <cell r="M2532" t="str">
            <v>UFFICIO ACQUISTI</v>
          </cell>
          <cell r="N2532" t="str">
            <v>+34 976 327272</v>
          </cell>
          <cell r="O2532" t="str">
            <v>+34 650554749</v>
          </cell>
          <cell r="P2532" t="str">
            <v>angel.ibanez@udim.es</v>
          </cell>
          <cell r="R2532" t="str">
            <v>TRANSFERENCIA BANCARIA, EN LA FECHA DE NUESTRA CONFIRMACIÓN DE PEDIDO</v>
          </cell>
          <cell r="X2532">
            <v>0</v>
          </cell>
          <cell r="Y2532">
            <v>0</v>
          </cell>
          <cell r="Z2532">
            <v>0</v>
          </cell>
          <cell r="AB2532">
            <v>0</v>
          </cell>
          <cell r="AC2532">
            <v>0</v>
          </cell>
          <cell r="AD2532">
            <v>0</v>
          </cell>
          <cell r="AE2532">
            <v>0.2</v>
          </cell>
          <cell r="AF2532">
            <v>0.2</v>
          </cell>
          <cell r="AG2532">
            <v>0.2</v>
          </cell>
          <cell r="AH2532">
            <v>0.2</v>
          </cell>
          <cell r="AI2532">
            <v>0.2</v>
          </cell>
          <cell r="AJ2532">
            <v>0.2</v>
          </cell>
          <cell r="AK2532">
            <v>0.2</v>
          </cell>
          <cell r="AL2532">
            <v>0.2</v>
          </cell>
          <cell r="AM2532">
            <v>0.3</v>
          </cell>
          <cell r="AN2532">
            <v>0</v>
          </cell>
          <cell r="AO2532">
            <v>0.3</v>
          </cell>
          <cell r="AP2532">
            <v>0</v>
          </cell>
          <cell r="AU2532">
            <v>0.87</v>
          </cell>
          <cell r="AV2532">
            <v>20</v>
          </cell>
          <cell r="AZ2532">
            <v>0</v>
          </cell>
          <cell r="BA2532">
            <v>0</v>
          </cell>
        </row>
        <row r="2533">
          <cell r="A2533" t="str">
            <v>UFI</v>
          </cell>
          <cell r="D2533" t="str">
            <v>VIA NAZIONALE, 317</v>
          </cell>
          <cell r="E2533" t="str">
            <v>18100</v>
          </cell>
          <cell r="F2533" t="str">
            <v>IMPERIA</v>
          </cell>
          <cell r="G2533" t="str">
            <v>IM</v>
          </cell>
          <cell r="H2533" t="str">
            <v>ITALIA</v>
          </cell>
          <cell r="J2533" t="str">
            <v>00100140086</v>
          </cell>
          <cell r="M2533" t="str">
            <v>UFFICIO ACQUISTI</v>
          </cell>
          <cell r="N2533" t="str">
            <v>0183 293780</v>
          </cell>
          <cell r="O2533" t="str">
            <v>335 6777748 ZANIRATO WALTER</v>
          </cell>
          <cell r="P2533" t="str">
            <v>info@ufionline.it</v>
          </cell>
          <cell r="R2533" t="str">
            <v>BONIFICO BANCARIO, ALLA DATA DELLA NOSTRA CONFERMA D'ORDINE</v>
          </cell>
          <cell r="Y2533">
            <v>-0.04</v>
          </cell>
          <cell r="AT2533">
            <v>-0.04</v>
          </cell>
          <cell r="AV2533">
            <v>20</v>
          </cell>
          <cell r="AZ2533">
            <v>0</v>
          </cell>
          <cell r="BA2533">
            <v>0</v>
          </cell>
        </row>
        <row r="2534">
          <cell r="A2534" t="str">
            <v>UNIDEA SNC</v>
          </cell>
          <cell r="B2534" t="str">
            <v>PARLA CON IL SOCIO</v>
          </cell>
          <cell r="D2534" t="str">
            <v>STRADA DEL GIOGLIO, 11</v>
          </cell>
          <cell r="E2534" t="str">
            <v>05100</v>
          </cell>
          <cell r="F2534" t="str">
            <v>TERNI</v>
          </cell>
          <cell r="G2534" t="str">
            <v>TR</v>
          </cell>
          <cell r="H2534" t="str">
            <v>ITALIA</v>
          </cell>
          <cell r="J2534" t="str">
            <v>01570710556</v>
          </cell>
          <cell r="M2534" t="str">
            <v>UFFICIO ACQUISTI</v>
          </cell>
          <cell r="N2534" t="str">
            <v>0744 425898</v>
          </cell>
          <cell r="O2534" t="str">
            <v>333 5081674</v>
          </cell>
          <cell r="P2534" t="str">
            <v>g.verzegni@unideagroup.eu</v>
          </cell>
          <cell r="R2534" t="str">
            <v>BONIFICO BANCARIO, ALLA DATA DELLA NOSTRA CONFERMA D'ORDINE</v>
          </cell>
          <cell r="Y2534">
            <v>-0.04</v>
          </cell>
          <cell r="AT2534">
            <v>-0.04</v>
          </cell>
          <cell r="AV2534">
            <v>20</v>
          </cell>
          <cell r="AZ2534">
            <v>0</v>
          </cell>
          <cell r="BA2534">
            <v>0</v>
          </cell>
        </row>
        <row r="2535">
          <cell r="A2535" t="str">
            <v xml:space="preserve">UNIKA SERRAMENTI </v>
          </cell>
          <cell r="D2535" t="str">
            <v>VIA NICOLA SASSO, 6</v>
          </cell>
          <cell r="E2535">
            <v>12045</v>
          </cell>
          <cell r="F2535" t="str">
            <v>FOSSANO</v>
          </cell>
          <cell r="G2535" t="str">
            <v>CN</v>
          </cell>
          <cell r="H2535" t="str">
            <v>ITALIA</v>
          </cell>
          <cell r="M2535" t="str">
            <v>UFFICIO ACQUISTI</v>
          </cell>
          <cell r="N2535" t="str">
            <v>0172 637193</v>
          </cell>
          <cell r="P2535" t="str">
            <v>info@unikaserramenti.com</v>
          </cell>
          <cell r="R2535" t="str">
            <v>BONIFICO BANCARIO, ALLA DATA DELLA NOSTRA CONFERMA D'ORDINE</v>
          </cell>
          <cell r="X2535">
            <v>0.25</v>
          </cell>
          <cell r="Y2535">
            <v>-0.04</v>
          </cell>
          <cell r="AB2535">
            <v>0.25</v>
          </cell>
          <cell r="AC2535">
            <v>0.25</v>
          </cell>
          <cell r="AD2535">
            <v>0.25</v>
          </cell>
          <cell r="AE2535">
            <v>0.25</v>
          </cell>
          <cell r="AF2535">
            <v>0.25</v>
          </cell>
          <cell r="AG2535">
            <v>0.25</v>
          </cell>
          <cell r="AH2535">
            <v>0.25</v>
          </cell>
          <cell r="AI2535">
            <v>0.25</v>
          </cell>
          <cell r="AJ2535">
            <v>0.25</v>
          </cell>
          <cell r="AK2535">
            <v>0.25</v>
          </cell>
          <cell r="AL2535">
            <v>0.25</v>
          </cell>
          <cell r="AM2535">
            <v>0.25</v>
          </cell>
          <cell r="AN2535">
            <v>0.25</v>
          </cell>
          <cell r="AO2535">
            <v>0.25</v>
          </cell>
          <cell r="AP2535">
            <v>0.25</v>
          </cell>
          <cell r="AQ2535">
            <v>0.25</v>
          </cell>
          <cell r="AR2535">
            <v>0.25</v>
          </cell>
          <cell r="AS2535">
            <v>0.25</v>
          </cell>
          <cell r="AT2535">
            <v>-0.04</v>
          </cell>
          <cell r="AU2535">
            <v>0.92</v>
          </cell>
          <cell r="AV2535">
            <v>20</v>
          </cell>
          <cell r="AZ2535">
            <v>0.25</v>
          </cell>
          <cell r="BA2535">
            <v>0.25</v>
          </cell>
        </row>
        <row r="2536">
          <cell r="A2536" t="str">
            <v xml:space="preserve">UNINFISSI </v>
          </cell>
          <cell r="D2536" t="str">
            <v>VIA A. EINSTEIN, 6</v>
          </cell>
          <cell r="E2536">
            <v>20090</v>
          </cell>
          <cell r="F2536" t="str">
            <v>ASSAGO</v>
          </cell>
          <cell r="G2536" t="str">
            <v>MI</v>
          </cell>
          <cell r="H2536" t="str">
            <v>ITALIA</v>
          </cell>
          <cell r="M2536" t="str">
            <v>UFFICIO ACQUISTI</v>
          </cell>
          <cell r="N2536" t="str">
            <v>02 39546921</v>
          </cell>
          <cell r="P2536" t="str">
            <v>info@unifissipvc.it</v>
          </cell>
          <cell r="R2536" t="str">
            <v>BONIFICO BANCARIO, ALLA DATA DELLA NOSTRA CONFERMA D'ORDINE</v>
          </cell>
          <cell r="X2536">
            <v>0.25</v>
          </cell>
          <cell r="Y2536">
            <v>-0.04</v>
          </cell>
          <cell r="AB2536">
            <v>0.25</v>
          </cell>
          <cell r="AC2536">
            <v>0.25</v>
          </cell>
          <cell r="AD2536">
            <v>0.25</v>
          </cell>
          <cell r="AE2536">
            <v>0.25</v>
          </cell>
          <cell r="AF2536">
            <v>0.25</v>
          </cell>
          <cell r="AG2536">
            <v>0.25</v>
          </cell>
          <cell r="AH2536">
            <v>0.25</v>
          </cell>
          <cell r="AI2536">
            <v>0.25</v>
          </cell>
          <cell r="AJ2536">
            <v>0.25</v>
          </cell>
          <cell r="AK2536">
            <v>0.25</v>
          </cell>
          <cell r="AL2536">
            <v>0.25</v>
          </cell>
          <cell r="AM2536">
            <v>0.25</v>
          </cell>
          <cell r="AN2536">
            <v>0.25</v>
          </cell>
          <cell r="AO2536">
            <v>0.25</v>
          </cell>
          <cell r="AP2536">
            <v>0.25</v>
          </cell>
          <cell r="AQ2536">
            <v>0.25</v>
          </cell>
          <cell r="AR2536">
            <v>0.25</v>
          </cell>
          <cell r="AS2536">
            <v>0.25</v>
          </cell>
          <cell r="AT2536">
            <v>-0.04</v>
          </cell>
          <cell r="AU2536">
            <v>0.92</v>
          </cell>
          <cell r="AV2536">
            <v>20</v>
          </cell>
          <cell r="AZ2536">
            <v>0.25</v>
          </cell>
          <cell r="BA2536">
            <v>0.25</v>
          </cell>
        </row>
        <row r="2537">
          <cell r="A2537" t="str">
            <v>UNOPIù DI PADOAN NERIO &amp; C SNC</v>
          </cell>
          <cell r="D2537" t="str">
            <v>VIA MADONNA MARINA 23</v>
          </cell>
          <cell r="E2537" t="str">
            <v>30015</v>
          </cell>
          <cell r="F2537" t="str">
            <v>CHIOGGIA</v>
          </cell>
          <cell r="G2537" t="str">
            <v>VE</v>
          </cell>
          <cell r="H2537" t="str">
            <v>ITALIA</v>
          </cell>
          <cell r="M2537" t="str">
            <v>UFFICIO ACQUISTI</v>
          </cell>
          <cell r="N2537" t="str">
            <v>041 5542088</v>
          </cell>
          <cell r="R2537" t="str">
            <v>BONIFICO BANCARIO, ALLA DATA DELLA NOSTRA CONFERMA D'ORDINE</v>
          </cell>
          <cell r="X2537">
            <v>0.25</v>
          </cell>
          <cell r="Y2537">
            <v>-0.04</v>
          </cell>
          <cell r="AB2537">
            <v>0.25</v>
          </cell>
          <cell r="AC2537">
            <v>0.25</v>
          </cell>
          <cell r="AD2537">
            <v>0.25</v>
          </cell>
          <cell r="AE2537">
            <v>0.25</v>
          </cell>
          <cell r="AF2537">
            <v>0.25</v>
          </cell>
          <cell r="AG2537">
            <v>0.25</v>
          </cell>
          <cell r="AH2537">
            <v>0.25</v>
          </cell>
          <cell r="AI2537">
            <v>0.25</v>
          </cell>
          <cell r="AJ2537">
            <v>0.25</v>
          </cell>
          <cell r="AK2537">
            <v>0.25</v>
          </cell>
          <cell r="AL2537">
            <v>0.25</v>
          </cell>
          <cell r="AM2537">
            <v>0.25</v>
          </cell>
          <cell r="AN2537">
            <v>0.25</v>
          </cell>
          <cell r="AO2537">
            <v>0.25</v>
          </cell>
          <cell r="AP2537">
            <v>0.25</v>
          </cell>
          <cell r="AQ2537">
            <v>0.25</v>
          </cell>
          <cell r="AR2537">
            <v>0.25</v>
          </cell>
          <cell r="AS2537">
            <v>0.25</v>
          </cell>
          <cell r="AT2537">
            <v>-0.04</v>
          </cell>
          <cell r="AU2537">
            <v>0.92</v>
          </cell>
          <cell r="AV2537">
            <v>20</v>
          </cell>
          <cell r="AZ2537">
            <v>0.25</v>
          </cell>
          <cell r="BA2537">
            <v>0.25</v>
          </cell>
        </row>
        <row r="2538">
          <cell r="A2538" t="str">
            <v>UNOPIU' SNC DI PADOAN NERIO</v>
          </cell>
          <cell r="D2538" t="str">
            <v>VIA MADONNA MARINA</v>
          </cell>
          <cell r="E2538" t="str">
            <v>30015</v>
          </cell>
          <cell r="F2538" t="str">
            <v>CHIOGGIA</v>
          </cell>
          <cell r="G2538" t="str">
            <v>VE</v>
          </cell>
          <cell r="H2538" t="str">
            <v>ITALIA</v>
          </cell>
          <cell r="M2538" t="str">
            <v>UFFICIO ACQUISTI</v>
          </cell>
          <cell r="N2538" t="str">
            <v>041 5548038</v>
          </cell>
          <cell r="R2538" t="str">
            <v>BONIFICO BANCARIO, ALLA DATA DELLA NOSTRA CONFERMA D'ORDINE</v>
          </cell>
          <cell r="X2538">
            <v>0.25</v>
          </cell>
          <cell r="Y2538">
            <v>-0.04</v>
          </cell>
          <cell r="AB2538">
            <v>0.25</v>
          </cell>
          <cell r="AC2538">
            <v>0.25</v>
          </cell>
          <cell r="AD2538">
            <v>0.25</v>
          </cell>
          <cell r="AE2538">
            <v>0.25</v>
          </cell>
          <cell r="AF2538">
            <v>0.25</v>
          </cell>
          <cell r="AG2538">
            <v>0.25</v>
          </cell>
          <cell r="AH2538">
            <v>0.25</v>
          </cell>
          <cell r="AI2538">
            <v>0.25</v>
          </cell>
          <cell r="AJ2538">
            <v>0.25</v>
          </cell>
          <cell r="AK2538">
            <v>0.25</v>
          </cell>
          <cell r="AL2538">
            <v>0.25</v>
          </cell>
          <cell r="AM2538">
            <v>0.25</v>
          </cell>
          <cell r="AN2538">
            <v>0.25</v>
          </cell>
          <cell r="AO2538">
            <v>0.25</v>
          </cell>
          <cell r="AP2538">
            <v>0.25</v>
          </cell>
          <cell r="AQ2538">
            <v>0.25</v>
          </cell>
          <cell r="AR2538">
            <v>0.25</v>
          </cell>
          <cell r="AS2538">
            <v>0.25</v>
          </cell>
          <cell r="AT2538">
            <v>-0.04</v>
          </cell>
          <cell r="AU2538">
            <v>0.92</v>
          </cell>
          <cell r="AV2538">
            <v>20</v>
          </cell>
          <cell r="AZ2538">
            <v>0.25</v>
          </cell>
          <cell r="BA2538">
            <v>0.25</v>
          </cell>
        </row>
        <row r="2539">
          <cell r="A2539" t="str">
            <v>USAI INFISSI SNC DI MASSIMO E PIER PAOLO USAI</v>
          </cell>
          <cell r="D2539" t="str">
            <v>VIA AVEGNO, 5</v>
          </cell>
          <cell r="E2539" t="str">
            <v>07029</v>
          </cell>
          <cell r="F2539" t="str">
            <v>TEMPIO PAUSANIA</v>
          </cell>
          <cell r="G2539" t="str">
            <v>SS</v>
          </cell>
          <cell r="H2539" t="str">
            <v>ITALIA</v>
          </cell>
          <cell r="M2539" t="str">
            <v>UFFICIO ACQUISTI</v>
          </cell>
          <cell r="N2539" t="str">
            <v>079 631887</v>
          </cell>
          <cell r="O2539" t="str">
            <v>329 7487202   339 453749</v>
          </cell>
          <cell r="R2539" t="str">
            <v>BONIFICO BANCARIO, ALLA DATA DELLA NOSTRA CONFERMA D'ORDINE</v>
          </cell>
          <cell r="X2539">
            <v>0.2</v>
          </cell>
          <cell r="Y2539">
            <v>-0.04</v>
          </cell>
          <cell r="AB2539">
            <v>0.2</v>
          </cell>
          <cell r="AC2539">
            <v>0.2</v>
          </cell>
          <cell r="AD2539">
            <v>0.2</v>
          </cell>
          <cell r="AE2539">
            <v>0.2</v>
          </cell>
          <cell r="AF2539">
            <v>0.2</v>
          </cell>
          <cell r="AG2539">
            <v>0.2</v>
          </cell>
          <cell r="AH2539">
            <v>0.2</v>
          </cell>
          <cell r="AI2539">
            <v>0.2</v>
          </cell>
          <cell r="AJ2539">
            <v>0.2</v>
          </cell>
          <cell r="AK2539">
            <v>0.2</v>
          </cell>
          <cell r="AL2539">
            <v>0.2</v>
          </cell>
          <cell r="AM2539">
            <v>0.2</v>
          </cell>
          <cell r="AN2539">
            <v>0.2</v>
          </cell>
          <cell r="AO2539">
            <v>0.2</v>
          </cell>
          <cell r="AP2539">
            <v>0.2</v>
          </cell>
          <cell r="AQ2539">
            <v>0.2</v>
          </cell>
          <cell r="AR2539">
            <v>0.2</v>
          </cell>
          <cell r="AS2539">
            <v>0.2</v>
          </cell>
          <cell r="AT2539">
            <v>-0.04</v>
          </cell>
          <cell r="AU2539">
            <v>0.92</v>
          </cell>
          <cell r="AV2539">
            <v>20</v>
          </cell>
          <cell r="AZ2539">
            <v>0.2</v>
          </cell>
          <cell r="BA2539">
            <v>0.2</v>
          </cell>
        </row>
        <row r="2540">
          <cell r="A2540" t="str">
            <v>V &amp; F s.n.c. VACANTI &amp; FAVARA</v>
          </cell>
          <cell r="D2540" t="str">
            <v>VIALE REGIONE SICILIANA, 3</v>
          </cell>
          <cell r="E2540">
            <v>96016</v>
          </cell>
          <cell r="F2540" t="str">
            <v>LENTINI</v>
          </cell>
          <cell r="G2540" t="str">
            <v>SR</v>
          </cell>
          <cell r="H2540" t="str">
            <v>ITALIA</v>
          </cell>
          <cell r="I2540" t="str">
            <v>00950310896</v>
          </cell>
          <cell r="J2540" t="str">
            <v>00950310896</v>
          </cell>
          <cell r="M2540" t="str">
            <v>UFFICIO ACQUISTI</v>
          </cell>
          <cell r="N2540" t="str">
            <v>095 901108</v>
          </cell>
          <cell r="O2540" t="str">
            <v>A. Vacanti 393 9624325- A.F.393 9628119</v>
          </cell>
          <cell r="R2540" t="str">
            <v>BONIFICO BANCARIO, ALLA DATA DELLA NOSTRA CONFERMA D'ORDINE</v>
          </cell>
          <cell r="X2540">
            <v>0.25</v>
          </cell>
          <cell r="Y2540">
            <v>-0.04</v>
          </cell>
          <cell r="AB2540">
            <v>0.25</v>
          </cell>
          <cell r="AC2540">
            <v>0.25</v>
          </cell>
          <cell r="AD2540">
            <v>0.25</v>
          </cell>
          <cell r="AE2540">
            <v>0.25</v>
          </cell>
          <cell r="AF2540">
            <v>0.25</v>
          </cell>
          <cell r="AG2540">
            <v>0.25</v>
          </cell>
          <cell r="AH2540">
            <v>0.25</v>
          </cell>
          <cell r="AI2540">
            <v>0.25</v>
          </cell>
          <cell r="AJ2540">
            <v>0.25</v>
          </cell>
          <cell r="AK2540">
            <v>0.25</v>
          </cell>
          <cell r="AL2540">
            <v>0.25</v>
          </cell>
          <cell r="AM2540">
            <v>0.25</v>
          </cell>
          <cell r="AN2540">
            <v>0.25</v>
          </cell>
          <cell r="AO2540">
            <v>0.25</v>
          </cell>
          <cell r="AP2540">
            <v>0.25</v>
          </cell>
          <cell r="AQ2540">
            <v>0.25</v>
          </cell>
          <cell r="AR2540">
            <v>0.25</v>
          </cell>
          <cell r="AS2540">
            <v>0.25</v>
          </cell>
          <cell r="AT2540">
            <v>-0.04</v>
          </cell>
          <cell r="AU2540">
            <v>0.92</v>
          </cell>
          <cell r="AV2540">
            <v>20</v>
          </cell>
          <cell r="AY2540" t="str">
            <v/>
          </cell>
          <cell r="AZ2540">
            <v>0.25</v>
          </cell>
          <cell r="BA2540">
            <v>0.25</v>
          </cell>
        </row>
        <row r="2541">
          <cell r="A2541" t="str">
            <v>V.F. INFISSI</v>
          </cell>
          <cell r="D2541" t="str">
            <v>VIA CAMPOBELLO, 87</v>
          </cell>
          <cell r="E2541" t="str">
            <v>91022</v>
          </cell>
          <cell r="F2541" t="str">
            <v>CASTELVETRANO</v>
          </cell>
          <cell r="G2541" t="str">
            <v>TP</v>
          </cell>
          <cell r="H2541" t="str">
            <v>ITALIA</v>
          </cell>
          <cell r="M2541" t="str">
            <v>UFFICIO ACQUISTI</v>
          </cell>
          <cell r="N2541" t="str">
            <v>0924 44546</v>
          </cell>
          <cell r="P2541" t="str">
            <v>vfinfissi@alice.it</v>
          </cell>
          <cell r="R2541" t="str">
            <v>BONIFICO BANCARIO, ALLA DATA DELLA NOSTRA CONFERMA D'ORDINE</v>
          </cell>
          <cell r="X2541">
            <v>0.25</v>
          </cell>
          <cell r="Y2541">
            <v>-0.04</v>
          </cell>
          <cell r="AB2541">
            <v>0.25</v>
          </cell>
          <cell r="AC2541">
            <v>0.25</v>
          </cell>
          <cell r="AD2541">
            <v>0.25</v>
          </cell>
          <cell r="AE2541">
            <v>0.25</v>
          </cell>
          <cell r="AF2541">
            <v>0.25</v>
          </cell>
          <cell r="AG2541">
            <v>0.25</v>
          </cell>
          <cell r="AH2541">
            <v>0.25</v>
          </cell>
          <cell r="AI2541">
            <v>0.25</v>
          </cell>
          <cell r="AJ2541">
            <v>0.25</v>
          </cell>
          <cell r="AK2541">
            <v>0.25</v>
          </cell>
          <cell r="AL2541">
            <v>0.25</v>
          </cell>
          <cell r="AM2541">
            <v>0.25</v>
          </cell>
          <cell r="AN2541">
            <v>0.25</v>
          </cell>
          <cell r="AO2541">
            <v>0.25</v>
          </cell>
          <cell r="AP2541">
            <v>0.25</v>
          </cell>
          <cell r="AQ2541">
            <v>0.25</v>
          </cell>
          <cell r="AR2541">
            <v>0.25</v>
          </cell>
          <cell r="AS2541">
            <v>0.25</v>
          </cell>
          <cell r="AT2541">
            <v>-0.04</v>
          </cell>
          <cell r="AU2541">
            <v>0.92</v>
          </cell>
          <cell r="AV2541">
            <v>20</v>
          </cell>
          <cell r="AZ2541">
            <v>0.25</v>
          </cell>
          <cell r="BA2541">
            <v>0.25</v>
          </cell>
        </row>
        <row r="2542">
          <cell r="A2542" t="str">
            <v>VABERSERRAMENTI SRL</v>
          </cell>
          <cell r="B2542" t="str">
            <v>HANNO IL NEGOZIO A VENEZIA</v>
          </cell>
          <cell r="D2542" t="str">
            <v>VIA PIALOI 4/C</v>
          </cell>
          <cell r="E2542" t="str">
            <v>30173</v>
          </cell>
          <cell r="F2542" t="str">
            <v>DESE</v>
          </cell>
          <cell r="G2542" t="str">
            <v>VE</v>
          </cell>
          <cell r="H2542" t="str">
            <v>ITALIA</v>
          </cell>
          <cell r="J2542" t="str">
            <v>04055890273</v>
          </cell>
          <cell r="K2542" t="str">
            <v>USAL8PV</v>
          </cell>
          <cell r="M2542" t="str">
            <v>UFFICIO ACQUISTI</v>
          </cell>
          <cell r="N2542" t="str">
            <v>041 5417020</v>
          </cell>
          <cell r="P2542" t="str">
            <v>info@vaberserramenti.com</v>
          </cell>
          <cell r="R2542" t="str">
            <v>BONIFICO BANCARIO, ALLA DATA DELLA NOSTRA CONFERMA D'ORDINE</v>
          </cell>
          <cell r="X2542">
            <v>0.25</v>
          </cell>
          <cell r="Y2542">
            <v>-0.04</v>
          </cell>
          <cell r="AB2542">
            <v>0.25</v>
          </cell>
          <cell r="AC2542">
            <v>0.25</v>
          </cell>
          <cell r="AD2542">
            <v>0.25</v>
          </cell>
          <cell r="AE2542">
            <v>0.25</v>
          </cell>
          <cell r="AF2542">
            <v>0.25</v>
          </cell>
          <cell r="AG2542">
            <v>0.25</v>
          </cell>
          <cell r="AH2542">
            <v>0.25</v>
          </cell>
          <cell r="AI2542">
            <v>0.25</v>
          </cell>
          <cell r="AJ2542">
            <v>0.25</v>
          </cell>
          <cell r="AK2542">
            <v>0.25</v>
          </cell>
          <cell r="AL2542">
            <v>0.25</v>
          </cell>
          <cell r="AM2542">
            <v>0.25</v>
          </cell>
          <cell r="AN2542">
            <v>0.25</v>
          </cell>
          <cell r="AO2542">
            <v>0.25</v>
          </cell>
          <cell r="AP2542">
            <v>0.25</v>
          </cell>
          <cell r="AQ2542">
            <v>0.25</v>
          </cell>
          <cell r="AR2542">
            <v>0.25</v>
          </cell>
          <cell r="AS2542">
            <v>0.25</v>
          </cell>
          <cell r="AT2542">
            <v>-0.04</v>
          </cell>
          <cell r="AU2542">
            <v>0.92</v>
          </cell>
          <cell r="AV2542">
            <v>20</v>
          </cell>
          <cell r="AZ2542">
            <v>0.25</v>
          </cell>
          <cell r="BA2542">
            <v>0.25</v>
          </cell>
        </row>
        <row r="2543">
          <cell r="A2543" t="str">
            <v>VACCA INFISSI</v>
          </cell>
          <cell r="D2543" t="str">
            <v>VIA ROMAGNA, 2</v>
          </cell>
          <cell r="E2543" t="str">
            <v>09010</v>
          </cell>
          <cell r="F2543" t="str">
            <v>SANTADI</v>
          </cell>
          <cell r="G2543" t="str">
            <v>SU</v>
          </cell>
          <cell r="H2543" t="str">
            <v>ITALIA</v>
          </cell>
          <cell r="M2543" t="str">
            <v>UFFICIO ACQUISTI</v>
          </cell>
          <cell r="N2543" t="str">
            <v>0781 955944</v>
          </cell>
          <cell r="O2543" t="str">
            <v>340 1212753</v>
          </cell>
          <cell r="P2543" t="str">
            <v>vaccainfissi@tiscali.it</v>
          </cell>
          <cell r="R2543" t="str">
            <v>BONIFICO BANCARIO, ALLA DATA DELLA NOSTRA CONFERMA D'ORDINE</v>
          </cell>
          <cell r="X2543">
            <v>0.15</v>
          </cell>
          <cell r="Y2543">
            <v>-0.04</v>
          </cell>
          <cell r="AB2543">
            <v>0.15</v>
          </cell>
          <cell r="AC2543">
            <v>0.15</v>
          </cell>
          <cell r="AD2543">
            <v>0.15</v>
          </cell>
          <cell r="AE2543">
            <v>0.15</v>
          </cell>
          <cell r="AF2543">
            <v>0.15</v>
          </cell>
          <cell r="AG2543">
            <v>0.15</v>
          </cell>
          <cell r="AH2543">
            <v>0.15</v>
          </cell>
          <cell r="AI2543">
            <v>0.15</v>
          </cell>
          <cell r="AJ2543">
            <v>0.15</v>
          </cell>
          <cell r="AK2543">
            <v>0.15</v>
          </cell>
          <cell r="AL2543">
            <v>0.15</v>
          </cell>
          <cell r="AM2543">
            <v>0.15</v>
          </cell>
          <cell r="AN2543">
            <v>0.15</v>
          </cell>
          <cell r="AO2543">
            <v>0.15</v>
          </cell>
          <cell r="AP2543">
            <v>0.15</v>
          </cell>
          <cell r="AQ2543">
            <v>0.15</v>
          </cell>
          <cell r="AR2543">
            <v>0.15</v>
          </cell>
          <cell r="AS2543">
            <v>0.15</v>
          </cell>
          <cell r="AT2543">
            <v>-0.04</v>
          </cell>
          <cell r="AU2543">
            <v>0.92</v>
          </cell>
          <cell r="AV2543">
            <v>20</v>
          </cell>
          <cell r="AZ2543">
            <v>0.15</v>
          </cell>
          <cell r="BA2543">
            <v>0.15</v>
          </cell>
        </row>
        <row r="2544">
          <cell r="A2544" t="str">
            <v>VACCHERO SAS DI VACCHERO E. E C.</v>
          </cell>
          <cell r="D2544" t="str">
            <v>VIA BUONARROTI, 2</v>
          </cell>
          <cell r="E2544">
            <v>10086</v>
          </cell>
          <cell r="F2544" t="str">
            <v>RIVAROLO CANAVESE</v>
          </cell>
          <cell r="G2544" t="str">
            <v>TO</v>
          </cell>
          <cell r="H2544" t="str">
            <v>ITALIA</v>
          </cell>
          <cell r="J2544" t="str">
            <v>04926970015</v>
          </cell>
          <cell r="K2544" t="str">
            <v>J6URRTW</v>
          </cell>
          <cell r="M2544" t="str">
            <v>UFFICIO ACQUISTI</v>
          </cell>
          <cell r="N2544" t="str">
            <v>0124 29240</v>
          </cell>
          <cell r="P2544" t="str">
            <v>info@vacchero.it</v>
          </cell>
          <cell r="R2544" t="str">
            <v>BONIFICO BANCARIO, ALLA DATA DELLA NOSTRA CONFERMA D'ORDINE</v>
          </cell>
          <cell r="X2544">
            <v>0.25</v>
          </cell>
          <cell r="Y2544">
            <v>-0.04</v>
          </cell>
          <cell r="AB2544">
            <v>0.25</v>
          </cell>
          <cell r="AC2544">
            <v>0.25</v>
          </cell>
          <cell r="AD2544">
            <v>0.25</v>
          </cell>
          <cell r="AE2544">
            <v>0.25</v>
          </cell>
          <cell r="AF2544">
            <v>0.25</v>
          </cell>
          <cell r="AG2544">
            <v>0.25</v>
          </cell>
          <cell r="AH2544">
            <v>0.25</v>
          </cell>
          <cell r="AI2544">
            <v>0.25</v>
          </cell>
          <cell r="AJ2544">
            <v>0.25</v>
          </cell>
          <cell r="AK2544">
            <v>0.25</v>
          </cell>
          <cell r="AL2544">
            <v>0.25</v>
          </cell>
          <cell r="AM2544">
            <v>0.25</v>
          </cell>
          <cell r="AN2544">
            <v>0.25</v>
          </cell>
          <cell r="AO2544">
            <v>0.25</v>
          </cell>
          <cell r="AP2544">
            <v>0.25</v>
          </cell>
          <cell r="AQ2544">
            <v>0.25</v>
          </cell>
          <cell r="AR2544">
            <v>0.25</v>
          </cell>
          <cell r="AS2544">
            <v>0.25</v>
          </cell>
          <cell r="AT2544">
            <v>-0.04</v>
          </cell>
          <cell r="AU2544">
            <v>0.92</v>
          </cell>
          <cell r="AV2544">
            <v>20</v>
          </cell>
          <cell r="AZ2544">
            <v>0.25</v>
          </cell>
          <cell r="BA2544">
            <v>0.25</v>
          </cell>
          <cell r="BF2544" t="str">
            <v>CLICK RAPID con carpenteria 18/11/2020</v>
          </cell>
        </row>
        <row r="2545">
          <cell r="A2545" t="str">
            <v>VAIROS SERRAMENTI SNC</v>
          </cell>
          <cell r="D2545" t="str">
            <v>VIA PISTE, 3A</v>
          </cell>
          <cell r="E2545">
            <v>10010</v>
          </cell>
          <cell r="F2545" t="str">
            <v>CAREMA</v>
          </cell>
          <cell r="G2545" t="str">
            <v>TO</v>
          </cell>
          <cell r="H2545" t="str">
            <v>ITALIA</v>
          </cell>
          <cell r="J2545" t="str">
            <v>08555480014</v>
          </cell>
          <cell r="K2545" t="str">
            <v>M5UXCR1</v>
          </cell>
          <cell r="M2545" t="str">
            <v>UFFICIO ACQUISTI</v>
          </cell>
          <cell r="N2545" t="str">
            <v>0125811325</v>
          </cell>
          <cell r="P2545" t="str">
            <v>info@vairosserramenti.it</v>
          </cell>
          <cell r="R2545" t="str">
            <v>BONIFICO BANCARIO, ALLA DATA DELLA NOSTRA CONFERMA D'ORDINE</v>
          </cell>
          <cell r="X2545">
            <v>0.25</v>
          </cell>
          <cell r="Y2545">
            <v>-0.04</v>
          </cell>
          <cell r="AB2545">
            <v>0.25</v>
          </cell>
          <cell r="AC2545">
            <v>0.25</v>
          </cell>
          <cell r="AD2545">
            <v>0.25</v>
          </cell>
          <cell r="AE2545">
            <v>0.25</v>
          </cell>
          <cell r="AF2545">
            <v>0.25</v>
          </cell>
          <cell r="AG2545">
            <v>0.25</v>
          </cell>
          <cell r="AH2545">
            <v>0.25</v>
          </cell>
          <cell r="AI2545">
            <v>0.25</v>
          </cell>
          <cell r="AJ2545">
            <v>0.25</v>
          </cell>
          <cell r="AK2545">
            <v>0.25</v>
          </cell>
          <cell r="AL2545">
            <v>0.25</v>
          </cell>
          <cell r="AM2545">
            <v>0.25</v>
          </cell>
          <cell r="AN2545">
            <v>0.25</v>
          </cell>
          <cell r="AO2545">
            <v>0.25</v>
          </cell>
          <cell r="AP2545">
            <v>0.25</v>
          </cell>
          <cell r="AQ2545">
            <v>0.25</v>
          </cell>
          <cell r="AR2545">
            <v>0.25</v>
          </cell>
          <cell r="AS2545">
            <v>0.25</v>
          </cell>
          <cell r="AT2545">
            <v>-0.04</v>
          </cell>
          <cell r="AU2545">
            <v>0.92</v>
          </cell>
          <cell r="AV2545">
            <v>20</v>
          </cell>
          <cell r="AZ2545">
            <v>0.25</v>
          </cell>
          <cell r="BA2545">
            <v>0.25</v>
          </cell>
          <cell r="BF2545" t="str">
            <v>CLICK RAPID con carpenteria 01/10/2020</v>
          </cell>
        </row>
        <row r="2546">
          <cell r="A2546" t="str">
            <v>VALFERR</v>
          </cell>
          <cell r="D2546" t="str">
            <v>VIA G. GALILEI, 2</v>
          </cell>
          <cell r="E2546" t="str">
            <v>37029</v>
          </cell>
          <cell r="F2546" t="str">
            <v>SAN PIETRO IN CARIANO</v>
          </cell>
          <cell r="G2546" t="str">
            <v>VR</v>
          </cell>
          <cell r="H2546" t="str">
            <v>ITALIA</v>
          </cell>
          <cell r="M2546" t="str">
            <v>UFFICIO ACQUISTI</v>
          </cell>
          <cell r="N2546" t="str">
            <v>045 6800112</v>
          </cell>
          <cell r="P2546" t="str">
            <v>valferrferramenta@libero.it</v>
          </cell>
          <cell r="R2546" t="str">
            <v>BONIFICO BANCARIO, ALLA DATA DELLA NOSTRA CONFERMA D'ORDINE</v>
          </cell>
          <cell r="X2546">
            <v>0.25</v>
          </cell>
          <cell r="Y2546">
            <v>-0.04</v>
          </cell>
          <cell r="AB2546">
            <v>0.25</v>
          </cell>
          <cell r="AC2546">
            <v>0.25</v>
          </cell>
          <cell r="AD2546">
            <v>0.25</v>
          </cell>
          <cell r="AE2546">
            <v>0.25</v>
          </cell>
          <cell r="AF2546">
            <v>0.25</v>
          </cell>
          <cell r="AG2546">
            <v>0.25</v>
          </cell>
          <cell r="AH2546">
            <v>0.25</v>
          </cell>
          <cell r="AI2546">
            <v>0.25</v>
          </cell>
          <cell r="AJ2546">
            <v>0.25</v>
          </cell>
          <cell r="AK2546">
            <v>0.25</v>
          </cell>
          <cell r="AL2546">
            <v>0.25</v>
          </cell>
          <cell r="AM2546">
            <v>0.25</v>
          </cell>
          <cell r="AN2546">
            <v>0.25</v>
          </cell>
          <cell r="AO2546">
            <v>0.25</v>
          </cell>
          <cell r="AP2546">
            <v>0.25</v>
          </cell>
          <cell r="AQ2546">
            <v>0.25</v>
          </cell>
          <cell r="AR2546">
            <v>0.25</v>
          </cell>
          <cell r="AS2546">
            <v>0.25</v>
          </cell>
          <cell r="AT2546">
            <v>-0.04</v>
          </cell>
          <cell r="AU2546">
            <v>0.92</v>
          </cell>
          <cell r="AV2546">
            <v>20</v>
          </cell>
          <cell r="AZ2546">
            <v>0.25</v>
          </cell>
          <cell r="BA2546">
            <v>0.25</v>
          </cell>
        </row>
        <row r="2547">
          <cell r="A2547" t="str">
            <v>VALLERI BEPPINO</v>
          </cell>
          <cell r="D2547" t="str">
            <v>VIA FAUSTA, 246</v>
          </cell>
          <cell r="E2547" t="str">
            <v>30013</v>
          </cell>
          <cell r="F2547" t="str">
            <v>CAVALLINO-TREPORTI</v>
          </cell>
          <cell r="G2547" t="str">
            <v>VE</v>
          </cell>
          <cell r="H2547" t="str">
            <v>ITALIA</v>
          </cell>
          <cell r="I2547" t="str">
            <v>VLLBPN62S12L736T</v>
          </cell>
          <cell r="J2547" t="str">
            <v>03863880278</v>
          </cell>
          <cell r="K2547" t="str">
            <v>0000000</v>
          </cell>
          <cell r="M2547" t="str">
            <v>UFFICIO ACQUISTI</v>
          </cell>
          <cell r="O2547" t="str">
            <v>328 3249025</v>
          </cell>
          <cell r="P2547" t="str">
            <v>beppo-@hotmail.com</v>
          </cell>
          <cell r="R2547" t="str">
            <v>BONIFICO BANCARIO, ALLA DATA DELLA NOSTRA CONFERMA D'ORDINE</v>
          </cell>
          <cell r="X2547">
            <v>0.15</v>
          </cell>
          <cell r="Y2547">
            <v>-0.04</v>
          </cell>
          <cell r="AB2547">
            <v>0.15</v>
          </cell>
          <cell r="AC2547">
            <v>0.15</v>
          </cell>
          <cell r="AD2547">
            <v>0.15</v>
          </cell>
          <cell r="AE2547">
            <v>0.15</v>
          </cell>
          <cell r="AF2547">
            <v>0.15</v>
          </cell>
          <cell r="AG2547">
            <v>0.15</v>
          </cell>
          <cell r="AH2547">
            <v>0.15</v>
          </cell>
          <cell r="AI2547">
            <v>0.15</v>
          </cell>
          <cell r="AJ2547">
            <v>0.15</v>
          </cell>
          <cell r="AK2547">
            <v>0.15</v>
          </cell>
          <cell r="AL2547">
            <v>0.15</v>
          </cell>
          <cell r="AM2547">
            <v>0.15</v>
          </cell>
          <cell r="AN2547">
            <v>0.15</v>
          </cell>
          <cell r="AO2547">
            <v>0.15</v>
          </cell>
          <cell r="AP2547">
            <v>0.15</v>
          </cell>
          <cell r="AQ2547">
            <v>0.15</v>
          </cell>
          <cell r="AR2547">
            <v>0.15</v>
          </cell>
          <cell r="AS2547">
            <v>0.15</v>
          </cell>
          <cell r="AT2547">
            <v>-0.04</v>
          </cell>
          <cell r="AU2547">
            <v>0.92</v>
          </cell>
          <cell r="AV2547">
            <v>20</v>
          </cell>
          <cell r="AZ2547">
            <v>0.15</v>
          </cell>
          <cell r="BA2547">
            <v>0.15</v>
          </cell>
        </row>
        <row r="2548">
          <cell r="A2548" t="str">
            <v>VALPIANI INFISSI</v>
          </cell>
          <cell r="B2548" t="str">
            <v>NON E' INTERESSATO</v>
          </cell>
          <cell r="D2548" t="str">
            <v>VIALE DELL'INDUSTRIA, 5</v>
          </cell>
          <cell r="E2548" t="str">
            <v>47122</v>
          </cell>
          <cell r="F2548" t="str">
            <v>FORLI</v>
          </cell>
          <cell r="G2548" t="str">
            <v>FC</v>
          </cell>
          <cell r="H2548" t="str">
            <v>ITALIA</v>
          </cell>
          <cell r="I2548" t="str">
            <v>00403090400</v>
          </cell>
          <cell r="J2548" t="str">
            <v>00403090400</v>
          </cell>
          <cell r="M2548" t="str">
            <v>UFFICIO ACQUISTI</v>
          </cell>
          <cell r="N2548" t="str">
            <v>0543 720695</v>
          </cell>
          <cell r="P2548" t="str">
            <v>amministrazione@valpianiinfissi.com</v>
          </cell>
          <cell r="R2548" t="str">
            <v>BONIFICO BANCARIO, ALLA DATA DELLA NOSTRA CONFERMA D'ORDINE</v>
          </cell>
          <cell r="X2548">
            <v>0</v>
          </cell>
          <cell r="Y2548">
            <v>-0.04</v>
          </cell>
          <cell r="AB2548">
            <v>0</v>
          </cell>
          <cell r="AC2548">
            <v>0</v>
          </cell>
          <cell r="AD2548">
            <v>0</v>
          </cell>
          <cell r="AE2548">
            <v>0</v>
          </cell>
          <cell r="AF2548">
            <v>0</v>
          </cell>
          <cell r="AG2548">
            <v>0</v>
          </cell>
          <cell r="AH2548">
            <v>0</v>
          </cell>
          <cell r="AI2548">
            <v>0</v>
          </cell>
          <cell r="AJ2548">
            <v>0</v>
          </cell>
          <cell r="AK2548">
            <v>0</v>
          </cell>
          <cell r="AL2548">
            <v>0</v>
          </cell>
          <cell r="AM2548">
            <v>0</v>
          </cell>
          <cell r="AN2548">
            <v>0</v>
          </cell>
          <cell r="AO2548">
            <v>0</v>
          </cell>
          <cell r="AP2548">
            <v>0</v>
          </cell>
          <cell r="AQ2548">
            <v>0</v>
          </cell>
          <cell r="AR2548">
            <v>0</v>
          </cell>
          <cell r="AS2548">
            <v>0</v>
          </cell>
          <cell r="AT2548">
            <v>-0.04</v>
          </cell>
          <cell r="AU2548">
            <v>0.92</v>
          </cell>
          <cell r="AV2548">
            <v>20</v>
          </cell>
          <cell r="AZ2548">
            <v>0</v>
          </cell>
          <cell r="BA2548">
            <v>0</v>
          </cell>
        </row>
        <row r="2549">
          <cell r="A2549" t="str">
            <v>VALSECCHI SERRAMMENTI</v>
          </cell>
          <cell r="B2549" t="str">
            <v>QUESTO!</v>
          </cell>
          <cell r="D2549" t="str">
            <v>C.SO EUROPA, 24</v>
          </cell>
          <cell r="E2549">
            <v>23801</v>
          </cell>
          <cell r="F2549" t="str">
            <v>CALOLZICORTE</v>
          </cell>
          <cell r="G2549" t="str">
            <v>LC</v>
          </cell>
          <cell r="H2549" t="str">
            <v>ITALIA</v>
          </cell>
          <cell r="I2549" t="str">
            <v>VLSRT85A18E507U</v>
          </cell>
          <cell r="J2549" t="str">
            <v>03130570132</v>
          </cell>
          <cell r="M2549" t="str">
            <v>UFFICIO ACQUISTI</v>
          </cell>
          <cell r="N2549" t="str">
            <v>0341 643109</v>
          </cell>
          <cell r="O2549" t="str">
            <v>Alberto 349 8328801 Giovanni 335 5628866</v>
          </cell>
          <cell r="P2549" t="str">
            <v>valsecchiserramenti@hotmail.it</v>
          </cell>
          <cell r="R2549" t="str">
            <v>BONIFICO BANCARIO, ALLA DATA DELLA NOSTRA CONFERMA D'ORDINE</v>
          </cell>
          <cell r="X2549">
            <v>0.25</v>
          </cell>
          <cell r="Y2549">
            <v>-0.04</v>
          </cell>
          <cell r="AB2549">
            <v>0.25</v>
          </cell>
          <cell r="AC2549">
            <v>0.25</v>
          </cell>
          <cell r="AD2549">
            <v>0.25</v>
          </cell>
          <cell r="AE2549">
            <v>0.25</v>
          </cell>
          <cell r="AF2549">
            <v>0.25</v>
          </cell>
          <cell r="AG2549">
            <v>0.25</v>
          </cell>
          <cell r="AH2549">
            <v>0.25</v>
          </cell>
          <cell r="AI2549">
            <v>0.25</v>
          </cell>
          <cell r="AJ2549">
            <v>0.25</v>
          </cell>
          <cell r="AK2549">
            <v>0.25</v>
          </cell>
          <cell r="AL2549">
            <v>0.25</v>
          </cell>
          <cell r="AM2549">
            <v>0.25</v>
          </cell>
          <cell r="AN2549">
            <v>0.25</v>
          </cell>
          <cell r="AO2549">
            <v>0.25</v>
          </cell>
          <cell r="AP2549">
            <v>0.25</v>
          </cell>
          <cell r="AQ2549">
            <v>0.25</v>
          </cell>
          <cell r="AR2549">
            <v>0.25</v>
          </cell>
          <cell r="AS2549">
            <v>0.25</v>
          </cell>
          <cell r="AT2549">
            <v>-0.04</v>
          </cell>
          <cell r="AU2549">
            <v>0.92</v>
          </cell>
          <cell r="AV2549">
            <v>20</v>
          </cell>
          <cell r="AZ2549">
            <v>0.25</v>
          </cell>
          <cell r="BA2549">
            <v>0.25</v>
          </cell>
        </row>
        <row r="2550">
          <cell r="A2550" t="str">
            <v>VANTAGGIO SRL</v>
          </cell>
          <cell r="B2550" t="str">
            <v>ABITA A FOLIGNO</v>
          </cell>
          <cell r="D2550" t="str">
            <v>VIA SANDRO PENNA, 39</v>
          </cell>
          <cell r="E2550" t="str">
            <v>06132</v>
          </cell>
          <cell r="F2550" t="str">
            <v>PERUGIA</v>
          </cell>
          <cell r="G2550" t="str">
            <v>PG</v>
          </cell>
          <cell r="H2550" t="str">
            <v>ITALIA</v>
          </cell>
          <cell r="J2550" t="str">
            <v>03228550541</v>
          </cell>
          <cell r="M2550" t="str">
            <v>UFFICIO ACQUISTI</v>
          </cell>
          <cell r="N2550" t="str">
            <v>0755 271789</v>
          </cell>
          <cell r="R2550" t="str">
            <v>BONIFICO BANCARIO, ALLA DATA DELLA NOSTRA CONFERMA D'ORDINE</v>
          </cell>
          <cell r="Y2550">
            <v>-0.04</v>
          </cell>
          <cell r="AT2550">
            <v>-0.04</v>
          </cell>
          <cell r="AV2550">
            <v>20</v>
          </cell>
          <cell r="AZ2550">
            <v>0</v>
          </cell>
          <cell r="BA2550">
            <v>0</v>
          </cell>
        </row>
        <row r="2551">
          <cell r="A2551" t="str">
            <v xml:space="preserve">VAONA PAOLO </v>
          </cell>
          <cell r="D2551" t="str">
            <v>VIA A.GRANDI, 4 ZONA IND.</v>
          </cell>
          <cell r="E2551">
            <v>46045</v>
          </cell>
          <cell r="F2551" t="str">
            <v>MARMIROLO</v>
          </cell>
          <cell r="G2551" t="str">
            <v>MN</v>
          </cell>
          <cell r="H2551" t="str">
            <v>ITALIA</v>
          </cell>
          <cell r="I2551" t="str">
            <v>VNAPLA50L21H604P</v>
          </cell>
          <cell r="J2551" t="str">
            <v xml:space="preserve"> 00436880207</v>
          </cell>
          <cell r="M2551" t="str">
            <v>UFFICIO ACQUISTI</v>
          </cell>
          <cell r="R2551" t="str">
            <v>BONIFICO BANCARIO, ALLA DATA DELLA NOSTRA CONFERMA D'ORDINE</v>
          </cell>
          <cell r="X2551">
            <v>0.25</v>
          </cell>
          <cell r="Y2551">
            <v>-0.04</v>
          </cell>
          <cell r="AB2551">
            <v>0.25</v>
          </cell>
          <cell r="AC2551">
            <v>0.25</v>
          </cell>
          <cell r="AD2551">
            <v>0.25</v>
          </cell>
          <cell r="AE2551">
            <v>0.25</v>
          </cell>
          <cell r="AF2551">
            <v>0.25</v>
          </cell>
          <cell r="AG2551">
            <v>0.25</v>
          </cell>
          <cell r="AH2551">
            <v>0.25</v>
          </cell>
          <cell r="AI2551">
            <v>0.25</v>
          </cell>
          <cell r="AJ2551">
            <v>0.25</v>
          </cell>
          <cell r="AK2551">
            <v>0.25</v>
          </cell>
          <cell r="AL2551">
            <v>0.25</v>
          </cell>
          <cell r="AM2551">
            <v>0.25</v>
          </cell>
          <cell r="AN2551">
            <v>0.25</v>
          </cell>
          <cell r="AO2551">
            <v>0.25</v>
          </cell>
          <cell r="AP2551">
            <v>0.25</v>
          </cell>
          <cell r="AQ2551">
            <v>0.25</v>
          </cell>
          <cell r="AR2551">
            <v>0.25</v>
          </cell>
          <cell r="AS2551">
            <v>0.25</v>
          </cell>
          <cell r="AT2551">
            <v>-0.04</v>
          </cell>
          <cell r="AU2551">
            <v>0.92</v>
          </cell>
          <cell r="AV2551">
            <v>20</v>
          </cell>
          <cell r="AZ2551">
            <v>0.25</v>
          </cell>
          <cell r="BA2551">
            <v>0.25</v>
          </cell>
        </row>
        <row r="2552">
          <cell r="A2552" t="str">
            <v>VARESINA ACCESSORI SRL</v>
          </cell>
          <cell r="B2552" t="str">
            <v>SIG. DELLABONA</v>
          </cell>
          <cell r="D2552" t="str">
            <v>VIA 2 GIUGNO, 6</v>
          </cell>
          <cell r="E2552">
            <v>21022</v>
          </cell>
          <cell r="F2552" t="str">
            <v>AZZATE</v>
          </cell>
          <cell r="G2552" t="str">
            <v>VA</v>
          </cell>
          <cell r="H2552" t="str">
            <v>ITALIA</v>
          </cell>
          <cell r="M2552" t="str">
            <v>UFFICIO ACQUISTI</v>
          </cell>
          <cell r="N2552" t="str">
            <v>0332 890802</v>
          </cell>
          <cell r="P2552" t="str">
            <v>vendite@varesinaccessori.it</v>
          </cell>
          <cell r="R2552" t="str">
            <v>BONIFICO BANCARIO, ALLA DATA DELLA NOSTRA CONFERMA D'ORDINE</v>
          </cell>
          <cell r="X2552">
            <v>0.25</v>
          </cell>
          <cell r="Y2552">
            <v>-0.04</v>
          </cell>
          <cell r="AB2552">
            <v>0.25</v>
          </cell>
          <cell r="AC2552">
            <v>0.25</v>
          </cell>
          <cell r="AD2552">
            <v>0.25</v>
          </cell>
          <cell r="AE2552">
            <v>0.25</v>
          </cell>
          <cell r="AF2552">
            <v>0.25</v>
          </cell>
          <cell r="AG2552">
            <v>0.25</v>
          </cell>
          <cell r="AH2552">
            <v>0.25</v>
          </cell>
          <cell r="AI2552">
            <v>0.25</v>
          </cell>
          <cell r="AJ2552">
            <v>0.25</v>
          </cell>
          <cell r="AK2552">
            <v>0.25</v>
          </cell>
          <cell r="AL2552">
            <v>0.25</v>
          </cell>
          <cell r="AM2552">
            <v>0.25</v>
          </cell>
          <cell r="AN2552">
            <v>0.25</v>
          </cell>
          <cell r="AO2552">
            <v>0.25</v>
          </cell>
          <cell r="AP2552">
            <v>0.25</v>
          </cell>
          <cell r="AQ2552">
            <v>0.25</v>
          </cell>
          <cell r="AR2552">
            <v>0.25</v>
          </cell>
          <cell r="AS2552">
            <v>0.25</v>
          </cell>
          <cell r="AT2552">
            <v>-0.04</v>
          </cell>
          <cell r="AU2552">
            <v>0.92</v>
          </cell>
          <cell r="AV2552">
            <v>20</v>
          </cell>
          <cell r="AZ2552">
            <v>0.25</v>
          </cell>
          <cell r="BA2552">
            <v>0.25</v>
          </cell>
        </row>
        <row r="2553">
          <cell r="A2553" t="str">
            <v>VASTOPLAST</v>
          </cell>
          <cell r="B2553" t="str">
            <v>DAVIDE</v>
          </cell>
          <cell r="D2553" t="str">
            <v>VIA LUCIANO LAMA 7</v>
          </cell>
          <cell r="E2553" t="str">
            <v>66054</v>
          </cell>
          <cell r="F2553" t="str">
            <v>VASTO</v>
          </cell>
          <cell r="G2553" t="str">
            <v>CH</v>
          </cell>
          <cell r="H2553" t="str">
            <v>ITALIA</v>
          </cell>
          <cell r="J2553" t="str">
            <v>02186310690</v>
          </cell>
          <cell r="M2553" t="str">
            <v>UFFICIO ACQUISTI</v>
          </cell>
          <cell r="N2553" t="str">
            <v>0873 311008</v>
          </cell>
          <cell r="P2553" t="str">
            <v>vastoplast@gmail.com</v>
          </cell>
          <cell r="R2553" t="str">
            <v>BONIFICO BANCARIO, ALLA DATA DELLA NOSTRA CONFERMA D'ORDINE</v>
          </cell>
          <cell r="X2553">
            <v>0.25</v>
          </cell>
          <cell r="Y2553">
            <v>-0.04</v>
          </cell>
          <cell r="AB2553">
            <v>0.25</v>
          </cell>
          <cell r="AC2553">
            <v>0.25</v>
          </cell>
          <cell r="AD2553">
            <v>0.25</v>
          </cell>
          <cell r="AE2553">
            <v>0.25</v>
          </cell>
          <cell r="AF2553">
            <v>0.25</v>
          </cell>
          <cell r="AG2553">
            <v>0.25</v>
          </cell>
          <cell r="AH2553">
            <v>0.25</v>
          </cell>
          <cell r="AI2553">
            <v>0.25</v>
          </cell>
          <cell r="AJ2553">
            <v>0.25</v>
          </cell>
          <cell r="AK2553">
            <v>0.25</v>
          </cell>
          <cell r="AL2553">
            <v>0.25</v>
          </cell>
          <cell r="AM2553">
            <v>0.25</v>
          </cell>
          <cell r="AN2553">
            <v>0.25</v>
          </cell>
          <cell r="AO2553">
            <v>0.25</v>
          </cell>
          <cell r="AP2553">
            <v>0.25</v>
          </cell>
          <cell r="AQ2553">
            <v>0.25</v>
          </cell>
          <cell r="AR2553">
            <v>0.25</v>
          </cell>
          <cell r="AS2553">
            <v>0.25</v>
          </cell>
          <cell r="AT2553">
            <v>-0.04</v>
          </cell>
          <cell r="AU2553">
            <v>0.92</v>
          </cell>
          <cell r="AV2553">
            <v>20</v>
          </cell>
          <cell r="AZ2553">
            <v>0.25</v>
          </cell>
          <cell r="BA2553">
            <v>0.25</v>
          </cell>
        </row>
        <row r="2554">
          <cell r="A2554" t="str">
            <v>VATRI ERMES</v>
          </cell>
          <cell r="D2554" t="str">
            <v>VIA G. B. CANDOTTI 60</v>
          </cell>
          <cell r="E2554" t="str">
            <v>33039</v>
          </cell>
          <cell r="F2554" t="str">
            <v>SEDEGLIANO</v>
          </cell>
          <cell r="G2554" t="str">
            <v>UD</v>
          </cell>
          <cell r="H2554" t="str">
            <v>ITALIA</v>
          </cell>
          <cell r="J2554" t="str">
            <v>00190760306</v>
          </cell>
          <cell r="M2554" t="str">
            <v>UFFICIO ACQUISTI</v>
          </cell>
          <cell r="N2554" t="str">
            <v>0432 916146</v>
          </cell>
          <cell r="P2554" t="str">
            <v>ervatri@libero.it</v>
          </cell>
          <cell r="R2554" t="str">
            <v>BONIFICO BANCARIO, ALLA DATA DELLA NOSTRA CONFERMA D'ORDINE</v>
          </cell>
          <cell r="X2554">
            <v>0.25</v>
          </cell>
          <cell r="Y2554">
            <v>-0.04</v>
          </cell>
          <cell r="AB2554">
            <v>0.25</v>
          </cell>
          <cell r="AC2554">
            <v>0.25</v>
          </cell>
          <cell r="AD2554">
            <v>0.25</v>
          </cell>
          <cell r="AE2554">
            <v>0.25</v>
          </cell>
          <cell r="AF2554">
            <v>0.25</v>
          </cell>
          <cell r="AG2554">
            <v>0.25</v>
          </cell>
          <cell r="AH2554">
            <v>0.25</v>
          </cell>
          <cell r="AI2554">
            <v>0.25</v>
          </cell>
          <cell r="AJ2554">
            <v>0.25</v>
          </cell>
          <cell r="AK2554">
            <v>0.25</v>
          </cell>
          <cell r="AL2554">
            <v>0.25</v>
          </cell>
          <cell r="AM2554">
            <v>0.25</v>
          </cell>
          <cell r="AN2554">
            <v>0.25</v>
          </cell>
          <cell r="AO2554">
            <v>0.25</v>
          </cell>
          <cell r="AP2554">
            <v>0.25</v>
          </cell>
          <cell r="AQ2554">
            <v>0.25</v>
          </cell>
          <cell r="AR2554">
            <v>0.25</v>
          </cell>
          <cell r="AS2554">
            <v>0.25</v>
          </cell>
          <cell r="AT2554">
            <v>-0.04</v>
          </cell>
          <cell r="AU2554">
            <v>0.92</v>
          </cell>
          <cell r="AV2554">
            <v>20</v>
          </cell>
          <cell r="AZ2554">
            <v>0.25</v>
          </cell>
          <cell r="BA2554">
            <v>0.25</v>
          </cell>
        </row>
        <row r="2555">
          <cell r="A2555" t="str">
            <v>VECCHI SILVANO &amp; C. S.A.S.</v>
          </cell>
          <cell r="D2555" t="str">
            <v xml:space="preserve">VIA CONTARELLA, 15 </v>
          </cell>
          <cell r="E2555" t="str">
            <v>42019</v>
          </cell>
          <cell r="F2555" t="str">
            <v>SCANDIANO</v>
          </cell>
          <cell r="G2555" t="str">
            <v>RE</v>
          </cell>
          <cell r="H2555" t="str">
            <v>ITALIA</v>
          </cell>
          <cell r="I2555" t="str">
            <v>00168160356</v>
          </cell>
          <cell r="J2555" t="str">
            <v>00168160356</v>
          </cell>
          <cell r="M2555" t="str">
            <v>UFFICIO ACQUISTI</v>
          </cell>
          <cell r="N2555" t="str">
            <v>0522 856333</v>
          </cell>
          <cell r="R2555" t="str">
            <v>BONIFICO BANCARIO, ALLA DATA DELLA NOSTRA CONFERMA D'ORDINE</v>
          </cell>
          <cell r="X2555">
            <v>0.25</v>
          </cell>
          <cell r="Y2555">
            <v>-0.04</v>
          </cell>
          <cell r="AB2555">
            <v>0.25</v>
          </cell>
          <cell r="AC2555">
            <v>0.25</v>
          </cell>
          <cell r="AD2555">
            <v>0.25</v>
          </cell>
          <cell r="AE2555">
            <v>0.25</v>
          </cell>
          <cell r="AF2555">
            <v>0.25</v>
          </cell>
          <cell r="AG2555">
            <v>0.25</v>
          </cell>
          <cell r="AH2555">
            <v>0.25</v>
          </cell>
          <cell r="AI2555">
            <v>0.25</v>
          </cell>
          <cell r="AJ2555">
            <v>0.25</v>
          </cell>
          <cell r="AK2555">
            <v>0.25</v>
          </cell>
          <cell r="AL2555">
            <v>0.25</v>
          </cell>
          <cell r="AM2555">
            <v>0.25</v>
          </cell>
          <cell r="AN2555">
            <v>0.25</v>
          </cell>
          <cell r="AO2555">
            <v>0.25</v>
          </cell>
          <cell r="AP2555">
            <v>0.25</v>
          </cell>
          <cell r="AQ2555">
            <v>0.25</v>
          </cell>
          <cell r="AR2555">
            <v>0.25</v>
          </cell>
          <cell r="AS2555">
            <v>0.25</v>
          </cell>
          <cell r="AT2555">
            <v>-0.04</v>
          </cell>
          <cell r="AU2555">
            <v>0.92</v>
          </cell>
          <cell r="AV2555">
            <v>20</v>
          </cell>
          <cell r="AZ2555">
            <v>0.25</v>
          </cell>
          <cell r="BA2555">
            <v>0.25</v>
          </cell>
        </row>
        <row r="2556">
          <cell r="A2556" t="str">
            <v>VEGA S.A.S.</v>
          </cell>
          <cell r="D2556" t="str">
            <v>VIA TIONE, 31</v>
          </cell>
          <cell r="E2556">
            <v>37010</v>
          </cell>
          <cell r="F2556" t="str">
            <v>PASTREGNO VERONA</v>
          </cell>
          <cell r="G2556" t="str">
            <v>VR</v>
          </cell>
          <cell r="H2556" t="str">
            <v>ITALIA</v>
          </cell>
          <cell r="I2556" t="str">
            <v>02965720234</v>
          </cell>
          <cell r="J2556" t="str">
            <v>02965720234</v>
          </cell>
          <cell r="M2556" t="str">
            <v>UFFICIO ACQUISTI</v>
          </cell>
          <cell r="N2556" t="str">
            <v>045 6770320</v>
          </cell>
          <cell r="P2556" t="str">
            <v>info@vegaserramenti.it</v>
          </cell>
          <cell r="R2556" t="str">
            <v>BONIFICO BANCARIO, ALLA DATA DELLA NOSTRA CONFERMA D'ORDINE</v>
          </cell>
          <cell r="X2556">
            <v>0.25</v>
          </cell>
          <cell r="Y2556">
            <v>-0.04</v>
          </cell>
          <cell r="AB2556">
            <v>0.25</v>
          </cell>
          <cell r="AC2556">
            <v>0.25</v>
          </cell>
          <cell r="AD2556">
            <v>0.25</v>
          </cell>
          <cell r="AE2556">
            <v>0.25</v>
          </cell>
          <cell r="AF2556">
            <v>0.25</v>
          </cell>
          <cell r="AG2556">
            <v>0.25</v>
          </cell>
          <cell r="AH2556">
            <v>0.25</v>
          </cell>
          <cell r="AI2556">
            <v>0.25</v>
          </cell>
          <cell r="AJ2556">
            <v>0.25</v>
          </cell>
          <cell r="AK2556">
            <v>0.25</v>
          </cell>
          <cell r="AL2556">
            <v>0.25</v>
          </cell>
          <cell r="AM2556">
            <v>0.25</v>
          </cell>
          <cell r="AN2556">
            <v>0.25</v>
          </cell>
          <cell r="AO2556">
            <v>0.25</v>
          </cell>
          <cell r="AP2556">
            <v>0.25</v>
          </cell>
          <cell r="AQ2556">
            <v>0.25</v>
          </cell>
          <cell r="AR2556">
            <v>0.25</v>
          </cell>
          <cell r="AS2556">
            <v>0.25</v>
          </cell>
          <cell r="AT2556">
            <v>-0.04</v>
          </cell>
          <cell r="AU2556">
            <v>0.92</v>
          </cell>
          <cell r="AV2556">
            <v>20</v>
          </cell>
          <cell r="AZ2556">
            <v>0.25</v>
          </cell>
          <cell r="BA2556">
            <v>0.25</v>
          </cell>
        </row>
        <row r="2557">
          <cell r="A2557" t="str">
            <v>VENETA AVVOLGIBILI GRIGOLETTO</v>
          </cell>
          <cell r="B2557" t="str">
            <v>BUONO</v>
          </cell>
          <cell r="D2557" t="str">
            <v>VIA L.GAUDENZIO, 19</v>
          </cell>
          <cell r="E2557">
            <v>35026</v>
          </cell>
          <cell r="F2557" t="str">
            <v>CONSELVE</v>
          </cell>
          <cell r="G2557" t="str">
            <v>PD</v>
          </cell>
          <cell r="H2557" t="str">
            <v>ITALIA</v>
          </cell>
          <cell r="M2557" t="str">
            <v>UFFICIO ACQUISTI</v>
          </cell>
          <cell r="N2557" t="str">
            <v>0495 384362</v>
          </cell>
          <cell r="P2557" t="str">
            <v>venavv@tin.it</v>
          </cell>
          <cell r="R2557" t="str">
            <v>BONIFICO BANCARIO, ALLA DATA DELLA NOSTRA CONFERMA D'ORDINE</v>
          </cell>
          <cell r="X2557">
            <v>0.25</v>
          </cell>
          <cell r="Y2557">
            <v>-0.04</v>
          </cell>
          <cell r="AB2557">
            <v>0.25</v>
          </cell>
          <cell r="AC2557">
            <v>0.25</v>
          </cell>
          <cell r="AD2557">
            <v>0.25</v>
          </cell>
          <cell r="AE2557">
            <v>0.25</v>
          </cell>
          <cell r="AF2557">
            <v>0.25</v>
          </cell>
          <cell r="AG2557">
            <v>0.25</v>
          </cell>
          <cell r="AH2557">
            <v>0.25</v>
          </cell>
          <cell r="AI2557">
            <v>0.25</v>
          </cell>
          <cell r="AJ2557">
            <v>0.25</v>
          </cell>
          <cell r="AK2557">
            <v>0.25</v>
          </cell>
          <cell r="AL2557">
            <v>0.25</v>
          </cell>
          <cell r="AM2557">
            <v>0.25</v>
          </cell>
          <cell r="AN2557">
            <v>0.25</v>
          </cell>
          <cell r="AO2557">
            <v>0.25</v>
          </cell>
          <cell r="AP2557">
            <v>0.25</v>
          </cell>
          <cell r="AQ2557">
            <v>0.25</v>
          </cell>
          <cell r="AR2557">
            <v>0.25</v>
          </cell>
          <cell r="AS2557">
            <v>0.25</v>
          </cell>
          <cell r="AT2557">
            <v>-0.04</v>
          </cell>
          <cell r="AU2557">
            <v>0.92</v>
          </cell>
          <cell r="AV2557">
            <v>20</v>
          </cell>
          <cell r="AZ2557">
            <v>0.25</v>
          </cell>
          <cell r="BA2557">
            <v>0.25</v>
          </cell>
        </row>
        <row r="2558">
          <cell r="A2558" t="str">
            <v>VENETA SERRAMENTI</v>
          </cell>
          <cell r="D2558" t="str">
            <v>VIA FRATELLI BRESSAN, 30</v>
          </cell>
          <cell r="E2558">
            <v>20126</v>
          </cell>
          <cell r="F2558" t="str">
            <v>MILANO</v>
          </cell>
          <cell r="G2558" t="str">
            <v>MI</v>
          </cell>
          <cell r="H2558" t="str">
            <v>ITALIA</v>
          </cell>
          <cell r="M2558" t="str">
            <v>UFFICIO ACQUISTI</v>
          </cell>
          <cell r="N2558" t="str">
            <v>02 35954952-3</v>
          </cell>
          <cell r="O2558" t="str">
            <v>340 2698568 - 392 4821171</v>
          </cell>
          <cell r="P2558" t="str">
            <v>info@venetaserramenti.it</v>
          </cell>
          <cell r="R2558" t="str">
            <v>BONIFICO BANCARIO, ALLA DATA DELLA NOSTRA CONFERMA D'ORDINE</v>
          </cell>
          <cell r="X2558">
            <v>0.25</v>
          </cell>
          <cell r="Y2558">
            <v>-0.04</v>
          </cell>
          <cell r="AB2558">
            <v>0.25</v>
          </cell>
          <cell r="AC2558">
            <v>0.25</v>
          </cell>
          <cell r="AD2558">
            <v>0.25</v>
          </cell>
          <cell r="AE2558">
            <v>0.25</v>
          </cell>
          <cell r="AF2558">
            <v>0.25</v>
          </cell>
          <cell r="AG2558">
            <v>0.25</v>
          </cell>
          <cell r="AH2558">
            <v>0.25</v>
          </cell>
          <cell r="AI2558">
            <v>0.25</v>
          </cell>
          <cell r="AJ2558">
            <v>0.25</v>
          </cell>
          <cell r="AK2558">
            <v>0.25</v>
          </cell>
          <cell r="AL2558">
            <v>0.25</v>
          </cell>
          <cell r="AM2558">
            <v>0.25</v>
          </cell>
          <cell r="AN2558">
            <v>0.25</v>
          </cell>
          <cell r="AO2558">
            <v>0.25</v>
          </cell>
          <cell r="AP2558">
            <v>0.25</v>
          </cell>
          <cell r="AQ2558">
            <v>0.25</v>
          </cell>
          <cell r="AR2558">
            <v>0.25</v>
          </cell>
          <cell r="AS2558">
            <v>0.25</v>
          </cell>
          <cell r="AT2558">
            <v>-0.04</v>
          </cell>
          <cell r="AU2558">
            <v>0.92</v>
          </cell>
          <cell r="AV2558">
            <v>20</v>
          </cell>
          <cell r="AZ2558">
            <v>0.25</v>
          </cell>
          <cell r="BA2558">
            <v>0.25</v>
          </cell>
        </row>
        <row r="2559">
          <cell r="A2559" t="str">
            <v>VENIER SERRAMENTI SRL</v>
          </cell>
          <cell r="D2559" t="str">
            <v>VIA F. SOLARI 11</v>
          </cell>
          <cell r="E2559" t="str">
            <v>33033</v>
          </cell>
          <cell r="F2559" t="str">
            <v>CODROIPO</v>
          </cell>
          <cell r="G2559" t="str">
            <v>UD</v>
          </cell>
          <cell r="H2559" t="str">
            <v>ITALIA</v>
          </cell>
          <cell r="J2559" t="str">
            <v>02850150307</v>
          </cell>
          <cell r="M2559" t="str">
            <v>UFFICIO ACQUISTI</v>
          </cell>
          <cell r="N2559" t="str">
            <v>0432 820009</v>
          </cell>
          <cell r="P2559" t="str">
            <v>info@venierserramentisrl.it</v>
          </cell>
          <cell r="R2559" t="str">
            <v>BONIFICO BANCARIO, ALLA DATA DELLA NOSTRA CONFERMA D'ORDINE</v>
          </cell>
          <cell r="X2559">
            <v>0.25</v>
          </cell>
          <cell r="Y2559">
            <v>-0.04</v>
          </cell>
          <cell r="AB2559">
            <v>0.25</v>
          </cell>
          <cell r="AC2559">
            <v>0.25</v>
          </cell>
          <cell r="AD2559">
            <v>0.25</v>
          </cell>
          <cell r="AE2559">
            <v>0.25</v>
          </cell>
          <cell r="AF2559">
            <v>0.25</v>
          </cell>
          <cell r="AG2559">
            <v>0.25</v>
          </cell>
          <cell r="AH2559">
            <v>0.25</v>
          </cell>
          <cell r="AI2559">
            <v>0.25</v>
          </cell>
          <cell r="AJ2559">
            <v>0.25</v>
          </cell>
          <cell r="AK2559">
            <v>0.25</v>
          </cell>
          <cell r="AL2559">
            <v>0.25</v>
          </cell>
          <cell r="AM2559">
            <v>0.25</v>
          </cell>
          <cell r="AN2559">
            <v>0.25</v>
          </cell>
          <cell r="AO2559">
            <v>0.25</v>
          </cell>
          <cell r="AP2559">
            <v>0.25</v>
          </cell>
          <cell r="AQ2559">
            <v>0.25</v>
          </cell>
          <cell r="AR2559">
            <v>0.25</v>
          </cell>
          <cell r="AS2559">
            <v>0.25</v>
          </cell>
          <cell r="AT2559">
            <v>-0.04</v>
          </cell>
          <cell r="AU2559">
            <v>0.92</v>
          </cell>
          <cell r="AV2559">
            <v>20</v>
          </cell>
          <cell r="AZ2559">
            <v>0.25</v>
          </cell>
          <cell r="BA2559">
            <v>0.25</v>
          </cell>
        </row>
        <row r="2560">
          <cell r="A2560" t="str">
            <v>VENSTER</v>
          </cell>
          <cell r="D2560" t="str">
            <v>VIA A. RIVA VILLASANTA 216</v>
          </cell>
          <cell r="E2560" t="str">
            <v>09134</v>
          </cell>
          <cell r="F2560" t="str">
            <v>CAGLIARI</v>
          </cell>
          <cell r="G2560" t="str">
            <v>CA</v>
          </cell>
          <cell r="H2560" t="str">
            <v>ITALIA</v>
          </cell>
          <cell r="M2560" t="str">
            <v>UFFICIO ACQUISTI</v>
          </cell>
          <cell r="N2560" t="str">
            <v>070 2040859</v>
          </cell>
          <cell r="O2560" t="str">
            <v>335 787 9767</v>
          </cell>
          <cell r="P2560" t="str">
            <v>info@venster.it</v>
          </cell>
          <cell r="R2560" t="str">
            <v>BONIFICO BANCARIO, ALLA DATA DELLA NOSTRA CONFERMA D'ORDINE</v>
          </cell>
          <cell r="X2560">
            <v>0.25</v>
          </cell>
          <cell r="Y2560">
            <v>-0.04</v>
          </cell>
          <cell r="AB2560">
            <v>0.25</v>
          </cell>
          <cell r="AC2560">
            <v>0.25</v>
          </cell>
          <cell r="AD2560">
            <v>0.25</v>
          </cell>
          <cell r="AE2560">
            <v>0.25</v>
          </cell>
          <cell r="AF2560">
            <v>0.25</v>
          </cell>
          <cell r="AG2560">
            <v>0.25</v>
          </cell>
          <cell r="AH2560">
            <v>0.25</v>
          </cell>
          <cell r="AI2560">
            <v>0.25</v>
          </cell>
          <cell r="AJ2560">
            <v>0.25</v>
          </cell>
          <cell r="AK2560">
            <v>0.25</v>
          </cell>
          <cell r="AL2560">
            <v>0.25</v>
          </cell>
          <cell r="AM2560">
            <v>0.25</v>
          </cell>
          <cell r="AN2560">
            <v>0.25</v>
          </cell>
          <cell r="AO2560">
            <v>0.25</v>
          </cell>
          <cell r="AP2560">
            <v>0.25</v>
          </cell>
          <cell r="AQ2560">
            <v>0.25</v>
          </cell>
          <cell r="AR2560">
            <v>0.25</v>
          </cell>
          <cell r="AS2560">
            <v>0.25</v>
          </cell>
          <cell r="AT2560">
            <v>-0.04</v>
          </cell>
          <cell r="AU2560">
            <v>0.92</v>
          </cell>
          <cell r="AV2560">
            <v>20</v>
          </cell>
          <cell r="AZ2560">
            <v>0.25</v>
          </cell>
          <cell r="BA2560">
            <v>0.25</v>
          </cell>
        </row>
        <row r="2561">
          <cell r="A2561" t="str">
            <v>VENTANA POINT VR SRLS</v>
          </cell>
          <cell r="D2561" t="str">
            <v>VIA QUINTINO SELLA, 17</v>
          </cell>
          <cell r="E2561" t="str">
            <v xml:space="preserve">70122 </v>
          </cell>
          <cell r="F2561" t="str">
            <v>BARI</v>
          </cell>
          <cell r="G2561" t="str">
            <v>BA</v>
          </cell>
          <cell r="H2561" t="str">
            <v>ITALIA</v>
          </cell>
          <cell r="J2561" t="str">
            <v>07949910728</v>
          </cell>
          <cell r="M2561" t="str">
            <v>UFFICIO ACQUISTI</v>
          </cell>
          <cell r="N2561" t="str">
            <v>080 6452133</v>
          </cell>
          <cell r="O2561" t="str">
            <v>370 3136898</v>
          </cell>
          <cell r="P2561" t="str">
            <v>vito.roppo69@gmail.com</v>
          </cell>
          <cell r="R2561" t="str">
            <v>BONIFICO BANCARIO, ALLA DATA DELLA NOSTRA CONFERMA D'ORDINE</v>
          </cell>
          <cell r="Y2561">
            <v>-0.04</v>
          </cell>
          <cell r="AT2561">
            <v>-0.04</v>
          </cell>
          <cell r="AV2561">
            <v>20</v>
          </cell>
          <cell r="AZ2561">
            <v>0</v>
          </cell>
          <cell r="BA2561">
            <v>0</v>
          </cell>
        </row>
        <row r="2562">
          <cell r="A2562" t="str">
            <v>VENTANAS INFISSI</v>
          </cell>
          <cell r="B2562" t="str">
            <v>SOLO BIGLIETTO DA VISITA</v>
          </cell>
          <cell r="D2562" t="str">
            <v>VIA LAMARMORA, 93</v>
          </cell>
          <cell r="E2562" t="str">
            <v>08022</v>
          </cell>
          <cell r="F2562" t="str">
            <v>DORGALI</v>
          </cell>
          <cell r="G2562" t="str">
            <v>NU</v>
          </cell>
          <cell r="H2562" t="str">
            <v>ITALIA</v>
          </cell>
          <cell r="M2562" t="str">
            <v>UFFICIO ACQUISTI</v>
          </cell>
          <cell r="O2562" t="str">
            <v>340 6604105 TOLU M.   340 3167527 BOEDDU M.</v>
          </cell>
          <cell r="P2562" t="str">
            <v>ventanasdorgali@gmail.com</v>
          </cell>
          <cell r="R2562" t="str">
            <v>BONIFICO BANCARIO, ALLA DATA DELLA NOSTRA CONFERMA D'ORDINE</v>
          </cell>
          <cell r="X2562">
            <v>0.25</v>
          </cell>
          <cell r="Y2562">
            <v>-0.04</v>
          </cell>
          <cell r="AB2562">
            <v>0.25</v>
          </cell>
          <cell r="AC2562">
            <v>0.25</v>
          </cell>
          <cell r="AD2562">
            <v>0.25</v>
          </cell>
          <cell r="AE2562">
            <v>0.25</v>
          </cell>
          <cell r="AF2562">
            <v>0.25</v>
          </cell>
          <cell r="AG2562">
            <v>0.25</v>
          </cell>
          <cell r="AH2562">
            <v>0.25</v>
          </cell>
          <cell r="AI2562">
            <v>0.25</v>
          </cell>
          <cell r="AJ2562">
            <v>0.25</v>
          </cell>
          <cell r="AK2562">
            <v>0.25</v>
          </cell>
          <cell r="AL2562">
            <v>0.25</v>
          </cell>
          <cell r="AM2562">
            <v>0.25</v>
          </cell>
          <cell r="AN2562">
            <v>0.25</v>
          </cell>
          <cell r="AO2562">
            <v>0.25</v>
          </cell>
          <cell r="AP2562">
            <v>0.25</v>
          </cell>
          <cell r="AQ2562">
            <v>0.25</v>
          </cell>
          <cell r="AR2562">
            <v>0.25</v>
          </cell>
          <cell r="AS2562">
            <v>0.25</v>
          </cell>
          <cell r="AT2562">
            <v>-0.04</v>
          </cell>
          <cell r="AU2562">
            <v>0.92</v>
          </cell>
          <cell r="AV2562">
            <v>20</v>
          </cell>
          <cell r="AZ2562">
            <v>0.25</v>
          </cell>
          <cell r="BA2562">
            <v>0.25</v>
          </cell>
        </row>
        <row r="2563">
          <cell r="A2563" t="str">
            <v>VENUTA GIUSEPPE</v>
          </cell>
          <cell r="F2563" t="str">
            <v>BROLO</v>
          </cell>
          <cell r="G2563" t="str">
            <v>ME</v>
          </cell>
          <cell r="H2563" t="str">
            <v>ITALIA</v>
          </cell>
          <cell r="M2563" t="str">
            <v>UFFICIO ACQUISTI</v>
          </cell>
          <cell r="O2563" t="str">
            <v>320 0777890</v>
          </cell>
          <cell r="P2563" t="str">
            <v>giuseppe_venuta@libero.it</v>
          </cell>
          <cell r="R2563" t="str">
            <v>BONIFICO BANCARIO, ALLA DATA DELLA NOSTRA CONFERMA D'ORDINE</v>
          </cell>
          <cell r="X2563">
            <v>0.25</v>
          </cell>
          <cell r="Y2563">
            <v>-0.04</v>
          </cell>
          <cell r="AB2563">
            <v>0.25</v>
          </cell>
          <cell r="AC2563">
            <v>0.25</v>
          </cell>
          <cell r="AD2563">
            <v>0.25</v>
          </cell>
          <cell r="AE2563">
            <v>0.25</v>
          </cell>
          <cell r="AF2563">
            <v>0.25</v>
          </cell>
          <cell r="AG2563">
            <v>0.25</v>
          </cell>
          <cell r="AH2563">
            <v>0.25</v>
          </cell>
          <cell r="AI2563">
            <v>0.25</v>
          </cell>
          <cell r="AJ2563">
            <v>0.25</v>
          </cell>
          <cell r="AK2563">
            <v>0.25</v>
          </cell>
          <cell r="AL2563">
            <v>0.25</v>
          </cell>
          <cell r="AM2563">
            <v>0.25</v>
          </cell>
          <cell r="AN2563">
            <v>0.25</v>
          </cell>
          <cell r="AO2563">
            <v>0.25</v>
          </cell>
          <cell r="AP2563">
            <v>0.25</v>
          </cell>
          <cell r="AQ2563">
            <v>0.25</v>
          </cell>
          <cell r="AR2563">
            <v>0.25</v>
          </cell>
          <cell r="AS2563">
            <v>0.25</v>
          </cell>
          <cell r="AT2563">
            <v>-0.04</v>
          </cell>
          <cell r="AU2563">
            <v>0.92</v>
          </cell>
          <cell r="AV2563">
            <v>20</v>
          </cell>
          <cell r="AZ2563">
            <v>0.25</v>
          </cell>
          <cell r="BA2563">
            <v>0.25</v>
          </cell>
        </row>
        <row r="2564">
          <cell r="A2564" t="str">
            <v>VENUTO ANTONIO</v>
          </cell>
          <cell r="D2564" t="str">
            <v>VIA COTRONEI, 7</v>
          </cell>
          <cell r="E2564" t="str">
            <v>88900</v>
          </cell>
          <cell r="F2564" t="str">
            <v>CROTONE</v>
          </cell>
          <cell r="G2564" t="str">
            <v>KR</v>
          </cell>
          <cell r="H2564" t="str">
            <v>ITALIA</v>
          </cell>
          <cell r="I2564" t="str">
            <v>VTNNTN59S10D122T</v>
          </cell>
          <cell r="J2564" t="str">
            <v>02104210790</v>
          </cell>
          <cell r="M2564" t="str">
            <v>UFFICIO ACQUISTI</v>
          </cell>
          <cell r="N2564" t="str">
            <v>0962 948365</v>
          </cell>
          <cell r="O2564" t="str">
            <v>329 7363797 antonio</v>
          </cell>
          <cell r="P2564" t="str">
            <v>venutoporte@libero.it</v>
          </cell>
          <cell r="R2564" t="str">
            <v>BONIFICO BANCARIO, ALLA DATA DELLA NOSTRA CONFERMA D'ORDINE</v>
          </cell>
          <cell r="X2564">
            <v>0.25</v>
          </cell>
          <cell r="Y2564">
            <v>-0.04</v>
          </cell>
          <cell r="AB2564">
            <v>0.25</v>
          </cell>
          <cell r="AC2564">
            <v>0.25</v>
          </cell>
          <cell r="AD2564">
            <v>0.25</v>
          </cell>
          <cell r="AE2564">
            <v>0.25</v>
          </cell>
          <cell r="AF2564">
            <v>0.25</v>
          </cell>
          <cell r="AG2564">
            <v>0.25</v>
          </cell>
          <cell r="AH2564">
            <v>0.25</v>
          </cell>
          <cell r="AI2564">
            <v>0.25</v>
          </cell>
          <cell r="AJ2564">
            <v>0.25</v>
          </cell>
          <cell r="AK2564">
            <v>0.25</v>
          </cell>
          <cell r="AL2564">
            <v>0.25</v>
          </cell>
          <cell r="AM2564">
            <v>0.25</v>
          </cell>
          <cell r="AN2564">
            <v>0.25</v>
          </cell>
          <cell r="AO2564">
            <v>0.25</v>
          </cell>
          <cell r="AP2564">
            <v>0.25</v>
          </cell>
          <cell r="AQ2564">
            <v>0.25</v>
          </cell>
          <cell r="AR2564">
            <v>0.25</v>
          </cell>
          <cell r="AS2564">
            <v>0.25</v>
          </cell>
          <cell r="AT2564">
            <v>-0.04</v>
          </cell>
          <cell r="AU2564">
            <v>0.92</v>
          </cell>
          <cell r="AV2564">
            <v>20</v>
          </cell>
          <cell r="AW2564" t="str">
            <v>PIETRO OLIVADOTI</v>
          </cell>
          <cell r="AX2564">
            <v>0.95</v>
          </cell>
          <cell r="AZ2564">
            <v>0.25</v>
          </cell>
          <cell r="BA2564">
            <v>0.25</v>
          </cell>
        </row>
        <row r="2565">
          <cell r="A2565" t="str">
            <v>VERCELLI SERRAMENTI</v>
          </cell>
          <cell r="D2565" t="str">
            <v>CORSO M. ABBIATE 152</v>
          </cell>
          <cell r="E2565" t="str">
            <v>13100</v>
          </cell>
          <cell r="F2565" t="str">
            <v>VERCELLI</v>
          </cell>
          <cell r="G2565" t="str">
            <v>VC</v>
          </cell>
          <cell r="H2565" t="str">
            <v>ITALIA</v>
          </cell>
          <cell r="M2565" t="str">
            <v>UFFICIO ACQUISTI</v>
          </cell>
          <cell r="N2565" t="str">
            <v>0161 213297</v>
          </cell>
          <cell r="P2565" t="str">
            <v>info@vercelliserramenti.com</v>
          </cell>
          <cell r="R2565" t="str">
            <v>BONIFICO BANCARIO, ALLA DATA DELLA NOSTRA CONFERMA D'ORDINE</v>
          </cell>
          <cell r="X2565">
            <v>0.25</v>
          </cell>
          <cell r="Y2565">
            <v>-0.04</v>
          </cell>
          <cell r="AB2565">
            <v>0.25</v>
          </cell>
          <cell r="AC2565">
            <v>0.25</v>
          </cell>
          <cell r="AD2565">
            <v>0.25</v>
          </cell>
          <cell r="AE2565">
            <v>0.25</v>
          </cell>
          <cell r="AF2565">
            <v>0.25</v>
          </cell>
          <cell r="AG2565">
            <v>0.25</v>
          </cell>
          <cell r="AH2565">
            <v>0.25</v>
          </cell>
          <cell r="AI2565">
            <v>0.25</v>
          </cell>
          <cell r="AJ2565">
            <v>0.25</v>
          </cell>
          <cell r="AK2565">
            <v>0.25</v>
          </cell>
          <cell r="AL2565">
            <v>0.25</v>
          </cell>
          <cell r="AM2565">
            <v>0.25</v>
          </cell>
          <cell r="AN2565">
            <v>0.25</v>
          </cell>
          <cell r="AO2565">
            <v>0.25</v>
          </cell>
          <cell r="AP2565">
            <v>0.25</v>
          </cell>
          <cell r="AQ2565">
            <v>0.25</v>
          </cell>
          <cell r="AR2565">
            <v>0.25</v>
          </cell>
          <cell r="AS2565">
            <v>0.25</v>
          </cell>
          <cell r="AT2565">
            <v>-0.04</v>
          </cell>
          <cell r="AU2565">
            <v>0.92</v>
          </cell>
          <cell r="AV2565">
            <v>20</v>
          </cell>
          <cell r="AZ2565">
            <v>0.25</v>
          </cell>
          <cell r="BA2565">
            <v>0.25</v>
          </cell>
        </row>
        <row r="2566">
          <cell r="A2566" t="str">
            <v xml:space="preserve">VERDONE DUE </v>
          </cell>
          <cell r="D2566" t="str">
            <v>VIA VIII MARZO, 30</v>
          </cell>
          <cell r="E2566">
            <v>17024</v>
          </cell>
          <cell r="F2566" t="str">
            <v>FINALE LIGURE</v>
          </cell>
          <cell r="G2566" t="str">
            <v>SV</v>
          </cell>
          <cell r="H2566" t="str">
            <v>ITALIA</v>
          </cell>
          <cell r="M2566" t="str">
            <v>UFFICIO ACQUISTI</v>
          </cell>
          <cell r="N2566" t="str">
            <v>019 6898573</v>
          </cell>
          <cell r="P2566" t="str">
            <v>info@verdonedue.com</v>
          </cell>
          <cell r="R2566" t="str">
            <v>BONIFICO BANCARIO, ALLA DATA DELLA NOSTRA CONFERMA D'ORDINE</v>
          </cell>
          <cell r="X2566">
            <v>0.25</v>
          </cell>
          <cell r="Y2566">
            <v>-0.04</v>
          </cell>
          <cell r="AB2566">
            <v>0.25</v>
          </cell>
          <cell r="AC2566">
            <v>0.25</v>
          </cell>
          <cell r="AD2566">
            <v>0.25</v>
          </cell>
          <cell r="AE2566">
            <v>0.25</v>
          </cell>
          <cell r="AF2566">
            <v>0.25</v>
          </cell>
          <cell r="AG2566">
            <v>0.25</v>
          </cell>
          <cell r="AH2566">
            <v>0.25</v>
          </cell>
          <cell r="AI2566">
            <v>0.25</v>
          </cell>
          <cell r="AJ2566">
            <v>0.25</v>
          </cell>
          <cell r="AK2566">
            <v>0.25</v>
          </cell>
          <cell r="AL2566">
            <v>0.25</v>
          </cell>
          <cell r="AM2566">
            <v>0.25</v>
          </cell>
          <cell r="AN2566">
            <v>0.25</v>
          </cell>
          <cell r="AO2566">
            <v>0.25</v>
          </cell>
          <cell r="AP2566">
            <v>0.25</v>
          </cell>
          <cell r="AQ2566">
            <v>0.25</v>
          </cell>
          <cell r="AR2566">
            <v>0.25</v>
          </cell>
          <cell r="AS2566">
            <v>0.25</v>
          </cell>
          <cell r="AT2566">
            <v>-0.04</v>
          </cell>
          <cell r="AU2566">
            <v>0.92</v>
          </cell>
          <cell r="AV2566">
            <v>20</v>
          </cell>
          <cell r="AZ2566">
            <v>0.25</v>
          </cell>
          <cell r="BA2566">
            <v>0.25</v>
          </cell>
        </row>
        <row r="2567">
          <cell r="A2567" t="str">
            <v xml:space="preserve">VERONA COLOR SAS DI BONADOMANE DANIELE </v>
          </cell>
          <cell r="D2567" t="str">
            <v>VIA G. CAMPOSTRINI, 74</v>
          </cell>
          <cell r="E2567" t="str">
            <v>37029</v>
          </cell>
          <cell r="F2567" t="str">
            <v>PEDEMONTE</v>
          </cell>
          <cell r="G2567" t="str">
            <v>VR</v>
          </cell>
          <cell r="H2567" t="str">
            <v>ITALIA</v>
          </cell>
          <cell r="J2567" t="str">
            <v>03067120232</v>
          </cell>
          <cell r="M2567" t="str">
            <v>UFFICIO ACQUISTI</v>
          </cell>
          <cell r="N2567" t="str">
            <v>045 523618</v>
          </cell>
          <cell r="O2567" t="str">
            <v>347 5262561</v>
          </cell>
          <cell r="P2567" t="str">
            <v>veronacolor@gmail.com</v>
          </cell>
          <cell r="R2567" t="str">
            <v>BONIFICO BANCARIO, ALLA DATA DELLA NOSTRA CONFERMA D'ORDINE</v>
          </cell>
          <cell r="Y2567">
            <v>-0.04</v>
          </cell>
          <cell r="AT2567">
            <v>-0.04</v>
          </cell>
          <cell r="AV2567">
            <v>20</v>
          </cell>
          <cell r="AZ2567">
            <v>0</v>
          </cell>
          <cell r="BA2567">
            <v>0</v>
          </cell>
        </row>
        <row r="2568">
          <cell r="A2568" t="str">
            <v>VERONA FINESTRE</v>
          </cell>
          <cell r="D2568" t="str">
            <v>VIA XXV APRILE, 10</v>
          </cell>
          <cell r="E2568">
            <v>37029</v>
          </cell>
          <cell r="F2568" t="str">
            <v>S.PIETRO IN C. I VR.</v>
          </cell>
          <cell r="G2568" t="str">
            <v>VR</v>
          </cell>
          <cell r="H2568" t="str">
            <v>ITALIA</v>
          </cell>
          <cell r="J2568" t="str">
            <v>02688920236</v>
          </cell>
          <cell r="M2568" t="str">
            <v>UFFICIO ACQUISTI</v>
          </cell>
          <cell r="O2568" t="str">
            <v>335 7439971 Cristiano</v>
          </cell>
          <cell r="P2568" t="str">
            <v>info@veronafinestre.it</v>
          </cell>
          <cell r="R2568" t="str">
            <v>BONIFICO BANCARIO, ALLA DATA DELLA NOSTRA CONFERMA D'ORDINE</v>
          </cell>
          <cell r="X2568">
            <v>0.25</v>
          </cell>
          <cell r="Y2568">
            <v>-0.04</v>
          </cell>
          <cell r="AB2568">
            <v>0.25</v>
          </cell>
          <cell r="AC2568">
            <v>0.25</v>
          </cell>
          <cell r="AD2568">
            <v>0.25</v>
          </cell>
          <cell r="AE2568">
            <v>0.25</v>
          </cell>
          <cell r="AF2568">
            <v>0.25</v>
          </cell>
          <cell r="AG2568">
            <v>0.25</v>
          </cell>
          <cell r="AH2568">
            <v>0.25</v>
          </cell>
          <cell r="AI2568">
            <v>0.25</v>
          </cell>
          <cell r="AJ2568">
            <v>0.25</v>
          </cell>
          <cell r="AK2568">
            <v>0.25</v>
          </cell>
          <cell r="AL2568">
            <v>0.25</v>
          </cell>
          <cell r="AM2568">
            <v>0.25</v>
          </cell>
          <cell r="AN2568">
            <v>0.25</v>
          </cell>
          <cell r="AO2568">
            <v>0.25</v>
          </cell>
          <cell r="AP2568">
            <v>0.25</v>
          </cell>
          <cell r="AQ2568">
            <v>0.25</v>
          </cell>
          <cell r="AR2568">
            <v>0.25</v>
          </cell>
          <cell r="AS2568">
            <v>0.25</v>
          </cell>
          <cell r="AT2568">
            <v>-0.04</v>
          </cell>
          <cell r="AU2568">
            <v>0.92</v>
          </cell>
          <cell r="AV2568">
            <v>20</v>
          </cell>
          <cell r="AZ2568">
            <v>0.25</v>
          </cell>
          <cell r="BA2568">
            <v>0.25</v>
          </cell>
        </row>
        <row r="2569">
          <cell r="A2569" t="str">
            <v>VERONA FINESTRE</v>
          </cell>
          <cell r="D2569" t="str">
            <v>STRADONE S. LUCIA, 71 A</v>
          </cell>
          <cell r="E2569">
            <v>37136</v>
          </cell>
          <cell r="F2569" t="str">
            <v>VERONA</v>
          </cell>
          <cell r="G2569" t="str">
            <v>VR</v>
          </cell>
          <cell r="H2569" t="str">
            <v>ITALIA</v>
          </cell>
          <cell r="J2569" t="str">
            <v>02688920236</v>
          </cell>
          <cell r="M2569" t="str">
            <v>UFFICIO ACQUISTI</v>
          </cell>
          <cell r="N2569" t="str">
            <v>045 6859055</v>
          </cell>
          <cell r="O2569" t="str">
            <v>Marius Danca 329 4094031</v>
          </cell>
          <cell r="P2569" t="str">
            <v>marius.danca@veronafinestre.it</v>
          </cell>
          <cell r="R2569" t="str">
            <v>BONIFICO BANCARIO, ALLA DATA DELLA NOSTRA CONFERMA D'ORDINE</v>
          </cell>
          <cell r="X2569">
            <v>0.25</v>
          </cell>
          <cell r="Y2569">
            <v>-0.04</v>
          </cell>
          <cell r="AB2569">
            <v>0.25</v>
          </cell>
          <cell r="AC2569">
            <v>0.25</v>
          </cell>
          <cell r="AD2569">
            <v>0.25</v>
          </cell>
          <cell r="AE2569">
            <v>0.25</v>
          </cell>
          <cell r="AF2569">
            <v>0.25</v>
          </cell>
          <cell r="AG2569">
            <v>0.25</v>
          </cell>
          <cell r="AH2569">
            <v>0.25</v>
          </cell>
          <cell r="AI2569">
            <v>0.25</v>
          </cell>
          <cell r="AJ2569">
            <v>0.25</v>
          </cell>
          <cell r="AK2569">
            <v>0.25</v>
          </cell>
          <cell r="AL2569">
            <v>0.25</v>
          </cell>
          <cell r="AM2569">
            <v>0.25</v>
          </cell>
          <cell r="AN2569">
            <v>0.25</v>
          </cell>
          <cell r="AO2569">
            <v>0.25</v>
          </cell>
          <cell r="AP2569">
            <v>0.25</v>
          </cell>
          <cell r="AQ2569">
            <v>0.25</v>
          </cell>
          <cell r="AR2569">
            <v>0.25</v>
          </cell>
          <cell r="AS2569">
            <v>0.25</v>
          </cell>
          <cell r="AT2569">
            <v>-0.04</v>
          </cell>
          <cell r="AU2569">
            <v>0.92</v>
          </cell>
          <cell r="AV2569">
            <v>20</v>
          </cell>
          <cell r="AZ2569">
            <v>0.25</v>
          </cell>
          <cell r="BA2569">
            <v>0.25</v>
          </cell>
        </row>
        <row r="2570">
          <cell r="A2570" t="str">
            <v>VERONA INFISSI</v>
          </cell>
          <cell r="B2570" t="str">
            <v>SOLO BIGLIETTO DA VISITA   GIANNI VERONA  INTERESSATO ALLA COMPRESSION</v>
          </cell>
          <cell r="D2570" t="str">
            <v>VIA RIVA VILLASANTA, 216</v>
          </cell>
          <cell r="E2570" t="str">
            <v>09134</v>
          </cell>
          <cell r="F2570" t="str">
            <v>CAGLIARI</v>
          </cell>
          <cell r="G2570" t="str">
            <v>CA</v>
          </cell>
          <cell r="H2570" t="str">
            <v>ITALIA</v>
          </cell>
          <cell r="M2570" t="str">
            <v>UFFICIO ACQUISTI</v>
          </cell>
          <cell r="N2570" t="str">
            <v>070 2040859</v>
          </cell>
          <cell r="O2570" t="str">
            <v>335 7879767 GIANNI VERONA      388 4028252</v>
          </cell>
          <cell r="P2570" t="str">
            <v>info@veronainfissi.it</v>
          </cell>
          <cell r="R2570" t="str">
            <v>BONIFICO BANCARIO, ALLA DATA DELLA NOSTRA CONFERMA D'ORDINE</v>
          </cell>
          <cell r="X2570">
            <v>0.25</v>
          </cell>
          <cell r="Y2570">
            <v>-0.04</v>
          </cell>
          <cell r="AB2570">
            <v>0.25</v>
          </cell>
          <cell r="AC2570">
            <v>0.25</v>
          </cell>
          <cell r="AD2570">
            <v>0.25</v>
          </cell>
          <cell r="AE2570">
            <v>0.25</v>
          </cell>
          <cell r="AF2570">
            <v>0.25</v>
          </cell>
          <cell r="AG2570">
            <v>0.25</v>
          </cell>
          <cell r="AH2570">
            <v>0.25</v>
          </cell>
          <cell r="AI2570">
            <v>0.25</v>
          </cell>
          <cell r="AJ2570">
            <v>0.25</v>
          </cell>
          <cell r="AK2570">
            <v>0.25</v>
          </cell>
          <cell r="AL2570">
            <v>0.25</v>
          </cell>
          <cell r="AM2570">
            <v>0.25</v>
          </cell>
          <cell r="AN2570">
            <v>0.25</v>
          </cell>
          <cell r="AO2570">
            <v>0.25</v>
          </cell>
          <cell r="AP2570">
            <v>0.25</v>
          </cell>
          <cell r="AQ2570">
            <v>0.25</v>
          </cell>
          <cell r="AR2570">
            <v>0.25</v>
          </cell>
          <cell r="AS2570">
            <v>0.25</v>
          </cell>
          <cell r="AT2570">
            <v>-0.04</v>
          </cell>
          <cell r="AU2570">
            <v>0.92</v>
          </cell>
          <cell r="AV2570">
            <v>20</v>
          </cell>
          <cell r="AZ2570">
            <v>0.25</v>
          </cell>
          <cell r="BA2570">
            <v>0.25</v>
          </cell>
        </row>
        <row r="2571">
          <cell r="A2571" t="str">
            <v>VERTICALPORT</v>
          </cell>
          <cell r="B2571" t="str">
            <v>SIG.GENTILE</v>
          </cell>
          <cell r="D2571" t="str">
            <v>CORSO GENOVA, 80</v>
          </cell>
          <cell r="E2571">
            <v>27029</v>
          </cell>
          <cell r="F2571" t="str">
            <v>VIGEVANO</v>
          </cell>
          <cell r="G2571" t="str">
            <v>PV</v>
          </cell>
          <cell r="H2571" t="str">
            <v>ITALIA</v>
          </cell>
          <cell r="M2571" t="str">
            <v>UFFICIO ACQUISTI</v>
          </cell>
          <cell r="N2571" t="str">
            <v>0381 82331</v>
          </cell>
          <cell r="O2571" t="str">
            <v>338 6218557</v>
          </cell>
          <cell r="P2571" t="str">
            <v>v.verticalport@alice.it</v>
          </cell>
          <cell r="R2571" t="str">
            <v>BONIFICO BANCARIO, ALLA DATA DELLA NOSTRA CONFERMA D'ORDINE</v>
          </cell>
          <cell r="X2571">
            <v>0.25</v>
          </cell>
          <cell r="Y2571">
            <v>-0.04</v>
          </cell>
          <cell r="AB2571">
            <v>0.25</v>
          </cell>
          <cell r="AC2571">
            <v>0.25</v>
          </cell>
          <cell r="AD2571">
            <v>0.25</v>
          </cell>
          <cell r="AE2571">
            <v>0.25</v>
          </cell>
          <cell r="AF2571">
            <v>0.25</v>
          </cell>
          <cell r="AG2571">
            <v>0.25</v>
          </cell>
          <cell r="AH2571">
            <v>0.25</v>
          </cell>
          <cell r="AI2571">
            <v>0.25</v>
          </cell>
          <cell r="AJ2571">
            <v>0.25</v>
          </cell>
          <cell r="AK2571">
            <v>0.25</v>
          </cell>
          <cell r="AL2571">
            <v>0.25</v>
          </cell>
          <cell r="AM2571">
            <v>0.25</v>
          </cell>
          <cell r="AN2571">
            <v>0.25</v>
          </cell>
          <cell r="AO2571">
            <v>0.25</v>
          </cell>
          <cell r="AP2571">
            <v>0.25</v>
          </cell>
          <cell r="AQ2571">
            <v>0.25</v>
          </cell>
          <cell r="AR2571">
            <v>0.25</v>
          </cell>
          <cell r="AS2571">
            <v>0.25</v>
          </cell>
          <cell r="AT2571">
            <v>-0.04</v>
          </cell>
          <cell r="AU2571">
            <v>0.92</v>
          </cell>
          <cell r="AV2571">
            <v>20</v>
          </cell>
          <cell r="AZ2571">
            <v>0.25</v>
          </cell>
          <cell r="BA2571">
            <v>0.25</v>
          </cell>
        </row>
        <row r="2572">
          <cell r="A2572" t="str">
            <v>VETRAL SNC DI ALLA MARIO</v>
          </cell>
          <cell r="D2572" t="str">
            <v>VIA ROMA 15</v>
          </cell>
          <cell r="E2572" t="str">
            <v>04019</v>
          </cell>
          <cell r="F2572" t="str">
            <v>TERRACINA</v>
          </cell>
          <cell r="G2572" t="str">
            <v>LT</v>
          </cell>
          <cell r="H2572" t="str">
            <v>ITALIA</v>
          </cell>
          <cell r="J2572" t="str">
            <v>00315250597</v>
          </cell>
          <cell r="M2572" t="str">
            <v>UFFICIO ACQUISTI</v>
          </cell>
          <cell r="N2572" t="str">
            <v>0773 702108</v>
          </cell>
          <cell r="O2572" t="str">
            <v>339 7583226</v>
          </cell>
          <cell r="R2572" t="str">
            <v>BONIFICO BANCARIO, ALLA DATA DELLA NOSTRA CONFERMA D'ORDINE</v>
          </cell>
          <cell r="X2572">
            <v>0.25</v>
          </cell>
          <cell r="Y2572">
            <v>-0.04</v>
          </cell>
          <cell r="AB2572">
            <v>0.25</v>
          </cell>
          <cell r="AC2572">
            <v>0.25</v>
          </cell>
          <cell r="AD2572">
            <v>0.25</v>
          </cell>
          <cell r="AE2572">
            <v>0.25</v>
          </cell>
          <cell r="AF2572">
            <v>0.25</v>
          </cell>
          <cell r="AG2572">
            <v>0.25</v>
          </cell>
          <cell r="AH2572">
            <v>0.25</v>
          </cell>
          <cell r="AI2572">
            <v>0.25</v>
          </cell>
          <cell r="AJ2572">
            <v>0.25</v>
          </cell>
          <cell r="AK2572">
            <v>0.25</v>
          </cell>
          <cell r="AL2572">
            <v>0.25</v>
          </cell>
          <cell r="AM2572">
            <v>0.25</v>
          </cell>
          <cell r="AN2572">
            <v>0.25</v>
          </cell>
          <cell r="AO2572">
            <v>0.25</v>
          </cell>
          <cell r="AP2572">
            <v>0.25</v>
          </cell>
          <cell r="AQ2572">
            <v>0.25</v>
          </cell>
          <cell r="AR2572">
            <v>0.25</v>
          </cell>
          <cell r="AS2572">
            <v>0.25</v>
          </cell>
          <cell r="AT2572">
            <v>-0.04</v>
          </cell>
          <cell r="AU2572">
            <v>0.92</v>
          </cell>
          <cell r="AV2572">
            <v>20</v>
          </cell>
          <cell r="AZ2572">
            <v>0.25</v>
          </cell>
          <cell r="BA2572">
            <v>0.25</v>
          </cell>
        </row>
        <row r="2573">
          <cell r="A2573" t="str">
            <v>VETRALTEND DI SUERGIU SANDRO</v>
          </cell>
          <cell r="B2573" t="str">
            <v>SOLO BIGLIETTO DA VISITA</v>
          </cell>
          <cell r="D2573" t="str">
            <v>VIA G.LEOPARDI, 5</v>
          </cell>
          <cell r="E2573" t="str">
            <v>09041</v>
          </cell>
          <cell r="F2573" t="str">
            <v>DOLIANOVA</v>
          </cell>
          <cell r="G2573" t="str">
            <v>CA</v>
          </cell>
          <cell r="H2573" t="str">
            <v>ITALIA</v>
          </cell>
          <cell r="I2573" t="str">
            <v>SRGSDR64E23D323M</v>
          </cell>
          <cell r="J2573" t="str">
            <v>01998730921</v>
          </cell>
          <cell r="M2573" t="str">
            <v>UFFICIO ACQUISTI</v>
          </cell>
          <cell r="N2573" t="str">
            <v>070 740773</v>
          </cell>
          <cell r="P2573" t="str">
            <v>vetraltend@gmail.com</v>
          </cell>
          <cell r="R2573" t="str">
            <v>BONIFICO BANCARIO, ALLA DATA DELLA NOSTRA CONFERMA D'ORDINE</v>
          </cell>
          <cell r="X2573">
            <v>0.25</v>
          </cell>
          <cell r="Y2573">
            <v>-0.04</v>
          </cell>
          <cell r="AB2573">
            <v>0.25</v>
          </cell>
          <cell r="AC2573">
            <v>0.25</v>
          </cell>
          <cell r="AD2573">
            <v>0.25</v>
          </cell>
          <cell r="AE2573">
            <v>0.25</v>
          </cell>
          <cell r="AF2573">
            <v>0.25</v>
          </cell>
          <cell r="AG2573">
            <v>0.25</v>
          </cell>
          <cell r="AH2573">
            <v>0.25</v>
          </cell>
          <cell r="AI2573">
            <v>0.25</v>
          </cell>
          <cell r="AJ2573">
            <v>0.25</v>
          </cell>
          <cell r="AK2573">
            <v>0.25</v>
          </cell>
          <cell r="AL2573">
            <v>0.25</v>
          </cell>
          <cell r="AM2573">
            <v>0.25</v>
          </cell>
          <cell r="AN2573">
            <v>0.25</v>
          </cell>
          <cell r="AO2573">
            <v>0.25</v>
          </cell>
          <cell r="AP2573">
            <v>0.25</v>
          </cell>
          <cell r="AQ2573">
            <v>0.25</v>
          </cell>
          <cell r="AR2573">
            <v>0.25</v>
          </cell>
          <cell r="AS2573">
            <v>0.25</v>
          </cell>
          <cell r="AT2573">
            <v>-0.04</v>
          </cell>
          <cell r="AU2573">
            <v>0.92</v>
          </cell>
          <cell r="AV2573">
            <v>20</v>
          </cell>
          <cell r="AZ2573">
            <v>0.25</v>
          </cell>
          <cell r="BA2573">
            <v>0.25</v>
          </cell>
        </row>
        <row r="2574">
          <cell r="A2574" t="str">
            <v>VETRALUMIN SNC</v>
          </cell>
          <cell r="D2574" t="str">
            <v>VIA ITALIA, 38</v>
          </cell>
          <cell r="E2574" t="str">
            <v>09134</v>
          </cell>
          <cell r="F2574" t="str">
            <v xml:space="preserve">CAGLIARI </v>
          </cell>
          <cell r="G2574" t="str">
            <v>CA</v>
          </cell>
          <cell r="H2574" t="str">
            <v>ITALIA</v>
          </cell>
          <cell r="J2574" t="str">
            <v>01686430925</v>
          </cell>
          <cell r="K2574" t="str">
            <v>USAL8PV</v>
          </cell>
          <cell r="M2574" t="str">
            <v>UFFICIO ACQUISTI</v>
          </cell>
          <cell r="N2574" t="str">
            <v>070 565328</v>
          </cell>
          <cell r="O2574" t="str">
            <v>393 9680454 MELONI M. LAURA</v>
          </cell>
          <cell r="P2574" t="str">
            <v>vetraluminsnc@libero.it</v>
          </cell>
          <cell r="R2574" t="str">
            <v>BONIFICO BANCARIO, ALLA DATA DELLA NOSTRA CONFERMA D'ORDINE</v>
          </cell>
          <cell r="X2574">
            <v>0.25</v>
          </cell>
          <cell r="Y2574">
            <v>-0.04</v>
          </cell>
          <cell r="AB2574">
            <v>0.25</v>
          </cell>
          <cell r="AC2574">
            <v>0.25</v>
          </cell>
          <cell r="AD2574">
            <v>0.25</v>
          </cell>
          <cell r="AE2574">
            <v>0.25</v>
          </cell>
          <cell r="AF2574">
            <v>0.25</v>
          </cell>
          <cell r="AG2574">
            <v>0.25</v>
          </cell>
          <cell r="AH2574">
            <v>0.25</v>
          </cell>
          <cell r="AI2574">
            <v>0.25</v>
          </cell>
          <cell r="AJ2574">
            <v>0.25</v>
          </cell>
          <cell r="AK2574">
            <v>0.25</v>
          </cell>
          <cell r="AL2574">
            <v>0.25</v>
          </cell>
          <cell r="AM2574">
            <v>0.25</v>
          </cell>
          <cell r="AN2574">
            <v>0.25</v>
          </cell>
          <cell r="AO2574">
            <v>0.25</v>
          </cell>
          <cell r="AP2574">
            <v>0.25</v>
          </cell>
          <cell r="AQ2574">
            <v>0.25</v>
          </cell>
          <cell r="AR2574">
            <v>0.25</v>
          </cell>
          <cell r="AS2574">
            <v>0.25</v>
          </cell>
          <cell r="AT2574">
            <v>-0.04</v>
          </cell>
          <cell r="AU2574">
            <v>0.92</v>
          </cell>
          <cell r="AV2574">
            <v>20</v>
          </cell>
          <cell r="AZ2574">
            <v>0.25</v>
          </cell>
          <cell r="BA2574">
            <v>0.25</v>
          </cell>
        </row>
        <row r="2575">
          <cell r="A2575" t="str">
            <v>VETRERIA AMISANO S.R.L.</v>
          </cell>
          <cell r="B2575" t="str">
            <v>VENDUTO ACQUASTOP 14/12 NO RISP</v>
          </cell>
          <cell r="D2575" t="str">
            <v>VIA G.TORTI, 117 A</v>
          </cell>
          <cell r="E2575">
            <v>16143</v>
          </cell>
          <cell r="F2575" t="str">
            <v>GENOVA</v>
          </cell>
          <cell r="G2575" t="str">
            <v>GE</v>
          </cell>
          <cell r="H2575" t="str">
            <v>ITALIA</v>
          </cell>
          <cell r="J2575">
            <v>2749230104</v>
          </cell>
          <cell r="M2575" t="str">
            <v>UFFICIO ACQUISTI</v>
          </cell>
          <cell r="N2575" t="str">
            <v>010 513479</v>
          </cell>
          <cell r="P2575" t="str">
            <v>info@vetreriaamisano.com</v>
          </cell>
          <cell r="R2575" t="str">
            <v>BONIFICO BANCARIO, ALLA DATA DELLA NOSTRA CONFERMA D'ORDINE</v>
          </cell>
          <cell r="X2575">
            <v>0.25</v>
          </cell>
          <cell r="Y2575">
            <v>-0.04</v>
          </cell>
          <cell r="AB2575">
            <v>0.25</v>
          </cell>
          <cell r="AC2575">
            <v>0.25</v>
          </cell>
          <cell r="AD2575">
            <v>0.25</v>
          </cell>
          <cell r="AE2575">
            <v>0.25</v>
          </cell>
          <cell r="AF2575">
            <v>0.25</v>
          </cell>
          <cell r="AG2575">
            <v>0.25</v>
          </cell>
          <cell r="AH2575">
            <v>0.25</v>
          </cell>
          <cell r="AI2575">
            <v>0.25</v>
          </cell>
          <cell r="AJ2575">
            <v>0.25</v>
          </cell>
          <cell r="AK2575">
            <v>0.25</v>
          </cell>
          <cell r="AL2575">
            <v>0.25</v>
          </cell>
          <cell r="AM2575">
            <v>0.25</v>
          </cell>
          <cell r="AN2575">
            <v>0.25</v>
          </cell>
          <cell r="AO2575">
            <v>0.25</v>
          </cell>
          <cell r="AP2575">
            <v>0.25</v>
          </cell>
          <cell r="AQ2575">
            <v>0.25</v>
          </cell>
          <cell r="AR2575">
            <v>0.25</v>
          </cell>
          <cell r="AS2575">
            <v>0.25</v>
          </cell>
          <cell r="AT2575">
            <v>-0.04</v>
          </cell>
          <cell r="AU2575">
            <v>0.92</v>
          </cell>
          <cell r="AV2575">
            <v>20</v>
          </cell>
          <cell r="AZ2575">
            <v>0.25</v>
          </cell>
          <cell r="BA2575">
            <v>0.25</v>
          </cell>
        </row>
        <row r="2576">
          <cell r="A2576" t="str">
            <v>VETRERIA LEVANTE</v>
          </cell>
          <cell r="D2576" t="str">
            <v xml:space="preserve">VIA NAZIONALE , 240 </v>
          </cell>
          <cell r="E2576">
            <v>16039</v>
          </cell>
          <cell r="F2576" t="str">
            <v>LEVANTE</v>
          </cell>
          <cell r="G2576" t="str">
            <v>GE</v>
          </cell>
          <cell r="H2576" t="str">
            <v>ITALIA</v>
          </cell>
          <cell r="I2576" t="str">
            <v>PNTPLA40C07F158F</v>
          </cell>
          <cell r="J2576" t="str">
            <v>00113110993</v>
          </cell>
          <cell r="L2576" t="str">
            <v>LOC. Villa Ragione, 17 D</v>
          </cell>
          <cell r="M2576" t="str">
            <v>UFFICIO ACQUISTI</v>
          </cell>
          <cell r="N2576" t="str">
            <v>0185 44824</v>
          </cell>
          <cell r="R2576" t="str">
            <v>BONIFICO BANCARIO, ALLA DATA DELLA NOSTRA CONFERMA D'ORDINE</v>
          </cell>
          <cell r="X2576">
            <v>0.25</v>
          </cell>
          <cell r="Y2576">
            <v>-0.04</v>
          </cell>
          <cell r="AB2576">
            <v>0.25</v>
          </cell>
          <cell r="AC2576">
            <v>0.25</v>
          </cell>
          <cell r="AD2576">
            <v>0.25</v>
          </cell>
          <cell r="AE2576">
            <v>0.25</v>
          </cell>
          <cell r="AF2576">
            <v>0.25</v>
          </cell>
          <cell r="AG2576">
            <v>0.25</v>
          </cell>
          <cell r="AH2576">
            <v>0.25</v>
          </cell>
          <cell r="AI2576">
            <v>0.25</v>
          </cell>
          <cell r="AJ2576">
            <v>0.25</v>
          </cell>
          <cell r="AK2576">
            <v>0.25</v>
          </cell>
          <cell r="AL2576">
            <v>0.25</v>
          </cell>
          <cell r="AM2576">
            <v>0.25</v>
          </cell>
          <cell r="AN2576">
            <v>0.25</v>
          </cell>
          <cell r="AO2576">
            <v>0.25</v>
          </cell>
          <cell r="AP2576">
            <v>0.25</v>
          </cell>
          <cell r="AQ2576">
            <v>0.25</v>
          </cell>
          <cell r="AR2576">
            <v>0.25</v>
          </cell>
          <cell r="AS2576">
            <v>0.25</v>
          </cell>
          <cell r="AT2576">
            <v>-0.04</v>
          </cell>
          <cell r="AU2576">
            <v>0.92</v>
          </cell>
          <cell r="AV2576">
            <v>20</v>
          </cell>
          <cell r="AZ2576">
            <v>0.25</v>
          </cell>
          <cell r="BA2576">
            <v>0.25</v>
          </cell>
        </row>
        <row r="2577">
          <cell r="A2577" t="str">
            <v>VETRERIA LUNGONI DI SARDO ROBERTO</v>
          </cell>
          <cell r="D2577" t="str">
            <v>Z.ARTIGIANALE LI LUCIANEDDI</v>
          </cell>
          <cell r="E2577" t="str">
            <v>07028</v>
          </cell>
          <cell r="F2577" t="str">
            <v>SANTA TERESA DI GALLURA</v>
          </cell>
          <cell r="G2577" t="str">
            <v>SS</v>
          </cell>
          <cell r="H2577" t="str">
            <v>ITALIA</v>
          </cell>
          <cell r="I2577" t="str">
            <v>SRDRRT74E16E425Y</v>
          </cell>
          <cell r="J2577" t="str">
            <v>02676080902</v>
          </cell>
          <cell r="M2577" t="str">
            <v>UFFICIO ACQUISTI</v>
          </cell>
          <cell r="O2577" t="str">
            <v>339 5246780 SARDO ROBERTO</v>
          </cell>
          <cell r="P2577" t="str">
            <v>vetrerialungoni2016@gmail.com</v>
          </cell>
          <cell r="R2577" t="str">
            <v>BONIFICO BANCARIO, ALLA DATA DELLA NOSTRA CONFERMA D'ORDINE</v>
          </cell>
          <cell r="X2577">
            <v>0.2</v>
          </cell>
          <cell r="Y2577">
            <v>-0.04</v>
          </cell>
          <cell r="AB2577">
            <v>0.2</v>
          </cell>
          <cell r="AC2577">
            <v>0.2</v>
          </cell>
          <cell r="AD2577">
            <v>0.2</v>
          </cell>
          <cell r="AE2577">
            <v>0.2</v>
          </cell>
          <cell r="AF2577">
            <v>0.2</v>
          </cell>
          <cell r="AG2577">
            <v>0.2</v>
          </cell>
          <cell r="AH2577">
            <v>0.2</v>
          </cell>
          <cell r="AI2577">
            <v>0.2</v>
          </cell>
          <cell r="AJ2577">
            <v>0.2</v>
          </cell>
          <cell r="AK2577">
            <v>0.2</v>
          </cell>
          <cell r="AL2577">
            <v>0.2</v>
          </cell>
          <cell r="AM2577">
            <v>0.2</v>
          </cell>
          <cell r="AN2577">
            <v>0.2</v>
          </cell>
          <cell r="AO2577">
            <v>0.2</v>
          </cell>
          <cell r="AP2577">
            <v>0.2</v>
          </cell>
          <cell r="AQ2577">
            <v>0.2</v>
          </cell>
          <cell r="AR2577">
            <v>0.2</v>
          </cell>
          <cell r="AS2577">
            <v>0.2</v>
          </cell>
          <cell r="AT2577">
            <v>-0.04</v>
          </cell>
          <cell r="AU2577">
            <v>0.92</v>
          </cell>
          <cell r="AV2577">
            <v>20</v>
          </cell>
          <cell r="AZ2577">
            <v>0.2</v>
          </cell>
          <cell r="BA2577">
            <v>0.2</v>
          </cell>
        </row>
        <row r="2578">
          <cell r="A2578" t="str">
            <v>VETRERIA PETRILLI</v>
          </cell>
          <cell r="D2578" t="str">
            <v>VIA .TARQUATI, SNC</v>
          </cell>
          <cell r="E2578" t="str">
            <v>00047</v>
          </cell>
          <cell r="F2578" t="str">
            <v>MARINO</v>
          </cell>
          <cell r="G2578" t="str">
            <v>RM</v>
          </cell>
          <cell r="H2578" t="str">
            <v>ITALIA</v>
          </cell>
          <cell r="M2578" t="str">
            <v>UFFICIO ACQUISTI</v>
          </cell>
          <cell r="N2578" t="str">
            <v>06 9386622</v>
          </cell>
          <cell r="P2578" t="str">
            <v>info@infissipetrilli.it</v>
          </cell>
          <cell r="R2578" t="str">
            <v>BONIFICO BANCARIO, ALLA DATA DELLA NOSTRA CONFERMA D'ORDINE</v>
          </cell>
          <cell r="X2578">
            <v>0.2</v>
          </cell>
          <cell r="Y2578">
            <v>-0.04</v>
          </cell>
          <cell r="AB2578">
            <v>0.2</v>
          </cell>
          <cell r="AC2578">
            <v>0.2</v>
          </cell>
          <cell r="AD2578">
            <v>0.2</v>
          </cell>
          <cell r="AE2578">
            <v>0.2</v>
          </cell>
          <cell r="AF2578">
            <v>0.2</v>
          </cell>
          <cell r="AG2578">
            <v>0.2</v>
          </cell>
          <cell r="AH2578">
            <v>0.2</v>
          </cell>
          <cell r="AI2578">
            <v>0.2</v>
          </cell>
          <cell r="AJ2578">
            <v>0.2</v>
          </cell>
          <cell r="AK2578">
            <v>0.2</v>
          </cell>
          <cell r="AL2578">
            <v>0.2</v>
          </cell>
          <cell r="AM2578">
            <v>0.2</v>
          </cell>
          <cell r="AN2578">
            <v>0.2</v>
          </cell>
          <cell r="AO2578">
            <v>0.2</v>
          </cell>
          <cell r="AP2578">
            <v>0.2</v>
          </cell>
          <cell r="AQ2578">
            <v>0.2</v>
          </cell>
          <cell r="AR2578">
            <v>0.2</v>
          </cell>
          <cell r="AS2578">
            <v>0.2</v>
          </cell>
          <cell r="AT2578">
            <v>-0.04</v>
          </cell>
          <cell r="AU2578">
            <v>0.92</v>
          </cell>
          <cell r="AV2578">
            <v>20</v>
          </cell>
          <cell r="AZ2578">
            <v>0.2</v>
          </cell>
          <cell r="BA2578">
            <v>0.2</v>
          </cell>
        </row>
        <row r="2579">
          <cell r="A2579" t="str">
            <v>VETRERIA PIACENTINI</v>
          </cell>
          <cell r="D2579" t="str">
            <v>VIA B. CAIMI, 20</v>
          </cell>
          <cell r="E2579">
            <v>22078</v>
          </cell>
          <cell r="F2579" t="str">
            <v>TURATE</v>
          </cell>
          <cell r="G2579" t="str">
            <v>CO</v>
          </cell>
          <cell r="H2579" t="str">
            <v>ITALIA</v>
          </cell>
          <cell r="M2579" t="str">
            <v>UFFICIO ACQUISTI</v>
          </cell>
          <cell r="N2579" t="str">
            <v>02 9688390</v>
          </cell>
          <cell r="R2579" t="str">
            <v>BONIFICO BANCARIO, ALLA DATA DELLA NOSTRA CONFERMA D'ORDINE</v>
          </cell>
          <cell r="X2579">
            <v>0.25</v>
          </cell>
          <cell r="Y2579">
            <v>-0.04</v>
          </cell>
          <cell r="AB2579">
            <v>0.25</v>
          </cell>
          <cell r="AC2579">
            <v>0.25</v>
          </cell>
          <cell r="AD2579">
            <v>0.25</v>
          </cell>
          <cell r="AE2579">
            <v>0.25</v>
          </cell>
          <cell r="AF2579">
            <v>0.25</v>
          </cell>
          <cell r="AG2579">
            <v>0.25</v>
          </cell>
          <cell r="AH2579">
            <v>0.25</v>
          </cell>
          <cell r="AI2579">
            <v>0.25</v>
          </cell>
          <cell r="AJ2579">
            <v>0.25</v>
          </cell>
          <cell r="AK2579">
            <v>0.25</v>
          </cell>
          <cell r="AL2579">
            <v>0.25</v>
          </cell>
          <cell r="AM2579">
            <v>0.25</v>
          </cell>
          <cell r="AN2579">
            <v>0.25</v>
          </cell>
          <cell r="AO2579">
            <v>0.25</v>
          </cell>
          <cell r="AP2579">
            <v>0.25</v>
          </cell>
          <cell r="AQ2579">
            <v>0.25</v>
          </cell>
          <cell r="AR2579">
            <v>0.25</v>
          </cell>
          <cell r="AS2579">
            <v>0.25</v>
          </cell>
          <cell r="AT2579">
            <v>-0.04</v>
          </cell>
          <cell r="AU2579">
            <v>0.92</v>
          </cell>
          <cell r="AV2579">
            <v>20</v>
          </cell>
          <cell r="AZ2579">
            <v>0.25</v>
          </cell>
          <cell r="BA2579">
            <v>0.25</v>
          </cell>
        </row>
        <row r="2580">
          <cell r="A2580" t="str">
            <v>VETRERIA PIEROZZI DI PIEROZZI ANDREA</v>
          </cell>
          <cell r="D2580" t="str">
            <v>VIA DELLE INDUSTRIE, 3</v>
          </cell>
          <cell r="E2580" t="str">
            <v>06049</v>
          </cell>
          <cell r="F2580" t="str">
            <v>SPOLETO</v>
          </cell>
          <cell r="G2580" t="str">
            <v>PG</v>
          </cell>
          <cell r="H2580" t="str">
            <v>ITALIA</v>
          </cell>
          <cell r="J2580" t="str">
            <v>02888990542</v>
          </cell>
          <cell r="M2580" t="str">
            <v>UFFICIO ACQUISTI</v>
          </cell>
          <cell r="N2580" t="str">
            <v>0743 222317</v>
          </cell>
          <cell r="P2580" t="str">
            <v>vetreria.pierozzi@gmail.com</v>
          </cell>
          <cell r="R2580" t="str">
            <v>BONIFICO BANCARIO, ALLA DATA DELLA NOSTRA CONFERMA D'ORDINE</v>
          </cell>
          <cell r="Y2580">
            <v>-0.04</v>
          </cell>
          <cell r="AT2580">
            <v>-0.04</v>
          </cell>
          <cell r="AV2580">
            <v>20</v>
          </cell>
          <cell r="AZ2580">
            <v>0</v>
          </cell>
          <cell r="BA2580">
            <v>0</v>
          </cell>
        </row>
        <row r="2581">
          <cell r="A2581" t="str">
            <v>VETRERIA REVELLO LEVANTE</v>
          </cell>
          <cell r="E2581">
            <v>12051</v>
          </cell>
          <cell r="F2581" t="str">
            <v>ALBA</v>
          </cell>
          <cell r="G2581" t="str">
            <v>CN</v>
          </cell>
          <cell r="H2581" t="str">
            <v>ITALIA</v>
          </cell>
          <cell r="M2581" t="str">
            <v>UFFICIO ACQUISTI</v>
          </cell>
          <cell r="O2581" t="str">
            <v>347 9051550</v>
          </cell>
          <cell r="R2581" t="str">
            <v>BONIFICO BANCARIO, ALLA DATA DELLA NOSTRA CONFERMA D'ORDINE</v>
          </cell>
          <cell r="X2581">
            <v>0.25</v>
          </cell>
          <cell r="Y2581">
            <v>-0.04</v>
          </cell>
          <cell r="AB2581">
            <v>0.25</v>
          </cell>
          <cell r="AC2581">
            <v>0.25</v>
          </cell>
          <cell r="AD2581">
            <v>0.25</v>
          </cell>
          <cell r="AE2581">
            <v>0.25</v>
          </cell>
          <cell r="AF2581">
            <v>0.25</v>
          </cell>
          <cell r="AG2581">
            <v>0.25</v>
          </cell>
          <cell r="AH2581">
            <v>0.25</v>
          </cell>
          <cell r="AI2581">
            <v>0.25</v>
          </cell>
          <cell r="AJ2581">
            <v>0.25</v>
          </cell>
          <cell r="AK2581">
            <v>0.25</v>
          </cell>
          <cell r="AL2581">
            <v>0.25</v>
          </cell>
          <cell r="AM2581">
            <v>0.25</v>
          </cell>
          <cell r="AN2581">
            <v>0.25</v>
          </cell>
          <cell r="AO2581">
            <v>0.25</v>
          </cell>
          <cell r="AP2581">
            <v>0.25</v>
          </cell>
          <cell r="AQ2581">
            <v>0.25</v>
          </cell>
          <cell r="AR2581">
            <v>0.25</v>
          </cell>
          <cell r="AS2581">
            <v>0.25</v>
          </cell>
          <cell r="AT2581">
            <v>-0.04</v>
          </cell>
          <cell r="AU2581">
            <v>0.92</v>
          </cell>
          <cell r="AV2581">
            <v>20</v>
          </cell>
          <cell r="AZ2581">
            <v>0.25</v>
          </cell>
          <cell r="BA2581">
            <v>0.25</v>
          </cell>
        </row>
        <row r="2582">
          <cell r="A2582" t="str">
            <v>VETRERIA ROGNONI ANTONIO DI ROGNONI GIORGIO</v>
          </cell>
          <cell r="D2582" t="str">
            <v>VIA 1° MAGGIO, 12</v>
          </cell>
          <cell r="E2582">
            <v>21017</v>
          </cell>
          <cell r="F2582" t="str">
            <v>SAMARATE</v>
          </cell>
          <cell r="G2582" t="str">
            <v>VA</v>
          </cell>
          <cell r="H2582" t="str">
            <v>ITALIA</v>
          </cell>
          <cell r="I2582" t="str">
            <v>RGNGRG72C13B300R</v>
          </cell>
          <cell r="J2582" t="str">
            <v>02633020124</v>
          </cell>
          <cell r="M2582" t="str">
            <v>UFFICIO ACQUISTI</v>
          </cell>
          <cell r="N2582" t="str">
            <v>0331 223088</v>
          </cell>
          <cell r="R2582" t="str">
            <v>BONIFICO BANCARIO, ALLA DATA DELLA NOSTRA CONFERMA D'ORDINE</v>
          </cell>
          <cell r="X2582">
            <v>0.25</v>
          </cell>
          <cell r="Y2582">
            <v>-0.04</v>
          </cell>
          <cell r="AB2582">
            <v>0.25</v>
          </cell>
          <cell r="AC2582">
            <v>0.25</v>
          </cell>
          <cell r="AD2582">
            <v>0.25</v>
          </cell>
          <cell r="AE2582">
            <v>0.25</v>
          </cell>
          <cell r="AF2582">
            <v>0.25</v>
          </cell>
          <cell r="AG2582">
            <v>0.25</v>
          </cell>
          <cell r="AH2582">
            <v>0.25</v>
          </cell>
          <cell r="AI2582">
            <v>0.25</v>
          </cell>
          <cell r="AJ2582">
            <v>0.25</v>
          </cell>
          <cell r="AK2582">
            <v>0.25</v>
          </cell>
          <cell r="AL2582">
            <v>0.25</v>
          </cell>
          <cell r="AM2582">
            <v>0.25</v>
          </cell>
          <cell r="AN2582">
            <v>0.25</v>
          </cell>
          <cell r="AO2582">
            <v>0.25</v>
          </cell>
          <cell r="AP2582">
            <v>0.25</v>
          </cell>
          <cell r="AQ2582">
            <v>0.25</v>
          </cell>
          <cell r="AR2582">
            <v>0.25</v>
          </cell>
          <cell r="AS2582">
            <v>0.25</v>
          </cell>
          <cell r="AT2582">
            <v>-0.04</v>
          </cell>
          <cell r="AU2582">
            <v>0.92</v>
          </cell>
          <cell r="AV2582">
            <v>20</v>
          </cell>
          <cell r="AZ2582">
            <v>0.25</v>
          </cell>
          <cell r="BA2582">
            <v>0.25</v>
          </cell>
        </row>
        <row r="2583">
          <cell r="A2583" t="str">
            <v>VETROMETAL  SNC</v>
          </cell>
          <cell r="D2583" t="str">
            <v>VIA PATROVECCHIO, 31 A</v>
          </cell>
          <cell r="E2583">
            <v>50053</v>
          </cell>
          <cell r="F2583" t="str">
            <v>EMPOLI</v>
          </cell>
          <cell r="G2583" t="str">
            <v>FI</v>
          </cell>
          <cell r="H2583" t="str">
            <v>ITALIA</v>
          </cell>
          <cell r="J2583" t="str">
            <v>06074380483</v>
          </cell>
          <cell r="M2583" t="str">
            <v>UFFICIO ACQUISTI</v>
          </cell>
          <cell r="N2583" t="str">
            <v>0571 82692</v>
          </cell>
          <cell r="O2583" t="str">
            <v>333 8051581   3289555378</v>
          </cell>
          <cell r="P2583" t="str">
            <v>vetrometal@fastwebnet.it</v>
          </cell>
          <cell r="R2583" t="str">
            <v>BONIFICO BANCARIO, ALLA DATA DELLA NOSTRA CONFERMA D'ORDINE</v>
          </cell>
          <cell r="X2583">
            <v>0.25</v>
          </cell>
          <cell r="Y2583">
            <v>-0.04</v>
          </cell>
          <cell r="AB2583">
            <v>0.25</v>
          </cell>
          <cell r="AC2583">
            <v>0.25</v>
          </cell>
          <cell r="AD2583">
            <v>0.25</v>
          </cell>
          <cell r="AE2583">
            <v>0.25</v>
          </cell>
          <cell r="AF2583">
            <v>0.25</v>
          </cell>
          <cell r="AG2583">
            <v>0.25</v>
          </cell>
          <cell r="AH2583">
            <v>0.25</v>
          </cell>
          <cell r="AI2583">
            <v>0.25</v>
          </cell>
          <cell r="AJ2583">
            <v>0.25</v>
          </cell>
          <cell r="AK2583">
            <v>0.25</v>
          </cell>
          <cell r="AL2583">
            <v>0.25</v>
          </cell>
          <cell r="AM2583">
            <v>0.25</v>
          </cell>
          <cell r="AN2583">
            <v>0.25</v>
          </cell>
          <cell r="AO2583">
            <v>0.25</v>
          </cell>
          <cell r="AP2583">
            <v>0.25</v>
          </cell>
          <cell r="AQ2583">
            <v>0.25</v>
          </cell>
          <cell r="AR2583">
            <v>0.25</v>
          </cell>
          <cell r="AS2583">
            <v>0.25</v>
          </cell>
          <cell r="AT2583">
            <v>-0.04</v>
          </cell>
          <cell r="AU2583">
            <v>0.92</v>
          </cell>
          <cell r="AV2583">
            <v>20</v>
          </cell>
          <cell r="AZ2583">
            <v>0.25</v>
          </cell>
          <cell r="BA2583">
            <v>0.25</v>
          </cell>
        </row>
        <row r="2584">
          <cell r="A2584" t="str">
            <v>VETROTENDA SNC</v>
          </cell>
          <cell r="D2584" t="str">
            <v>VIALE INDUSTRIA, 64/2</v>
          </cell>
          <cell r="E2584" t="str">
            <v>27025</v>
          </cell>
          <cell r="F2584" t="str">
            <v>GAMBOLO'</v>
          </cell>
          <cell r="G2584" t="str">
            <v>PV</v>
          </cell>
          <cell r="H2584" t="str">
            <v>ITALIA</v>
          </cell>
          <cell r="J2584" t="str">
            <v>01158850188</v>
          </cell>
          <cell r="M2584" t="str">
            <v>UFFICIO ACQUISTI</v>
          </cell>
          <cell r="N2584" t="str">
            <v>0381 939654</v>
          </cell>
          <cell r="P2584" t="str">
            <v>vetrotenda@virgilio.it</v>
          </cell>
          <cell r="R2584" t="str">
            <v>BONIFICO BANCARIO, ALLA DATA DELLA NOSTRA CONFERMA D'ORDINE</v>
          </cell>
          <cell r="X2584">
            <v>0.25</v>
          </cell>
          <cell r="Y2584">
            <v>-0.04</v>
          </cell>
          <cell r="AB2584">
            <v>0.25</v>
          </cell>
          <cell r="AC2584">
            <v>0.25</v>
          </cell>
          <cell r="AD2584">
            <v>0.25</v>
          </cell>
          <cell r="AE2584">
            <v>0.25</v>
          </cell>
          <cell r="AF2584">
            <v>0.25</v>
          </cell>
          <cell r="AG2584">
            <v>0.25</v>
          </cell>
          <cell r="AH2584">
            <v>0.25</v>
          </cell>
          <cell r="AI2584">
            <v>0.25</v>
          </cell>
          <cell r="AJ2584">
            <v>0.25</v>
          </cell>
          <cell r="AK2584">
            <v>0.25</v>
          </cell>
          <cell r="AL2584">
            <v>0.25</v>
          </cell>
          <cell r="AM2584">
            <v>0.25</v>
          </cell>
          <cell r="AN2584">
            <v>0.25</v>
          </cell>
          <cell r="AO2584">
            <v>0.25</v>
          </cell>
          <cell r="AP2584">
            <v>0.25</v>
          </cell>
          <cell r="AQ2584">
            <v>0.25</v>
          </cell>
          <cell r="AR2584">
            <v>0.25</v>
          </cell>
          <cell r="AS2584">
            <v>0.25</v>
          </cell>
          <cell r="AT2584">
            <v>-0.04</v>
          </cell>
          <cell r="AU2584">
            <v>0.92</v>
          </cell>
          <cell r="AV2584">
            <v>20</v>
          </cell>
          <cell r="AZ2584">
            <v>0.25</v>
          </cell>
          <cell r="BA2584">
            <v>0.25</v>
          </cell>
        </row>
        <row r="2585">
          <cell r="A2585" t="str">
            <v>VETTORETTI SRL</v>
          </cell>
          <cell r="B2585" t="str">
            <v>info@infissivettoretti.it (NON VUOLE RICEVERE MAIL)</v>
          </cell>
          <cell r="D2585" t="str">
            <v>VIA G. PASTORE 24</v>
          </cell>
          <cell r="E2585" t="str">
            <v>31044</v>
          </cell>
          <cell r="F2585" t="str">
            <v>MONTEBELLUNA</v>
          </cell>
          <cell r="G2585" t="str">
            <v>TV</v>
          </cell>
          <cell r="H2585" t="str">
            <v>ITALIA</v>
          </cell>
          <cell r="J2585" t="str">
            <v>01773170269</v>
          </cell>
          <cell r="M2585" t="str">
            <v>UFFICIO ACQUISTI</v>
          </cell>
          <cell r="N2585" t="str">
            <v>0423 601613</v>
          </cell>
          <cell r="R2585" t="str">
            <v>BONIFICO BANCARIO, ALLA DATA DELLA NOSTRA CONFERMA D'ORDINE</v>
          </cell>
          <cell r="X2585">
            <v>0.25</v>
          </cell>
          <cell r="Y2585">
            <v>-0.04</v>
          </cell>
          <cell r="AB2585">
            <v>0.25</v>
          </cell>
          <cell r="AC2585">
            <v>0.25</v>
          </cell>
          <cell r="AD2585">
            <v>0.25</v>
          </cell>
          <cell r="AE2585">
            <v>0.25</v>
          </cell>
          <cell r="AF2585">
            <v>0.25</v>
          </cell>
          <cell r="AG2585">
            <v>0.25</v>
          </cell>
          <cell r="AH2585">
            <v>0.25</v>
          </cell>
          <cell r="AI2585">
            <v>0.25</v>
          </cell>
          <cell r="AJ2585">
            <v>0.25</v>
          </cell>
          <cell r="AK2585">
            <v>0.25</v>
          </cell>
          <cell r="AL2585">
            <v>0.25</v>
          </cell>
          <cell r="AM2585">
            <v>0.25</v>
          </cell>
          <cell r="AN2585">
            <v>0.25</v>
          </cell>
          <cell r="AO2585">
            <v>0.25</v>
          </cell>
          <cell r="AP2585">
            <v>0.25</v>
          </cell>
          <cell r="AQ2585">
            <v>0.25</v>
          </cell>
          <cell r="AR2585">
            <v>0.25</v>
          </cell>
          <cell r="AS2585">
            <v>0.25</v>
          </cell>
          <cell r="AT2585">
            <v>-0.04</v>
          </cell>
          <cell r="AU2585">
            <v>0.92</v>
          </cell>
          <cell r="AV2585">
            <v>20</v>
          </cell>
          <cell r="AZ2585">
            <v>0.25</v>
          </cell>
          <cell r="BA2585">
            <v>0.25</v>
          </cell>
        </row>
        <row r="2586">
          <cell r="A2586" t="str">
            <v>VG. SERRAMENTI Srl</v>
          </cell>
          <cell r="D2586" t="str">
            <v>VIA PIAVE, 146</v>
          </cell>
          <cell r="E2586">
            <v>21047</v>
          </cell>
          <cell r="F2586" t="str">
            <v>SARONNO</v>
          </cell>
          <cell r="G2586" t="str">
            <v>VA</v>
          </cell>
          <cell r="H2586" t="str">
            <v>ITALIA</v>
          </cell>
          <cell r="I2586" t="str">
            <v>03189060126</v>
          </cell>
          <cell r="J2586" t="str">
            <v>03189060126</v>
          </cell>
          <cell r="M2586" t="str">
            <v>UFFICIO ACQUISTI</v>
          </cell>
          <cell r="N2586" t="str">
            <v>02 96734099</v>
          </cell>
          <cell r="P2586" t="str">
            <v>info@vg-serramenti.it</v>
          </cell>
          <cell r="R2586" t="str">
            <v>BONIFICO BANCARIO, ALLA DATA DELLA NOSTRA CONFERMA D'ORDINE</v>
          </cell>
          <cell r="X2586">
            <v>0.25</v>
          </cell>
          <cell r="Y2586">
            <v>-0.04</v>
          </cell>
          <cell r="AB2586">
            <v>0.25</v>
          </cell>
          <cell r="AC2586">
            <v>0.25</v>
          </cell>
          <cell r="AD2586">
            <v>0.25</v>
          </cell>
          <cell r="AE2586">
            <v>0.25</v>
          </cell>
          <cell r="AF2586">
            <v>0.25</v>
          </cell>
          <cell r="AG2586">
            <v>0.25</v>
          </cell>
          <cell r="AH2586">
            <v>0.25</v>
          </cell>
          <cell r="AI2586">
            <v>0.25</v>
          </cell>
          <cell r="AJ2586">
            <v>0.25</v>
          </cell>
          <cell r="AK2586">
            <v>0.25</v>
          </cell>
          <cell r="AL2586">
            <v>0.25</v>
          </cell>
          <cell r="AM2586">
            <v>0.25</v>
          </cell>
          <cell r="AN2586">
            <v>0.25</v>
          </cell>
          <cell r="AO2586">
            <v>0.25</v>
          </cell>
          <cell r="AP2586">
            <v>0.25</v>
          </cell>
          <cell r="AQ2586">
            <v>0.25</v>
          </cell>
          <cell r="AR2586">
            <v>0.25</v>
          </cell>
          <cell r="AS2586">
            <v>0.25</v>
          </cell>
          <cell r="AT2586">
            <v>-0.04</v>
          </cell>
          <cell r="AU2586">
            <v>0.92</v>
          </cell>
          <cell r="AV2586">
            <v>20</v>
          </cell>
          <cell r="AZ2586">
            <v>0.25</v>
          </cell>
          <cell r="BA2586">
            <v>0.25</v>
          </cell>
        </row>
        <row r="2587">
          <cell r="A2587" t="str">
            <v>VIAROLI INFISSI</v>
          </cell>
          <cell r="D2587" t="str">
            <v>VIA DEI CONSOLI, 4 A</v>
          </cell>
          <cell r="E2587" t="str">
            <v>00012</v>
          </cell>
          <cell r="F2587" t="str">
            <v>GUIDONIA</v>
          </cell>
          <cell r="G2587" t="str">
            <v>RM</v>
          </cell>
          <cell r="H2587" t="str">
            <v>ITALIA</v>
          </cell>
          <cell r="I2587" t="str">
            <v>07154510585</v>
          </cell>
          <cell r="J2587" t="str">
            <v>01701871004</v>
          </cell>
          <cell r="M2587" t="str">
            <v>UFFICIO ACQUISTI</v>
          </cell>
          <cell r="N2587" t="str">
            <v>0774 341630</v>
          </cell>
          <cell r="O2587" t="str">
            <v>320 9575725</v>
          </cell>
          <cell r="R2587" t="str">
            <v>BONIFICO BANCARIO, ALLA DATA DELLA NOSTRA CONFERMA D'ORDINE</v>
          </cell>
          <cell r="X2587">
            <v>0.25</v>
          </cell>
          <cell r="Y2587">
            <v>-0.04</v>
          </cell>
          <cell r="AB2587">
            <v>0.25</v>
          </cell>
          <cell r="AC2587">
            <v>0.25</v>
          </cell>
          <cell r="AD2587">
            <v>0.25</v>
          </cell>
          <cell r="AE2587">
            <v>0.25</v>
          </cell>
          <cell r="AF2587">
            <v>0.25</v>
          </cell>
          <cell r="AG2587">
            <v>0.25</v>
          </cell>
          <cell r="AH2587">
            <v>0.25</v>
          </cell>
          <cell r="AI2587">
            <v>0.25</v>
          </cell>
          <cell r="AJ2587">
            <v>0.25</v>
          </cell>
          <cell r="AK2587">
            <v>0.25</v>
          </cell>
          <cell r="AL2587">
            <v>0.25</v>
          </cell>
          <cell r="AM2587">
            <v>0.25</v>
          </cell>
          <cell r="AN2587">
            <v>0.25</v>
          </cell>
          <cell r="AO2587">
            <v>0.25</v>
          </cell>
          <cell r="AP2587">
            <v>0.25</v>
          </cell>
          <cell r="AQ2587">
            <v>0.25</v>
          </cell>
          <cell r="AR2587">
            <v>0.25</v>
          </cell>
          <cell r="AS2587">
            <v>0.25</v>
          </cell>
          <cell r="AT2587">
            <v>-0.04</v>
          </cell>
          <cell r="AU2587">
            <v>0.92</v>
          </cell>
          <cell r="AV2587">
            <v>20</v>
          </cell>
          <cell r="AZ2587">
            <v>0.25</v>
          </cell>
          <cell r="BA2587">
            <v>0.25</v>
          </cell>
        </row>
        <row r="2588">
          <cell r="A2588" t="str">
            <v xml:space="preserve">VICENTINA SERRAMENTI </v>
          </cell>
          <cell r="D2588" t="str">
            <v>V.LE TRIESTE, 332  334</v>
          </cell>
          <cell r="E2588">
            <v>36100</v>
          </cell>
          <cell r="F2588" t="str">
            <v>VICENZA</v>
          </cell>
          <cell r="G2588" t="str">
            <v>VI</v>
          </cell>
          <cell r="H2588" t="str">
            <v>ITALIA</v>
          </cell>
          <cell r="I2588" t="str">
            <v>02264650249</v>
          </cell>
          <cell r="J2588" t="str">
            <v>02264650249</v>
          </cell>
          <cell r="M2588" t="str">
            <v>UFFICIO ACQUISTI</v>
          </cell>
          <cell r="N2588" t="str">
            <v>0444 302659</v>
          </cell>
          <cell r="O2588" t="str">
            <v>Maristella Carta 348 7003334</v>
          </cell>
          <cell r="P2588" t="str">
            <v>maristella@vicser.it - vicser@vicser.it</v>
          </cell>
          <cell r="R2588" t="str">
            <v>BONIFICO BANCARIO, ALLA DATA DELLA NOSTRA CONFERMA D'ORDINE</v>
          </cell>
          <cell r="X2588">
            <v>0.25</v>
          </cell>
          <cell r="Y2588">
            <v>-0.04</v>
          </cell>
          <cell r="AB2588">
            <v>0.25</v>
          </cell>
          <cell r="AC2588">
            <v>0.25</v>
          </cell>
          <cell r="AD2588">
            <v>0.25</v>
          </cell>
          <cell r="AE2588">
            <v>0.25</v>
          </cell>
          <cell r="AF2588">
            <v>0.25</v>
          </cell>
          <cell r="AG2588">
            <v>0.25</v>
          </cell>
          <cell r="AH2588">
            <v>0.25</v>
          </cell>
          <cell r="AI2588">
            <v>0.25</v>
          </cell>
          <cell r="AJ2588">
            <v>0.25</v>
          </cell>
          <cell r="AK2588">
            <v>0.25</v>
          </cell>
          <cell r="AL2588">
            <v>0.25</v>
          </cell>
          <cell r="AM2588">
            <v>0.25</v>
          </cell>
          <cell r="AN2588">
            <v>0.25</v>
          </cell>
          <cell r="AO2588">
            <v>0.25</v>
          </cell>
          <cell r="AP2588">
            <v>0.25</v>
          </cell>
          <cell r="AQ2588">
            <v>0.25</v>
          </cell>
          <cell r="AR2588">
            <v>0.25</v>
          </cell>
          <cell r="AS2588">
            <v>0.25</v>
          </cell>
          <cell r="AT2588">
            <v>-0.04</v>
          </cell>
          <cell r="AU2588">
            <v>0.92</v>
          </cell>
          <cell r="AV2588">
            <v>20</v>
          </cell>
          <cell r="AZ2588">
            <v>0.25</v>
          </cell>
          <cell r="BA2588">
            <v>0.25</v>
          </cell>
        </row>
        <row r="2589">
          <cell r="A2589" t="str">
            <v>VICINI SERRAMENTI SNC DI FRANA G. E LERTORA P.</v>
          </cell>
          <cell r="D2589" t="str">
            <v>VIA DOGALI 58/2</v>
          </cell>
          <cell r="E2589" t="str">
            <v>16038</v>
          </cell>
          <cell r="F2589" t="str">
            <v>SANTA MARGHERITA LIGURE</v>
          </cell>
          <cell r="G2589" t="str">
            <v>GE</v>
          </cell>
          <cell r="H2589" t="str">
            <v>ITALIA</v>
          </cell>
          <cell r="J2589" t="str">
            <v>00167590991</v>
          </cell>
          <cell r="M2589" t="str">
            <v>UFFICIO ACQUISTI</v>
          </cell>
          <cell r="N2589" t="str">
            <v>0185 289515</v>
          </cell>
          <cell r="R2589" t="str">
            <v>BONIFICO BANCARIO, ALLA DATA DELLA NOSTRA CONFERMA D'ORDINE</v>
          </cell>
          <cell r="X2589">
            <v>0.25</v>
          </cell>
          <cell r="Y2589">
            <v>-0.04</v>
          </cell>
          <cell r="AB2589">
            <v>0.25</v>
          </cell>
          <cell r="AC2589">
            <v>0.25</v>
          </cell>
          <cell r="AD2589">
            <v>0.25</v>
          </cell>
          <cell r="AE2589">
            <v>0.25</v>
          </cell>
          <cell r="AF2589">
            <v>0.25</v>
          </cell>
          <cell r="AG2589">
            <v>0.25</v>
          </cell>
          <cell r="AH2589">
            <v>0.25</v>
          </cell>
          <cell r="AI2589">
            <v>0.25</v>
          </cell>
          <cell r="AJ2589">
            <v>0.25</v>
          </cell>
          <cell r="AK2589">
            <v>0.25</v>
          </cell>
          <cell r="AL2589">
            <v>0.25</v>
          </cell>
          <cell r="AM2589">
            <v>0.25</v>
          </cell>
          <cell r="AN2589">
            <v>0.25</v>
          </cell>
          <cell r="AO2589">
            <v>0.25</v>
          </cell>
          <cell r="AP2589">
            <v>0.25</v>
          </cell>
          <cell r="AQ2589">
            <v>0.25</v>
          </cell>
          <cell r="AR2589">
            <v>0.25</v>
          </cell>
          <cell r="AS2589">
            <v>0.25</v>
          </cell>
          <cell r="AT2589">
            <v>-0.04</v>
          </cell>
          <cell r="AU2589">
            <v>0.92</v>
          </cell>
          <cell r="AV2589">
            <v>20</v>
          </cell>
          <cell r="AZ2589">
            <v>0.25</v>
          </cell>
          <cell r="BA2589">
            <v>0.25</v>
          </cell>
        </row>
        <row r="2590">
          <cell r="A2590" t="str">
            <v>VILLA DEI FIORI  SERRAMENTI E RISTRUTTURAZIONI</v>
          </cell>
          <cell r="D2590" t="str">
            <v>FRAZ.REMISE, 27</v>
          </cell>
          <cell r="E2590">
            <v>11100</v>
          </cell>
          <cell r="F2590" t="str">
            <v>AOSTA</v>
          </cell>
          <cell r="G2590" t="str">
            <v>AO</v>
          </cell>
          <cell r="H2590" t="str">
            <v>ITALIA</v>
          </cell>
          <cell r="M2590" t="str">
            <v>UFFICIO ACQUISTI</v>
          </cell>
          <cell r="N2590" t="str">
            <v>0165 258620</v>
          </cell>
          <cell r="P2590" t="str">
            <v>info@villadeifioriserramenti.it</v>
          </cell>
          <cell r="R2590" t="str">
            <v>BONIFICO BANCARIO, ALLA DATA DELLA NOSTRA CONFERMA D'ORDINE</v>
          </cell>
          <cell r="X2590">
            <v>0.25</v>
          </cell>
          <cell r="Y2590">
            <v>-0.04</v>
          </cell>
          <cell r="AB2590">
            <v>0.25</v>
          </cell>
          <cell r="AC2590">
            <v>0.25</v>
          </cell>
          <cell r="AD2590">
            <v>0.25</v>
          </cell>
          <cell r="AE2590">
            <v>0.25</v>
          </cell>
          <cell r="AF2590">
            <v>0.25</v>
          </cell>
          <cell r="AG2590">
            <v>0.25</v>
          </cell>
          <cell r="AH2590">
            <v>0.25</v>
          </cell>
          <cell r="AI2590">
            <v>0.25</v>
          </cell>
          <cell r="AJ2590">
            <v>0.25</v>
          </cell>
          <cell r="AK2590">
            <v>0.25</v>
          </cell>
          <cell r="AL2590">
            <v>0.25</v>
          </cell>
          <cell r="AM2590">
            <v>0.25</v>
          </cell>
          <cell r="AN2590">
            <v>0.25</v>
          </cell>
          <cell r="AO2590">
            <v>0.25</v>
          </cell>
          <cell r="AP2590">
            <v>0.25</v>
          </cell>
          <cell r="AQ2590">
            <v>0.25</v>
          </cell>
          <cell r="AR2590">
            <v>0.25</v>
          </cell>
          <cell r="AS2590">
            <v>0.25</v>
          </cell>
          <cell r="AT2590">
            <v>-0.04</v>
          </cell>
          <cell r="AU2590">
            <v>0.92</v>
          </cell>
          <cell r="AV2590">
            <v>20</v>
          </cell>
          <cell r="AZ2590">
            <v>0.25</v>
          </cell>
          <cell r="BA2590">
            <v>0.25</v>
          </cell>
        </row>
        <row r="2591">
          <cell r="A2591" t="str">
            <v>VILONE DANIELE</v>
          </cell>
          <cell r="B2591" t="str">
            <v>MONDO INFISSI PIGNOTTI G.FRANCO GROTTAMMARE</v>
          </cell>
          <cell r="D2591" t="str">
            <v>VIA S.PELLICO, 189</v>
          </cell>
          <cell r="E2591" t="str">
            <v>63074</v>
          </cell>
          <cell r="F2591" t="str">
            <v>SAN BENEDETTO DEL TRONTO</v>
          </cell>
          <cell r="G2591" t="str">
            <v>AP</v>
          </cell>
          <cell r="H2591" t="str">
            <v>ITALIA</v>
          </cell>
          <cell r="J2591" t="str">
            <v>01506720448</v>
          </cell>
          <cell r="M2591" t="str">
            <v>UFFICIO ACQUISTI</v>
          </cell>
          <cell r="N2591" t="str">
            <v>0735 82921</v>
          </cell>
          <cell r="O2591" t="str">
            <v>349 0968776</v>
          </cell>
          <cell r="R2591" t="str">
            <v>BONIFICO BANCARIO, ALLA DATA DELLA NOSTRA CONFERMA D'ORDINE</v>
          </cell>
          <cell r="X2591">
            <v>0.2</v>
          </cell>
          <cell r="Y2591">
            <v>-0.04</v>
          </cell>
          <cell r="AB2591">
            <v>0.2</v>
          </cell>
          <cell r="AC2591">
            <v>0.2</v>
          </cell>
          <cell r="AD2591">
            <v>0.2</v>
          </cell>
          <cell r="AE2591">
            <v>0.2</v>
          </cell>
          <cell r="AF2591">
            <v>0.2</v>
          </cell>
          <cell r="AG2591">
            <v>0.2</v>
          </cell>
          <cell r="AH2591">
            <v>0.2</v>
          </cell>
          <cell r="AI2591">
            <v>0.2</v>
          </cell>
          <cell r="AJ2591">
            <v>0.2</v>
          </cell>
          <cell r="AK2591">
            <v>0.2</v>
          </cell>
          <cell r="AL2591">
            <v>0.2</v>
          </cell>
          <cell r="AM2591">
            <v>0.2</v>
          </cell>
          <cell r="AN2591">
            <v>0.2</v>
          </cell>
          <cell r="AO2591">
            <v>0.2</v>
          </cell>
          <cell r="AP2591">
            <v>0.2</v>
          </cell>
          <cell r="AQ2591">
            <v>0.2</v>
          </cell>
          <cell r="AR2591">
            <v>0.2</v>
          </cell>
          <cell r="AS2591">
            <v>0.2</v>
          </cell>
          <cell r="AT2591">
            <v>-0.04</v>
          </cell>
          <cell r="AU2591">
            <v>0.92</v>
          </cell>
          <cell r="AV2591">
            <v>20</v>
          </cell>
          <cell r="AZ2591">
            <v>0.2</v>
          </cell>
          <cell r="BA2591">
            <v>0.2</v>
          </cell>
        </row>
        <row r="2592">
          <cell r="A2592" t="str">
            <v>VINCENZO BARBATA</v>
          </cell>
          <cell r="E2592" t="str">
            <v>91025</v>
          </cell>
          <cell r="F2592" t="str">
            <v>MARSALA</v>
          </cell>
          <cell r="G2592" t="str">
            <v>TP</v>
          </cell>
          <cell r="H2592" t="str">
            <v>ITALIA</v>
          </cell>
          <cell r="M2592" t="str">
            <v>UFFICIO ACQUISTI</v>
          </cell>
          <cell r="O2592" t="str">
            <v>348 3108420</v>
          </cell>
          <cell r="P2592" t="str">
            <v>vbinfissi@libero.it</v>
          </cell>
          <cell r="R2592" t="str">
            <v>BONIFICO BANCARIO, ALLA DATA DELLA NOSTRA CONFERMA D'ORDINE</v>
          </cell>
          <cell r="X2592">
            <v>0.25</v>
          </cell>
          <cell r="Y2592">
            <v>-0.04</v>
          </cell>
          <cell r="AB2592">
            <v>0.25</v>
          </cell>
          <cell r="AC2592">
            <v>0.25</v>
          </cell>
          <cell r="AD2592">
            <v>0.25</v>
          </cell>
          <cell r="AE2592">
            <v>0.25</v>
          </cell>
          <cell r="AF2592">
            <v>0.25</v>
          </cell>
          <cell r="AG2592">
            <v>0.25</v>
          </cell>
          <cell r="AH2592">
            <v>0.25</v>
          </cell>
          <cell r="AI2592">
            <v>0.25</v>
          </cell>
          <cell r="AJ2592">
            <v>0.25</v>
          </cell>
          <cell r="AK2592">
            <v>0.25</v>
          </cell>
          <cell r="AL2592">
            <v>0.25</v>
          </cell>
          <cell r="AM2592">
            <v>0.25</v>
          </cell>
          <cell r="AN2592">
            <v>0.25</v>
          </cell>
          <cell r="AO2592">
            <v>0.25</v>
          </cell>
          <cell r="AP2592">
            <v>0.25</v>
          </cell>
          <cell r="AQ2592">
            <v>0.25</v>
          </cell>
          <cell r="AR2592">
            <v>0.25</v>
          </cell>
          <cell r="AS2592">
            <v>0.25</v>
          </cell>
          <cell r="AT2592">
            <v>-0.04</v>
          </cell>
          <cell r="AU2592">
            <v>0.92</v>
          </cell>
          <cell r="AV2592">
            <v>20</v>
          </cell>
          <cell r="AZ2592">
            <v>0.25</v>
          </cell>
          <cell r="BA2592">
            <v>0.25</v>
          </cell>
        </row>
        <row r="2593">
          <cell r="A2593" t="str">
            <v>VINSER.SRL</v>
          </cell>
          <cell r="D2593" t="str">
            <v>VIA MILANO, 165 167</v>
          </cell>
          <cell r="E2593">
            <v>20021</v>
          </cell>
          <cell r="F2593" t="str">
            <v>BAARANZATE</v>
          </cell>
          <cell r="G2593" t="str">
            <v>MI</v>
          </cell>
          <cell r="H2593" t="str">
            <v>ITALIA</v>
          </cell>
          <cell r="M2593" t="str">
            <v>UFFICIO ACQUISTI</v>
          </cell>
          <cell r="N2593" t="str">
            <v>02 39320450</v>
          </cell>
          <cell r="O2593" t="str">
            <v>328 8226792</v>
          </cell>
          <cell r="P2593" t="str">
            <v>vinser@serramenti-milano.it</v>
          </cell>
          <cell r="R2593" t="str">
            <v>BONIFICO BANCARIO, ALLA DATA DELLA NOSTRA CONFERMA D'ORDINE</v>
          </cell>
          <cell r="X2593">
            <v>0.25</v>
          </cell>
          <cell r="Y2593">
            <v>-0.04</v>
          </cell>
          <cell r="AB2593">
            <v>0.25</v>
          </cell>
          <cell r="AC2593">
            <v>0.25</v>
          </cell>
          <cell r="AD2593">
            <v>0.25</v>
          </cell>
          <cell r="AE2593">
            <v>0.25</v>
          </cell>
          <cell r="AF2593">
            <v>0.25</v>
          </cell>
          <cell r="AG2593">
            <v>0.25</v>
          </cell>
          <cell r="AH2593">
            <v>0.25</v>
          </cell>
          <cell r="AI2593">
            <v>0.25</v>
          </cell>
          <cell r="AJ2593">
            <v>0.25</v>
          </cell>
          <cell r="AK2593">
            <v>0.25</v>
          </cell>
          <cell r="AL2593">
            <v>0.25</v>
          </cell>
          <cell r="AM2593">
            <v>0.25</v>
          </cell>
          <cell r="AN2593">
            <v>0.25</v>
          </cell>
          <cell r="AO2593">
            <v>0.25</v>
          </cell>
          <cell r="AP2593">
            <v>0.25</v>
          </cell>
          <cell r="AQ2593">
            <v>0.25</v>
          </cell>
          <cell r="AR2593">
            <v>0.25</v>
          </cell>
          <cell r="AS2593">
            <v>0.25</v>
          </cell>
          <cell r="AT2593">
            <v>-0.04</v>
          </cell>
          <cell r="AU2593">
            <v>0.92</v>
          </cell>
          <cell r="AV2593">
            <v>20</v>
          </cell>
          <cell r="AZ2593">
            <v>0.25</v>
          </cell>
          <cell r="BA2593">
            <v>0.25</v>
          </cell>
        </row>
        <row r="2594">
          <cell r="A2594" t="str">
            <v>VISTALLI PAOLO</v>
          </cell>
          <cell r="D2594" t="str">
            <v>VIA PRATI COMUNI, 2 4</v>
          </cell>
          <cell r="E2594" t="str">
            <v>21030</v>
          </cell>
          <cell r="F2594" t="str">
            <v>CUVEGLIO</v>
          </cell>
          <cell r="G2594" t="str">
            <v>VA</v>
          </cell>
          <cell r="H2594" t="str">
            <v>ITALIA</v>
          </cell>
          <cell r="M2594" t="str">
            <v>UFFICIO ACQUISTI</v>
          </cell>
          <cell r="N2594" t="str">
            <v>0332 624160</v>
          </cell>
          <cell r="R2594" t="str">
            <v>BONIFICO BANCARIO, ALLA DATA DELLA NOSTRA CONFERMA D'ORDINE</v>
          </cell>
          <cell r="X2594">
            <v>0.25</v>
          </cell>
          <cell r="Y2594">
            <v>-0.04</v>
          </cell>
          <cell r="AB2594">
            <v>0.25</v>
          </cell>
          <cell r="AC2594">
            <v>0.25</v>
          </cell>
          <cell r="AD2594">
            <v>0.25</v>
          </cell>
          <cell r="AE2594">
            <v>0.25</v>
          </cell>
          <cell r="AF2594">
            <v>0.25</v>
          </cell>
          <cell r="AG2594">
            <v>0.25</v>
          </cell>
          <cell r="AH2594">
            <v>0.25</v>
          </cell>
          <cell r="AI2594">
            <v>0.25</v>
          </cell>
          <cell r="AJ2594">
            <v>0.25</v>
          </cell>
          <cell r="AK2594">
            <v>0.25</v>
          </cell>
          <cell r="AL2594">
            <v>0.25</v>
          </cell>
          <cell r="AM2594">
            <v>0.25</v>
          </cell>
          <cell r="AN2594">
            <v>0.25</v>
          </cell>
          <cell r="AO2594">
            <v>0.25</v>
          </cell>
          <cell r="AP2594">
            <v>0.25</v>
          </cell>
          <cell r="AQ2594">
            <v>0.25</v>
          </cell>
          <cell r="AR2594">
            <v>0.25</v>
          </cell>
          <cell r="AS2594">
            <v>0.25</v>
          </cell>
          <cell r="AT2594">
            <v>-0.04</v>
          </cell>
          <cell r="AU2594">
            <v>0.92</v>
          </cell>
          <cell r="AV2594">
            <v>20</v>
          </cell>
          <cell r="AZ2594">
            <v>0.25</v>
          </cell>
          <cell r="BA2594">
            <v>0.25</v>
          </cell>
        </row>
        <row r="2595">
          <cell r="A2595" t="str">
            <v>VISTLER D.O.O.</v>
          </cell>
          <cell r="B2595" t="str">
            <v>dealer esclusivo  Water-Gate © del produttore canadese MegaSecur per la Slovenia  - PREZZO LANCIO sconto 25% moderna, 20% sugli altri modelli, 35% modi-modu, fino a genn 2022</v>
          </cell>
          <cell r="D2595" t="str">
            <v>KORENOVA CESTA, 5</v>
          </cell>
          <cell r="E2595" t="str">
            <v>1241</v>
          </cell>
          <cell r="F2595" t="str">
            <v>KAMNIK</v>
          </cell>
          <cell r="H2595" t="str">
            <v>SLOVENIA</v>
          </cell>
          <cell r="J2595" t="str">
            <v>SI41412214</v>
          </cell>
          <cell r="K2595" t="str">
            <v>XXXXXXX</v>
          </cell>
          <cell r="L2595" t="str">
            <v>ZAN GROSELJ JARSKA CESTA, 29 - 1230 DOMZALE - SLOVENIA</v>
          </cell>
          <cell r="M2595" t="str">
            <v>UFFICIO ACQUISTI</v>
          </cell>
          <cell r="N2595" t="str">
            <v>+386 41602306</v>
          </cell>
          <cell r="P2595" t="str">
            <v>info@protipoplavne-zascite.si</v>
          </cell>
          <cell r="R2595" t="str">
            <v>BANK TRANSFER, ON THE DATE OF OUR ORDER CONFIRMATION</v>
          </cell>
          <cell r="X2595">
            <v>0.2</v>
          </cell>
          <cell r="AB2595">
            <v>0.2</v>
          </cell>
          <cell r="AC2595">
            <v>0.2</v>
          </cell>
          <cell r="AD2595">
            <v>0.2</v>
          </cell>
          <cell r="AE2595">
            <v>0.2</v>
          </cell>
          <cell r="AF2595">
            <v>0.2</v>
          </cell>
          <cell r="AG2595">
            <v>0.2</v>
          </cell>
          <cell r="AH2595">
            <v>0.2</v>
          </cell>
          <cell r="AI2595">
            <v>0.2</v>
          </cell>
          <cell r="AJ2595">
            <v>0.2</v>
          </cell>
          <cell r="AK2595">
            <v>0.2</v>
          </cell>
          <cell r="AL2595">
            <v>0.2</v>
          </cell>
          <cell r="AM2595">
            <v>0.2</v>
          </cell>
          <cell r="AN2595">
            <v>0.2</v>
          </cell>
          <cell r="AO2595">
            <v>0.2</v>
          </cell>
          <cell r="AP2595">
            <v>0.2</v>
          </cell>
          <cell r="AQ2595">
            <v>0.2</v>
          </cell>
          <cell r="AR2595">
            <v>0.2</v>
          </cell>
          <cell r="AS2595">
            <v>0.2</v>
          </cell>
          <cell r="AU2595">
            <v>0.83</v>
          </cell>
          <cell r="AV2595">
            <v>20</v>
          </cell>
          <cell r="AZ2595">
            <v>0.2</v>
          </cell>
          <cell r="BA2595">
            <v>0.2</v>
          </cell>
        </row>
        <row r="2596">
          <cell r="A2596" t="str">
            <v>VITALEGNO DI VITALE GIUSEPPE</v>
          </cell>
          <cell r="D2596" t="str">
            <v>C.DA SAN FRANCESCO - ZONA STADIO</v>
          </cell>
          <cell r="E2596" t="str">
            <v>85028</v>
          </cell>
          <cell r="F2596" t="str">
            <v>RIONERO IN VULTURE</v>
          </cell>
          <cell r="G2596" t="str">
            <v>PZ</v>
          </cell>
          <cell r="H2596" t="str">
            <v>ITALIA</v>
          </cell>
          <cell r="I2596" t="str">
            <v>VTLGPP64R09H307G</v>
          </cell>
          <cell r="J2596" t="str">
            <v>01624430763</v>
          </cell>
          <cell r="K2596" t="str">
            <v>M5UXCR1</v>
          </cell>
          <cell r="M2596" t="str">
            <v>UFFICIO ACQUISTI</v>
          </cell>
          <cell r="N2596" t="str">
            <v>0972 720194</v>
          </cell>
          <cell r="O2596" t="str">
            <v>339 2814060</v>
          </cell>
          <cell r="P2596" t="str">
            <v>info@vitalegno.com</v>
          </cell>
          <cell r="R2596" t="str">
            <v>BONIFICO BANCARIO, ALLA DATA DELLA NOSTRA CONFERMA D'ORDINE</v>
          </cell>
          <cell r="X2596">
            <v>0.25</v>
          </cell>
          <cell r="Y2596">
            <v>-0.04</v>
          </cell>
          <cell r="AB2596">
            <v>0.25</v>
          </cell>
          <cell r="AC2596">
            <v>0.25</v>
          </cell>
          <cell r="AD2596">
            <v>0.25</v>
          </cell>
          <cell r="AE2596">
            <v>0.25</v>
          </cell>
          <cell r="AF2596">
            <v>0.25</v>
          </cell>
          <cell r="AG2596">
            <v>0.25</v>
          </cell>
          <cell r="AH2596">
            <v>0.25</v>
          </cell>
          <cell r="AI2596">
            <v>0.25</v>
          </cell>
          <cell r="AJ2596">
            <v>0.25</v>
          </cell>
          <cell r="AK2596">
            <v>0.25</v>
          </cell>
          <cell r="AL2596">
            <v>0.25</v>
          </cell>
          <cell r="AM2596">
            <v>0.25</v>
          </cell>
          <cell r="AN2596">
            <v>0.25</v>
          </cell>
          <cell r="AO2596">
            <v>0.25</v>
          </cell>
          <cell r="AP2596">
            <v>0.25</v>
          </cell>
          <cell r="AQ2596">
            <v>0.25</v>
          </cell>
          <cell r="AR2596">
            <v>0.25</v>
          </cell>
          <cell r="AS2596">
            <v>0.25</v>
          </cell>
          <cell r="AT2596">
            <v>-0.04</v>
          </cell>
          <cell r="AU2596">
            <v>0.92</v>
          </cell>
          <cell r="AV2596">
            <v>20</v>
          </cell>
          <cell r="AZ2596">
            <v>0.25</v>
          </cell>
          <cell r="BA2596">
            <v>0.25</v>
          </cell>
        </row>
        <row r="2597">
          <cell r="A2597" t="str">
            <v>VM SERRAMENTI</v>
          </cell>
          <cell r="D2597" t="str">
            <v>VIA NONANTOLA, 614 616</v>
          </cell>
          <cell r="E2597">
            <v>41122</v>
          </cell>
          <cell r="F2597" t="str">
            <v>MODENA</v>
          </cell>
          <cell r="G2597" t="str">
            <v>MO</v>
          </cell>
          <cell r="H2597" t="str">
            <v>ITALIA</v>
          </cell>
          <cell r="I2597" t="str">
            <v>02551080365</v>
          </cell>
          <cell r="J2597" t="str">
            <v>02551080365</v>
          </cell>
          <cell r="M2597" t="str">
            <v>UFFICIO ACQUISTI</v>
          </cell>
          <cell r="N2597" t="str">
            <v>059 254773</v>
          </cell>
          <cell r="O2597" t="str">
            <v>347 0975147</v>
          </cell>
          <cell r="P2597" t="str">
            <v>info@vmserramenti.it</v>
          </cell>
          <cell r="Q2597" t="str">
            <v>sergio@vmserramenti.it</v>
          </cell>
          <cell r="R2597" t="str">
            <v>BONIFICO BANCARIO, ALLA DATA DELLA NOSTRA CONFERMA D'ORDINE</v>
          </cell>
          <cell r="X2597">
            <v>0.25</v>
          </cell>
          <cell r="Y2597">
            <v>-0.04</v>
          </cell>
          <cell r="AB2597">
            <v>0.25</v>
          </cell>
          <cell r="AC2597">
            <v>0.25</v>
          </cell>
          <cell r="AD2597">
            <v>0.25</v>
          </cell>
          <cell r="AE2597">
            <v>0.25</v>
          </cell>
          <cell r="AF2597">
            <v>0.25</v>
          </cell>
          <cell r="AG2597">
            <v>0.25</v>
          </cell>
          <cell r="AH2597">
            <v>0.25</v>
          </cell>
          <cell r="AI2597">
            <v>0.25</v>
          </cell>
          <cell r="AJ2597">
            <v>0.25</v>
          </cell>
          <cell r="AK2597">
            <v>0.25</v>
          </cell>
          <cell r="AL2597">
            <v>0.25</v>
          </cell>
          <cell r="AM2597">
            <v>0.25</v>
          </cell>
          <cell r="AN2597">
            <v>0.25</v>
          </cell>
          <cell r="AO2597">
            <v>0.25</v>
          </cell>
          <cell r="AP2597">
            <v>0.25</v>
          </cell>
          <cell r="AQ2597">
            <v>0.25</v>
          </cell>
          <cell r="AR2597">
            <v>0.25</v>
          </cell>
          <cell r="AS2597">
            <v>0.25</v>
          </cell>
          <cell r="AT2597">
            <v>-0.04</v>
          </cell>
          <cell r="AU2597">
            <v>0.92</v>
          </cell>
          <cell r="AV2597">
            <v>20</v>
          </cell>
          <cell r="AZ2597">
            <v>0.25</v>
          </cell>
          <cell r="BA2597">
            <v>0.25</v>
          </cell>
        </row>
        <row r="2598">
          <cell r="A2598" t="str">
            <v>VOCHTALERT BVBA</v>
          </cell>
          <cell r="D2598" t="str">
            <v>PLATTESTRAAT , 3A</v>
          </cell>
          <cell r="E2598" t="str">
            <v>3830</v>
          </cell>
          <cell r="F2598" t="str">
            <v>WELLEN</v>
          </cell>
          <cell r="H2598" t="str">
            <v>BELGIO</v>
          </cell>
          <cell r="J2598" t="str">
            <v>BE 0830642177</v>
          </cell>
          <cell r="K2598" t="str">
            <v>XXXXXXX</v>
          </cell>
          <cell r="L2598" t="str">
            <v>ZANGSTRAAT,29  - 3830 WELLEN - B</v>
          </cell>
          <cell r="M2598" t="str">
            <v>UFFICIO ACQUISTI</v>
          </cell>
          <cell r="O2598" t="str">
            <v xml:space="preserve">+32 474645397 </v>
          </cell>
          <cell r="P2598" t="str">
            <v>lucvanesch3300@gmail.com</v>
          </cell>
          <cell r="R2598" t="str">
            <v>BANK TRANSFER, ON THE DATE OF OUR ORDER CONFIRMATION</v>
          </cell>
          <cell r="X2598">
            <v>0</v>
          </cell>
          <cell r="AB2598">
            <v>0</v>
          </cell>
          <cell r="AC2598">
            <v>0</v>
          </cell>
          <cell r="AD2598">
            <v>0</v>
          </cell>
          <cell r="AE2598">
            <v>0</v>
          </cell>
          <cell r="AF2598">
            <v>0</v>
          </cell>
          <cell r="AG2598">
            <v>0</v>
          </cell>
          <cell r="AH2598">
            <v>0</v>
          </cell>
          <cell r="AI2598">
            <v>0</v>
          </cell>
          <cell r="AJ2598">
            <v>0</v>
          </cell>
          <cell r="AK2598">
            <v>0</v>
          </cell>
          <cell r="AL2598">
            <v>0</v>
          </cell>
          <cell r="AM2598">
            <v>0</v>
          </cell>
          <cell r="AN2598">
            <v>0</v>
          </cell>
          <cell r="AO2598">
            <v>0</v>
          </cell>
          <cell r="AP2598">
            <v>0</v>
          </cell>
          <cell r="AQ2598">
            <v>0</v>
          </cell>
          <cell r="AR2598">
            <v>0</v>
          </cell>
          <cell r="AS2598">
            <v>0</v>
          </cell>
          <cell r="AU2598">
            <v>0.85</v>
          </cell>
          <cell r="AV2598">
            <v>20</v>
          </cell>
          <cell r="AZ2598">
            <v>0</v>
          </cell>
          <cell r="BA2598">
            <v>0</v>
          </cell>
        </row>
        <row r="2599">
          <cell r="A2599" t="str">
            <v>VOLPI ALESSANDRO</v>
          </cell>
          <cell r="C2599" t="str">
            <v>VE1</v>
          </cell>
          <cell r="D2599" t="str">
            <v>VIA DELLA GIUSTIZIA, 24</v>
          </cell>
          <cell r="E2599">
            <v>30171</v>
          </cell>
          <cell r="F2599" t="str">
            <v>MESTRE</v>
          </cell>
          <cell r="G2599" t="str">
            <v>VE</v>
          </cell>
          <cell r="H2599" t="str">
            <v>ITALIA</v>
          </cell>
          <cell r="I2599" t="str">
            <v>VLPLSN74S01L736J</v>
          </cell>
          <cell r="J2599" t="str">
            <v>03681000273</v>
          </cell>
          <cell r="K2599" t="str">
            <v>P62QHVQ</v>
          </cell>
          <cell r="M2599" t="str">
            <v>UFFICIO ACQUISTI</v>
          </cell>
          <cell r="N2599" t="str">
            <v>041 544 0289</v>
          </cell>
          <cell r="O2599" t="str">
            <v>349 1582020</v>
          </cell>
          <cell r="P2599" t="str">
            <v>VOLPISERRAMENTI@HOTMAIL.IT</v>
          </cell>
          <cell r="R2599" t="str">
            <v>BONIFICO BANCARIO, ALLA DATA DELLA NOSTRA CONFERMA D'ORDINE</v>
          </cell>
          <cell r="X2599">
            <v>0.25</v>
          </cell>
          <cell r="Y2599">
            <v>-0.04</v>
          </cell>
          <cell r="AB2599">
            <v>0.25</v>
          </cell>
          <cell r="AC2599">
            <v>0.25</v>
          </cell>
          <cell r="AD2599">
            <v>0.25</v>
          </cell>
          <cell r="AE2599">
            <v>0.25</v>
          </cell>
          <cell r="AF2599">
            <v>0.25</v>
          </cell>
          <cell r="AG2599">
            <v>0.25</v>
          </cell>
          <cell r="AH2599">
            <v>0.25</v>
          </cell>
          <cell r="AI2599">
            <v>0.25</v>
          </cell>
          <cell r="AJ2599">
            <v>0.25</v>
          </cell>
          <cell r="AK2599">
            <v>0.25</v>
          </cell>
          <cell r="AL2599">
            <v>0.25</v>
          </cell>
          <cell r="AM2599">
            <v>0.25</v>
          </cell>
          <cell r="AN2599">
            <v>0.25</v>
          </cell>
          <cell r="AO2599">
            <v>0.25</v>
          </cell>
          <cell r="AP2599">
            <v>0.25</v>
          </cell>
          <cell r="AQ2599">
            <v>0.25</v>
          </cell>
          <cell r="AR2599">
            <v>0.25</v>
          </cell>
          <cell r="AS2599">
            <v>0.25</v>
          </cell>
          <cell r="AT2599">
            <v>-0.04</v>
          </cell>
          <cell r="AU2599">
            <v>0.92</v>
          </cell>
          <cell r="AV2599">
            <v>20</v>
          </cell>
          <cell r="AZ2599">
            <v>0.25</v>
          </cell>
          <cell r="BA2599">
            <v>0.25</v>
          </cell>
          <cell r="BF2599" t="str">
            <v>CLICK RAPID con carpenteria 16/01/2020</v>
          </cell>
        </row>
        <row r="2600">
          <cell r="A2600" t="str">
            <v>VOLPINFISSI</v>
          </cell>
          <cell r="D2600" t="str">
            <v>VIA DON MOTTI, 34</v>
          </cell>
          <cell r="E2600" t="str">
            <v>27027</v>
          </cell>
          <cell r="F2600" t="str">
            <v>GROPELLO CAIROLI</v>
          </cell>
          <cell r="G2600" t="str">
            <v>PV</v>
          </cell>
          <cell r="H2600" t="str">
            <v>ITALIA</v>
          </cell>
          <cell r="M2600" t="str">
            <v>UFFICIO ACQUISTI</v>
          </cell>
          <cell r="N2600" t="str">
            <v>0382 815245</v>
          </cell>
          <cell r="P2600" t="str">
            <v>info@volpinfissi.com</v>
          </cell>
          <cell r="R2600" t="str">
            <v>BONIFICO BANCARIO, ALLA DATA DELLA NOSTRA CONFERMA D'ORDINE</v>
          </cell>
          <cell r="X2600">
            <v>0.25</v>
          </cell>
          <cell r="Y2600">
            <v>-0.04</v>
          </cell>
          <cell r="AB2600">
            <v>0.25</v>
          </cell>
          <cell r="AC2600">
            <v>0.25</v>
          </cell>
          <cell r="AD2600">
            <v>0.25</v>
          </cell>
          <cell r="AE2600">
            <v>0.25</v>
          </cell>
          <cell r="AF2600">
            <v>0.25</v>
          </cell>
          <cell r="AG2600">
            <v>0.25</v>
          </cell>
          <cell r="AH2600">
            <v>0.25</v>
          </cell>
          <cell r="AI2600">
            <v>0.25</v>
          </cell>
          <cell r="AJ2600">
            <v>0.25</v>
          </cell>
          <cell r="AK2600">
            <v>0.25</v>
          </cell>
          <cell r="AL2600">
            <v>0.25</v>
          </cell>
          <cell r="AM2600">
            <v>0.25</v>
          </cell>
          <cell r="AN2600">
            <v>0.25</v>
          </cell>
          <cell r="AO2600">
            <v>0.25</v>
          </cell>
          <cell r="AP2600">
            <v>0.25</v>
          </cell>
          <cell r="AQ2600">
            <v>0.25</v>
          </cell>
          <cell r="AR2600">
            <v>0.25</v>
          </cell>
          <cell r="AS2600">
            <v>0.25</v>
          </cell>
          <cell r="AT2600">
            <v>-0.04</v>
          </cell>
          <cell r="AU2600">
            <v>0.92</v>
          </cell>
          <cell r="AV2600">
            <v>20</v>
          </cell>
          <cell r="AZ2600">
            <v>0.25</v>
          </cell>
          <cell r="BA2600">
            <v>0.25</v>
          </cell>
        </row>
        <row r="2601">
          <cell r="A2601" t="str">
            <v>VS INFISSI IN PVCC DI SANNA VALERIO &amp; C. SAS</v>
          </cell>
          <cell r="B2601" t="str">
            <v>VALERIO SANNA</v>
          </cell>
          <cell r="D2601" t="str">
            <v>VIA DEL CONSORZIO, 39</v>
          </cell>
          <cell r="E2601" t="str">
            <v>60015</v>
          </cell>
          <cell r="F2601" t="str">
            <v>FALCONARA</v>
          </cell>
          <cell r="G2601" t="str">
            <v>AN</v>
          </cell>
          <cell r="H2601" t="str">
            <v>ITALIA</v>
          </cell>
          <cell r="J2601" t="str">
            <v>02134730429</v>
          </cell>
          <cell r="M2601" t="str">
            <v>UFFICIO ACQUISTI</v>
          </cell>
          <cell r="N2601" t="str">
            <v>071 9157073</v>
          </cell>
          <cell r="R2601" t="str">
            <v>BONIFICO BANCARIO, ALLA DATA DELLA NOSTRA CONFERMA D'ORDINE</v>
          </cell>
          <cell r="X2601">
            <v>0.25</v>
          </cell>
          <cell r="Y2601">
            <v>-0.04</v>
          </cell>
          <cell r="AB2601">
            <v>0.25</v>
          </cell>
          <cell r="AC2601">
            <v>0.25</v>
          </cell>
          <cell r="AD2601">
            <v>0.25</v>
          </cell>
          <cell r="AE2601">
            <v>0.25</v>
          </cell>
          <cell r="AF2601">
            <v>0.25</v>
          </cell>
          <cell r="AG2601">
            <v>0.25</v>
          </cell>
          <cell r="AH2601">
            <v>0.25</v>
          </cell>
          <cell r="AI2601">
            <v>0.25</v>
          </cell>
          <cell r="AJ2601">
            <v>0.25</v>
          </cell>
          <cell r="AK2601">
            <v>0.25</v>
          </cell>
          <cell r="AL2601">
            <v>0.25</v>
          </cell>
          <cell r="AM2601">
            <v>0.25</v>
          </cell>
          <cell r="AN2601">
            <v>0.25</v>
          </cell>
          <cell r="AO2601">
            <v>0.25</v>
          </cell>
          <cell r="AP2601">
            <v>0.25</v>
          </cell>
          <cell r="AQ2601">
            <v>0.25</v>
          </cell>
          <cell r="AR2601">
            <v>0.25</v>
          </cell>
          <cell r="AS2601">
            <v>0.25</v>
          </cell>
          <cell r="AT2601">
            <v>-0.04</v>
          </cell>
          <cell r="AU2601">
            <v>0.92</v>
          </cell>
          <cell r="AV2601">
            <v>20</v>
          </cell>
          <cell r="AZ2601">
            <v>0.25</v>
          </cell>
          <cell r="BA2601">
            <v>0.25</v>
          </cell>
        </row>
        <row r="2602">
          <cell r="A2602" t="str">
            <v>VTG DI MARTINONE CARMELINA</v>
          </cell>
          <cell r="B2602" t="str">
            <v>FABIO CANANZI</v>
          </cell>
          <cell r="D2602" t="str">
            <v>VIA 3° STRADONE SOVERETO, 3</v>
          </cell>
          <cell r="E2602">
            <v>89013</v>
          </cell>
          <cell r="F2602" t="str">
            <v>GIOIA TAURO</v>
          </cell>
          <cell r="G2602" t="str">
            <v>RC</v>
          </cell>
          <cell r="H2602" t="str">
            <v>ITALIA</v>
          </cell>
          <cell r="J2602" t="str">
            <v>02943840807</v>
          </cell>
          <cell r="M2602" t="str">
            <v>UFFICIO ACQUISTI</v>
          </cell>
          <cell r="O2602" t="str">
            <v>345 4324835</v>
          </cell>
          <cell r="P2602" t="str">
            <v>vtg.carpenteriapesante@gmail.com</v>
          </cell>
          <cell r="R2602" t="str">
            <v>BONIFICO BANCARIO, ALLA DATA DELLA NOSTRA CONFERMA D'ORDINE</v>
          </cell>
          <cell r="X2602">
            <v>0.25</v>
          </cell>
          <cell r="Y2602">
            <v>-0.04</v>
          </cell>
          <cell r="AB2602">
            <v>0.25</v>
          </cell>
          <cell r="AC2602">
            <v>0.25</v>
          </cell>
          <cell r="AD2602">
            <v>0.25</v>
          </cell>
          <cell r="AE2602">
            <v>0.25</v>
          </cell>
          <cell r="AF2602">
            <v>0.25</v>
          </cell>
          <cell r="AG2602">
            <v>0.25</v>
          </cell>
          <cell r="AH2602">
            <v>0.25</v>
          </cell>
          <cell r="AI2602">
            <v>0.25</v>
          </cell>
          <cell r="AJ2602">
            <v>0.25</v>
          </cell>
          <cell r="AK2602">
            <v>0.25</v>
          </cell>
          <cell r="AL2602">
            <v>0.25</v>
          </cell>
          <cell r="AM2602">
            <v>0.25</v>
          </cell>
          <cell r="AN2602">
            <v>0.25</v>
          </cell>
          <cell r="AO2602">
            <v>0.25</v>
          </cell>
          <cell r="AP2602">
            <v>0.25</v>
          </cell>
          <cell r="AQ2602">
            <v>0.25</v>
          </cell>
          <cell r="AR2602">
            <v>0.25</v>
          </cell>
          <cell r="AS2602">
            <v>0.25</v>
          </cell>
          <cell r="AT2602">
            <v>-0.04</v>
          </cell>
          <cell r="AU2602">
            <v>0.92</v>
          </cell>
          <cell r="AV2602">
            <v>20</v>
          </cell>
          <cell r="AW2602" t="str">
            <v>PIETRO OLIVADOTI</v>
          </cell>
          <cell r="AX2602">
            <v>0.95</v>
          </cell>
          <cell r="AZ2602">
            <v>0.25</v>
          </cell>
          <cell r="BA2602">
            <v>0.25</v>
          </cell>
        </row>
        <row r="2603">
          <cell r="A2603" t="str">
            <v>VUXA</v>
          </cell>
          <cell r="B2603" t="str">
            <v>M. FERLIN</v>
          </cell>
          <cell r="D2603" t="str">
            <v xml:space="preserve">7 ZE LES ALOUETTES </v>
          </cell>
          <cell r="E2603" t="str">
            <v>62223</v>
          </cell>
          <cell r="F2603" t="str">
            <v>SAINT-NICOLAS-LEZ-ARRAS</v>
          </cell>
          <cell r="H2603" t="str">
            <v>FRANCIA</v>
          </cell>
          <cell r="J2603" t="str">
            <v>FR799628102</v>
          </cell>
          <cell r="K2603" t="str">
            <v>XXXXXXX</v>
          </cell>
          <cell r="M2603" t="str">
            <v>UFFICIO ACQUISTI</v>
          </cell>
          <cell r="N2603" t="str">
            <v>+33 6 10 82 07 44</v>
          </cell>
          <cell r="P2603" t="str">
            <v>contact@vuxa.fr</v>
          </cell>
          <cell r="R2603" t="str">
            <v>VIREMENT BANCAIRE, À LA DATE DE NOTRE CONFIRMATION DE COMMANDE</v>
          </cell>
          <cell r="X2603">
            <v>0</v>
          </cell>
          <cell r="AB2603">
            <v>0</v>
          </cell>
          <cell r="AC2603">
            <v>0</v>
          </cell>
          <cell r="AD2603">
            <v>0</v>
          </cell>
          <cell r="AE2603">
            <v>0</v>
          </cell>
          <cell r="AF2603">
            <v>0</v>
          </cell>
          <cell r="AG2603">
            <v>0</v>
          </cell>
          <cell r="AH2603">
            <v>0</v>
          </cell>
          <cell r="AI2603">
            <v>0</v>
          </cell>
          <cell r="AJ2603">
            <v>0</v>
          </cell>
          <cell r="AK2603">
            <v>0</v>
          </cell>
          <cell r="AL2603">
            <v>0</v>
          </cell>
          <cell r="AM2603">
            <v>0</v>
          </cell>
          <cell r="AN2603">
            <v>0</v>
          </cell>
          <cell r="AO2603">
            <v>0</v>
          </cell>
          <cell r="AP2603">
            <v>0</v>
          </cell>
          <cell r="AU2603">
            <v>0.86</v>
          </cell>
          <cell r="AV2603">
            <v>20</v>
          </cell>
          <cell r="AZ2603">
            <v>0</v>
          </cell>
          <cell r="BA2603">
            <v>0</v>
          </cell>
        </row>
        <row r="2604">
          <cell r="A2604" t="str">
            <v>W2 SERRAMENTI</v>
          </cell>
          <cell r="D2604" t="str">
            <v>VIA ARMEA, 104</v>
          </cell>
          <cell r="E2604">
            <v>18038</v>
          </cell>
          <cell r="F2604" t="str">
            <v>SANREMO</v>
          </cell>
          <cell r="G2604" t="str">
            <v>IM</v>
          </cell>
          <cell r="H2604" t="str">
            <v>ITALIA</v>
          </cell>
          <cell r="M2604" t="str">
            <v>UFFICIO ACQUISTI</v>
          </cell>
          <cell r="N2604" t="str">
            <v>0184 477111</v>
          </cell>
          <cell r="O2604" t="str">
            <v>Sara Faroppa 348 5165310</v>
          </cell>
          <cell r="P2604" t="str">
            <v>w2sanremo@gmail.com</v>
          </cell>
          <cell r="R2604" t="str">
            <v>BONIFICO BANCARIO, ALLA DATA DELLA NOSTRA CONFERMA D'ORDINE</v>
          </cell>
          <cell r="X2604">
            <v>0.25</v>
          </cell>
          <cell r="Y2604">
            <v>-0.04</v>
          </cell>
          <cell r="AB2604">
            <v>0.25</v>
          </cell>
          <cell r="AC2604">
            <v>0.25</v>
          </cell>
          <cell r="AD2604">
            <v>0.25</v>
          </cell>
          <cell r="AE2604">
            <v>0.25</v>
          </cell>
          <cell r="AF2604">
            <v>0.25</v>
          </cell>
          <cell r="AG2604">
            <v>0.25</v>
          </cell>
          <cell r="AH2604">
            <v>0.25</v>
          </cell>
          <cell r="AI2604">
            <v>0.25</v>
          </cell>
          <cell r="AJ2604">
            <v>0.25</v>
          </cell>
          <cell r="AK2604">
            <v>0.25</v>
          </cell>
          <cell r="AL2604">
            <v>0.25</v>
          </cell>
          <cell r="AM2604">
            <v>0.25</v>
          </cell>
          <cell r="AN2604">
            <v>0.25</v>
          </cell>
          <cell r="AO2604">
            <v>0.25</v>
          </cell>
          <cell r="AP2604">
            <v>0.25</v>
          </cell>
          <cell r="AQ2604">
            <v>0.25</v>
          </cell>
          <cell r="AR2604">
            <v>0.25</v>
          </cell>
          <cell r="AS2604">
            <v>0.25</v>
          </cell>
          <cell r="AT2604">
            <v>-0.04</v>
          </cell>
          <cell r="AU2604">
            <v>0.92</v>
          </cell>
          <cell r="AV2604">
            <v>20</v>
          </cell>
          <cell r="AZ2604">
            <v>0.25</v>
          </cell>
          <cell r="BA2604">
            <v>0.25</v>
          </cell>
        </row>
        <row r="2605">
          <cell r="A2605" t="str">
            <v>WALTER ZAMPIERI SNC</v>
          </cell>
          <cell r="D2605" t="str">
            <v>VIA S. MARCO, 96</v>
          </cell>
          <cell r="E2605">
            <v>37138</v>
          </cell>
          <cell r="F2605" t="str">
            <v>BORGO MILANO</v>
          </cell>
          <cell r="G2605" t="str">
            <v>VR</v>
          </cell>
          <cell r="H2605" t="str">
            <v>ITALIA</v>
          </cell>
          <cell r="M2605" t="str">
            <v>UFFICIO ACQUISTI</v>
          </cell>
          <cell r="N2605" t="str">
            <v>045 562033</v>
          </cell>
          <cell r="R2605" t="str">
            <v>BONIFICO BANCARIO, ALLA DATA DELLA NOSTRA CONFERMA D'ORDINE</v>
          </cell>
          <cell r="X2605">
            <v>0.25</v>
          </cell>
          <cell r="Y2605">
            <v>-0.04</v>
          </cell>
          <cell r="AB2605">
            <v>0.25</v>
          </cell>
          <cell r="AC2605">
            <v>0.25</v>
          </cell>
          <cell r="AD2605">
            <v>0.25</v>
          </cell>
          <cell r="AE2605">
            <v>0.25</v>
          </cell>
          <cell r="AF2605">
            <v>0.25</v>
          </cell>
          <cell r="AG2605">
            <v>0.25</v>
          </cell>
          <cell r="AH2605">
            <v>0.25</v>
          </cell>
          <cell r="AI2605">
            <v>0.25</v>
          </cell>
          <cell r="AJ2605">
            <v>0.25</v>
          </cell>
          <cell r="AK2605">
            <v>0.25</v>
          </cell>
          <cell r="AL2605">
            <v>0.25</v>
          </cell>
          <cell r="AM2605">
            <v>0.25</v>
          </cell>
          <cell r="AN2605">
            <v>0.25</v>
          </cell>
          <cell r="AO2605">
            <v>0.25</v>
          </cell>
          <cell r="AP2605">
            <v>0.25</v>
          </cell>
          <cell r="AQ2605">
            <v>0.25</v>
          </cell>
          <cell r="AR2605">
            <v>0.25</v>
          </cell>
          <cell r="AS2605">
            <v>0.25</v>
          </cell>
          <cell r="AT2605">
            <v>-0.04</v>
          </cell>
          <cell r="AU2605">
            <v>0.92</v>
          </cell>
          <cell r="AV2605">
            <v>20</v>
          </cell>
          <cell r="AZ2605">
            <v>0.25</v>
          </cell>
          <cell r="BA2605">
            <v>0.25</v>
          </cell>
        </row>
        <row r="2606">
          <cell r="A2606" t="str">
            <v>WATERDEFENDER</v>
          </cell>
          <cell r="B2606" t="str">
            <v>DEALER NL DI JKFLOODING</v>
          </cell>
          <cell r="D2606" t="str">
            <v>ACHTERSTRAAT, 5</v>
          </cell>
          <cell r="E2606" t="str">
            <v xml:space="preserve">4681 </v>
          </cell>
          <cell r="F2606" t="str">
            <v xml:space="preserve">AG NIEUW-VOSSEMEER </v>
          </cell>
          <cell r="H2606" t="str">
            <v>OLANDA</v>
          </cell>
          <cell r="J2606" t="str">
            <v>NL001643383B89</v>
          </cell>
          <cell r="K2606" t="str">
            <v>XXXXXXX</v>
          </cell>
          <cell r="M2606" t="str">
            <v>UFFICIO ACQUISTI</v>
          </cell>
          <cell r="N2606" t="str">
            <v>+31 6 38 46 13 01</v>
          </cell>
          <cell r="P2606" t="str">
            <v>info@waterdefender.nl</v>
          </cell>
          <cell r="R2606" t="str">
            <v>BANK TRANSFER, ON THE DATE OF OUR ORDER CONFIRMATION</v>
          </cell>
          <cell r="X2606">
            <v>0</v>
          </cell>
          <cell r="AB2606">
            <v>0</v>
          </cell>
          <cell r="AC2606">
            <v>0</v>
          </cell>
          <cell r="AD2606">
            <v>0</v>
          </cell>
          <cell r="AE2606">
            <v>0</v>
          </cell>
          <cell r="AF2606">
            <v>0</v>
          </cell>
          <cell r="AG2606">
            <v>0</v>
          </cell>
          <cell r="AH2606">
            <v>0</v>
          </cell>
          <cell r="AI2606">
            <v>0</v>
          </cell>
          <cell r="AJ2606">
            <v>0</v>
          </cell>
          <cell r="AK2606">
            <v>0</v>
          </cell>
          <cell r="AL2606">
            <v>0</v>
          </cell>
          <cell r="AM2606">
            <v>0.3</v>
          </cell>
          <cell r="AN2606">
            <v>0.4</v>
          </cell>
          <cell r="AO2606">
            <v>0.3</v>
          </cell>
          <cell r="AP2606">
            <v>0.4</v>
          </cell>
          <cell r="AQ2606">
            <v>0</v>
          </cell>
          <cell r="AR2606">
            <v>0</v>
          </cell>
          <cell r="AS2606">
            <v>0</v>
          </cell>
          <cell r="AU2606">
            <v>0.85</v>
          </cell>
          <cell r="AV2606">
            <v>20</v>
          </cell>
          <cell r="AZ2606">
            <v>0</v>
          </cell>
          <cell r="BA2606">
            <v>0</v>
          </cell>
          <cell r="BF2606" t="str">
            <v>CLICK RAPID con espositore 30/08/2021 - MODERNA con espositore 30/08/2021</v>
          </cell>
        </row>
        <row r="2607">
          <cell r="A2607" t="str">
            <v>WEISSBACH UWE INDUSTRIEVERTRETUNG</v>
          </cell>
          <cell r="D2607" t="str">
            <v>KANTSTR. 48</v>
          </cell>
          <cell r="E2607" t="str">
            <v>09380</v>
          </cell>
          <cell r="F2607" t="str">
            <v>THALHEIM</v>
          </cell>
          <cell r="H2607" t="str">
            <v>GERMANIA</v>
          </cell>
          <cell r="J2607" t="str">
            <v>DE330612954</v>
          </cell>
          <cell r="K2607" t="str">
            <v>XXXXXXX</v>
          </cell>
          <cell r="M2607" t="str">
            <v>UFFICIO ACQUISTI</v>
          </cell>
          <cell r="N2607" t="str">
            <v>+49 3721 30513</v>
          </cell>
          <cell r="O2607" t="str">
            <v>+49 1523 6727976</v>
          </cell>
          <cell r="P2607" t="str">
            <v>uwe-weissbach@web.de</v>
          </cell>
          <cell r="R2607" t="str">
            <v>BANKÜBERWEISUNG, AM DATUM UNSERER AUFTRAGSBESTÄTIGUNG</v>
          </cell>
          <cell r="X2607">
            <v>0</v>
          </cell>
          <cell r="AB2607">
            <v>0</v>
          </cell>
          <cell r="AC2607">
            <v>0</v>
          </cell>
          <cell r="AD2607">
            <v>0</v>
          </cell>
          <cell r="AE2607">
            <v>0</v>
          </cell>
          <cell r="AF2607">
            <v>0</v>
          </cell>
          <cell r="AG2607">
            <v>0</v>
          </cell>
          <cell r="AH2607">
            <v>0</v>
          </cell>
          <cell r="AI2607">
            <v>0</v>
          </cell>
          <cell r="AJ2607">
            <v>0</v>
          </cell>
          <cell r="AK2607">
            <v>0</v>
          </cell>
          <cell r="AL2607">
            <v>0</v>
          </cell>
          <cell r="AM2607">
            <v>0</v>
          </cell>
          <cell r="AN2607">
            <v>0</v>
          </cell>
          <cell r="AO2607">
            <v>0</v>
          </cell>
          <cell r="AP2607">
            <v>0</v>
          </cell>
          <cell r="AQ2607">
            <v>0</v>
          </cell>
          <cell r="AR2607">
            <v>0</v>
          </cell>
          <cell r="AS2607">
            <v>0</v>
          </cell>
          <cell r="AU2607">
            <v>0.84</v>
          </cell>
          <cell r="AV2607">
            <v>20</v>
          </cell>
          <cell r="AZ2607">
            <v>0</v>
          </cell>
          <cell r="BA2607">
            <v>0</v>
          </cell>
        </row>
        <row r="2608">
          <cell r="A2608" t="str">
            <v>WEITLANER METALLBAU SAS</v>
          </cell>
          <cell r="D2608" t="str">
            <v>VIA PIZACH, 37</v>
          </cell>
          <cell r="E2608" t="str">
            <v>39038</v>
          </cell>
          <cell r="F2608" t="str">
            <v xml:space="preserve">SAN CANDIDO </v>
          </cell>
          <cell r="G2608" t="str">
            <v>BZ</v>
          </cell>
          <cell r="H2608" t="str">
            <v>ITALIA</v>
          </cell>
          <cell r="J2608" t="str">
            <v>02887820211</v>
          </cell>
          <cell r="M2608" t="str">
            <v>UFFICIO ACQUISTI</v>
          </cell>
          <cell r="N2608" t="str">
            <v>0474 913373</v>
          </cell>
          <cell r="O2608" t="str">
            <v>335 5757056</v>
          </cell>
          <cell r="P2608" t="str">
            <v>cad@weitlanermetallbau.it</v>
          </cell>
          <cell r="R2608" t="str">
            <v>BONIFICO BANCARIO, ALLA DATA DELLA NOSTRA CONFERMA D'ORDINE</v>
          </cell>
          <cell r="X2608">
            <v>0.25</v>
          </cell>
          <cell r="Y2608">
            <v>-0.04</v>
          </cell>
          <cell r="AB2608">
            <v>0.25</v>
          </cell>
          <cell r="AC2608">
            <v>0.25</v>
          </cell>
          <cell r="AD2608">
            <v>0.25</v>
          </cell>
          <cell r="AE2608">
            <v>0.25</v>
          </cell>
          <cell r="AF2608">
            <v>0.25</v>
          </cell>
          <cell r="AG2608">
            <v>0.25</v>
          </cell>
          <cell r="AH2608">
            <v>0.25</v>
          </cell>
          <cell r="AI2608">
            <v>0.25</v>
          </cell>
          <cell r="AJ2608">
            <v>0.25</v>
          </cell>
          <cell r="AK2608">
            <v>0.25</v>
          </cell>
          <cell r="AL2608">
            <v>0.25</v>
          </cell>
          <cell r="AM2608">
            <v>0.25</v>
          </cell>
          <cell r="AN2608">
            <v>0.25</v>
          </cell>
          <cell r="AO2608">
            <v>0.25</v>
          </cell>
          <cell r="AP2608">
            <v>0.25</v>
          </cell>
          <cell r="AQ2608">
            <v>0.25</v>
          </cell>
          <cell r="AR2608">
            <v>0.25</v>
          </cell>
          <cell r="AS2608">
            <v>0.25</v>
          </cell>
          <cell r="AT2608">
            <v>-0.04</v>
          </cell>
          <cell r="AU2608">
            <v>0.9</v>
          </cell>
          <cell r="AV2608">
            <v>20</v>
          </cell>
          <cell r="AZ2608">
            <v>0.25</v>
          </cell>
          <cell r="BA2608">
            <v>0.25</v>
          </cell>
        </row>
        <row r="2609">
          <cell r="A2609" t="str">
            <v>WIN SRL</v>
          </cell>
          <cell r="B2609" t="str">
            <v>SOLO BIGLIETTO DA VISITA</v>
          </cell>
          <cell r="D2609" t="str">
            <v>VIA STAZIONE, SN (F.TE STADIO COMUNALE)</v>
          </cell>
          <cell r="E2609" t="str">
            <v>09013</v>
          </cell>
          <cell r="F2609" t="str">
            <v>CARBONIA</v>
          </cell>
          <cell r="G2609" t="str">
            <v>CI</v>
          </cell>
          <cell r="H2609" t="str">
            <v>ITALIA</v>
          </cell>
          <cell r="J2609" t="str">
            <v>03527910925</v>
          </cell>
          <cell r="M2609" t="str">
            <v>UFFICIO ACQUISTI</v>
          </cell>
          <cell r="O2609" t="str">
            <v>329 6315285 ALESSIO PILI</v>
          </cell>
          <cell r="P2609" t="str">
            <v>info@win-srl.com</v>
          </cell>
          <cell r="R2609" t="str">
            <v>BONIFICO BANCARIO, ALLA DATA DELLA NOSTRA CONFERMA D'ORDINE</v>
          </cell>
          <cell r="X2609">
            <v>0.25</v>
          </cell>
          <cell r="Y2609">
            <v>-0.04</v>
          </cell>
          <cell r="AB2609">
            <v>0.25</v>
          </cell>
          <cell r="AC2609">
            <v>0.25</v>
          </cell>
          <cell r="AD2609">
            <v>0.25</v>
          </cell>
          <cell r="AE2609">
            <v>0.25</v>
          </cell>
          <cell r="AF2609">
            <v>0.25</v>
          </cell>
          <cell r="AG2609">
            <v>0.25</v>
          </cell>
          <cell r="AH2609">
            <v>0.25</v>
          </cell>
          <cell r="AI2609">
            <v>0.25</v>
          </cell>
          <cell r="AJ2609">
            <v>0.25</v>
          </cell>
          <cell r="AK2609">
            <v>0.25</v>
          </cell>
          <cell r="AL2609">
            <v>0.25</v>
          </cell>
          <cell r="AM2609">
            <v>0.25</v>
          </cell>
          <cell r="AN2609">
            <v>0.25</v>
          </cell>
          <cell r="AO2609">
            <v>0.25</v>
          </cell>
          <cell r="AP2609">
            <v>0.25</v>
          </cell>
          <cell r="AQ2609">
            <v>0.25</v>
          </cell>
          <cell r="AR2609">
            <v>0.25</v>
          </cell>
          <cell r="AS2609">
            <v>0.25</v>
          </cell>
          <cell r="AT2609">
            <v>-0.04</v>
          </cell>
          <cell r="AU2609">
            <v>0.92</v>
          </cell>
          <cell r="AV2609">
            <v>20</v>
          </cell>
          <cell r="AZ2609">
            <v>0.25</v>
          </cell>
          <cell r="BA2609">
            <v>0.25</v>
          </cell>
        </row>
        <row r="2610">
          <cell r="A2610" t="str">
            <v xml:space="preserve">WINDOOR </v>
          </cell>
          <cell r="D2610" t="str">
            <v>VIA MATTEOTTI, 35</v>
          </cell>
          <cell r="E2610">
            <v>20093</v>
          </cell>
          <cell r="F2610" t="str">
            <v>COLOGNO M.</v>
          </cell>
          <cell r="G2610" t="str">
            <v>MI</v>
          </cell>
          <cell r="H2610" t="str">
            <v>ITALIA</v>
          </cell>
          <cell r="M2610" t="str">
            <v>UFFICIO ACQUISTI</v>
          </cell>
          <cell r="N2610" t="str">
            <v>02 26112626</v>
          </cell>
          <cell r="P2610" t="str">
            <v>info@windoormilano.it</v>
          </cell>
          <cell r="R2610" t="str">
            <v>BONIFICO BANCARIO, ALLA DATA DELLA NOSTRA CONFERMA D'ORDINE</v>
          </cell>
          <cell r="X2610">
            <v>0.25</v>
          </cell>
          <cell r="Y2610">
            <v>-0.04</v>
          </cell>
          <cell r="AB2610">
            <v>0.25</v>
          </cell>
          <cell r="AC2610">
            <v>0.25</v>
          </cell>
          <cell r="AD2610">
            <v>0.25</v>
          </cell>
          <cell r="AE2610">
            <v>0.25</v>
          </cell>
          <cell r="AF2610">
            <v>0.25</v>
          </cell>
          <cell r="AG2610">
            <v>0.25</v>
          </cell>
          <cell r="AH2610">
            <v>0.25</v>
          </cell>
          <cell r="AI2610">
            <v>0.25</v>
          </cell>
          <cell r="AJ2610">
            <v>0.25</v>
          </cell>
          <cell r="AK2610">
            <v>0.25</v>
          </cell>
          <cell r="AL2610">
            <v>0.25</v>
          </cell>
          <cell r="AM2610">
            <v>0.25</v>
          </cell>
          <cell r="AN2610">
            <v>0.25</v>
          </cell>
          <cell r="AO2610">
            <v>0.25</v>
          </cell>
          <cell r="AP2610">
            <v>0.25</v>
          </cell>
          <cell r="AQ2610">
            <v>0.25</v>
          </cell>
          <cell r="AR2610">
            <v>0.25</v>
          </cell>
          <cell r="AS2610">
            <v>0.25</v>
          </cell>
          <cell r="AT2610">
            <v>-0.04</v>
          </cell>
          <cell r="AU2610">
            <v>0.92</v>
          </cell>
          <cell r="AV2610">
            <v>20</v>
          </cell>
          <cell r="AZ2610">
            <v>0.25</v>
          </cell>
          <cell r="BA2610">
            <v>0.25</v>
          </cell>
        </row>
        <row r="2611">
          <cell r="A2611" t="str">
            <v>WINDOOR SERRAMENTI</v>
          </cell>
          <cell r="D2611" t="str">
            <v>VIA DUCHESSA DI GALLIERA 13/2</v>
          </cell>
          <cell r="E2611" t="str">
            <v>15076</v>
          </cell>
          <cell r="F2611" t="str">
            <v>OVADA</v>
          </cell>
          <cell r="G2611" t="str">
            <v>AL</v>
          </cell>
          <cell r="H2611" t="str">
            <v>ITALIA</v>
          </cell>
          <cell r="J2611" t="str">
            <v>02395000066</v>
          </cell>
          <cell r="M2611" t="str">
            <v>UFFICIO ACQUISTI</v>
          </cell>
          <cell r="N2611" t="str">
            <v>0143 1920843</v>
          </cell>
          <cell r="O2611" t="str">
            <v>388 7932337</v>
          </cell>
          <cell r="P2611" t="str">
            <v>windoorovada@gmail.com</v>
          </cell>
          <cell r="R2611" t="str">
            <v>BONIFICO BANCARIO, ALLA DATA DELLA NOSTRA CONFERMA D'ORDINE</v>
          </cell>
          <cell r="X2611">
            <v>0.25</v>
          </cell>
          <cell r="Y2611">
            <v>-0.04</v>
          </cell>
          <cell r="AB2611">
            <v>0.25</v>
          </cell>
          <cell r="AC2611">
            <v>0.25</v>
          </cell>
          <cell r="AD2611">
            <v>0.25</v>
          </cell>
          <cell r="AE2611">
            <v>0.25</v>
          </cell>
          <cell r="AF2611">
            <v>0.25</v>
          </cell>
          <cell r="AG2611">
            <v>0.25</v>
          </cell>
          <cell r="AH2611">
            <v>0.25</v>
          </cell>
          <cell r="AI2611">
            <v>0.25</v>
          </cell>
          <cell r="AJ2611">
            <v>0.25</v>
          </cell>
          <cell r="AK2611">
            <v>0.25</v>
          </cell>
          <cell r="AL2611">
            <v>0.25</v>
          </cell>
          <cell r="AM2611">
            <v>0.25</v>
          </cell>
          <cell r="AN2611">
            <v>0.25</v>
          </cell>
          <cell r="AO2611">
            <v>0.25</v>
          </cell>
          <cell r="AP2611">
            <v>0.25</v>
          </cell>
          <cell r="AQ2611">
            <v>0.25</v>
          </cell>
          <cell r="AR2611">
            <v>0.25</v>
          </cell>
          <cell r="AS2611">
            <v>0.25</v>
          </cell>
          <cell r="AT2611">
            <v>-0.04</v>
          </cell>
          <cell r="AU2611">
            <v>0.92</v>
          </cell>
          <cell r="AV2611">
            <v>20</v>
          </cell>
          <cell r="AZ2611">
            <v>0.25</v>
          </cell>
          <cell r="BA2611">
            <v>0.25</v>
          </cell>
        </row>
        <row r="2612">
          <cell r="A2612" t="str">
            <v>WINDOORS</v>
          </cell>
          <cell r="D2612" t="str">
            <v>VIA GALILEO GALIELI 152</v>
          </cell>
          <cell r="E2612" t="str">
            <v>54033</v>
          </cell>
          <cell r="F2612" t="str">
            <v>MARINA DI CARRARA</v>
          </cell>
          <cell r="G2612" t="str">
            <v>MS</v>
          </cell>
          <cell r="H2612" t="str">
            <v>ITALIA</v>
          </cell>
          <cell r="M2612" t="str">
            <v>UFFICIO ACQUISTI</v>
          </cell>
          <cell r="N2612" t="str">
            <v>0585 281613</v>
          </cell>
          <cell r="O2612" t="str">
            <v>335 5739791</v>
          </cell>
          <cell r="P2612" t="str">
            <v>riccardoalbani58@gmail.com</v>
          </cell>
          <cell r="R2612" t="str">
            <v>BONIFICO BANCARIO, ALLA DATA DELLA NOSTRA CONFERMA D'ORDINE</v>
          </cell>
          <cell r="X2612">
            <v>0.25</v>
          </cell>
          <cell r="Y2612">
            <v>-0.04</v>
          </cell>
          <cell r="AB2612">
            <v>0.25</v>
          </cell>
          <cell r="AC2612">
            <v>0.25</v>
          </cell>
          <cell r="AD2612">
            <v>0.25</v>
          </cell>
          <cell r="AE2612">
            <v>0.25</v>
          </cell>
          <cell r="AF2612">
            <v>0.25</v>
          </cell>
          <cell r="AG2612">
            <v>0.25</v>
          </cell>
          <cell r="AH2612">
            <v>0.25</v>
          </cell>
          <cell r="AI2612">
            <v>0.25</v>
          </cell>
          <cell r="AJ2612">
            <v>0.25</v>
          </cell>
          <cell r="AK2612">
            <v>0.25</v>
          </cell>
          <cell r="AL2612">
            <v>0.25</v>
          </cell>
          <cell r="AM2612">
            <v>0.25</v>
          </cell>
          <cell r="AN2612">
            <v>0.25</v>
          </cell>
          <cell r="AO2612">
            <v>0.25</v>
          </cell>
          <cell r="AP2612">
            <v>0.25</v>
          </cell>
          <cell r="AQ2612">
            <v>0.25</v>
          </cell>
          <cell r="AR2612">
            <v>0.25</v>
          </cell>
          <cell r="AS2612">
            <v>0.25</v>
          </cell>
          <cell r="AT2612">
            <v>-0.04</v>
          </cell>
          <cell r="AU2612">
            <v>0.92</v>
          </cell>
          <cell r="AV2612">
            <v>20</v>
          </cell>
          <cell r="AZ2612">
            <v>0.25</v>
          </cell>
          <cell r="BA2612">
            <v>0.25</v>
          </cell>
        </row>
        <row r="2613">
          <cell r="A2613" t="str">
            <v>WINDOORS SRL</v>
          </cell>
          <cell r="D2613" t="str">
            <v>S.S.DEI MONTI LEPINI, KM 51,600</v>
          </cell>
          <cell r="E2613" t="str">
            <v>04100</v>
          </cell>
          <cell r="F2613" t="str">
            <v>LATINA</v>
          </cell>
          <cell r="G2613" t="str">
            <v>LT</v>
          </cell>
          <cell r="H2613" t="str">
            <v>ITALIA</v>
          </cell>
          <cell r="M2613" t="str">
            <v>UFFICIO ACQUISTI</v>
          </cell>
          <cell r="N2613" t="str">
            <v>0773 486850</v>
          </cell>
          <cell r="P2613" t="str">
            <v>info@windoorsitalia.it</v>
          </cell>
          <cell r="R2613" t="str">
            <v>BONIFICO BANCARIO, ALLA DATA DELLA NOSTRA CONFERMA D'ORDINE</v>
          </cell>
          <cell r="X2613">
            <v>0.2</v>
          </cell>
          <cell r="Y2613">
            <v>-0.04</v>
          </cell>
          <cell r="AB2613">
            <v>0.2</v>
          </cell>
          <cell r="AC2613">
            <v>0.2</v>
          </cell>
          <cell r="AD2613">
            <v>0.2</v>
          </cell>
          <cell r="AE2613">
            <v>0.2</v>
          </cell>
          <cell r="AF2613">
            <v>0.2</v>
          </cell>
          <cell r="AG2613">
            <v>0.2</v>
          </cell>
          <cell r="AH2613">
            <v>0.2</v>
          </cell>
          <cell r="AI2613">
            <v>0.2</v>
          </cell>
          <cell r="AJ2613">
            <v>0.2</v>
          </cell>
          <cell r="AK2613">
            <v>0.2</v>
          </cell>
          <cell r="AL2613">
            <v>0.2</v>
          </cell>
          <cell r="AM2613">
            <v>0.2</v>
          </cell>
          <cell r="AN2613">
            <v>0.2</v>
          </cell>
          <cell r="AO2613">
            <v>0.2</v>
          </cell>
          <cell r="AP2613">
            <v>0.2</v>
          </cell>
          <cell r="AQ2613">
            <v>0.2</v>
          </cell>
          <cell r="AR2613">
            <v>0.2</v>
          </cell>
          <cell r="AS2613">
            <v>0.2</v>
          </cell>
          <cell r="AT2613">
            <v>-0.04</v>
          </cell>
          <cell r="AU2613">
            <v>0.92</v>
          </cell>
          <cell r="AV2613">
            <v>20</v>
          </cell>
          <cell r="AZ2613">
            <v>0.2</v>
          </cell>
          <cell r="BA2613">
            <v>0.2</v>
          </cell>
        </row>
        <row r="2614">
          <cell r="A2614" t="str">
            <v>WINDOWS CENTRO INFISSI</v>
          </cell>
          <cell r="D2614" t="str">
            <v>VIA BUONARROTI, 11</v>
          </cell>
          <cell r="E2614">
            <v>21012</v>
          </cell>
          <cell r="F2614" t="str">
            <v>CASSANO MAGNAGO</v>
          </cell>
          <cell r="G2614" t="str">
            <v>VA</v>
          </cell>
          <cell r="H2614" t="str">
            <v>ITALIA</v>
          </cell>
          <cell r="J2614" t="str">
            <v>02051430128</v>
          </cell>
          <cell r="M2614" t="str">
            <v>UFFICIO ACQUISTI</v>
          </cell>
          <cell r="N2614" t="str">
            <v>0331 282322</v>
          </cell>
          <cell r="P2614" t="str">
            <v>centroinfissi1992@libero.it</v>
          </cell>
          <cell r="R2614" t="str">
            <v>BONIFICO BANCARIO, ALLA DATA DELLA NOSTRA CONFERMA D'ORDINE</v>
          </cell>
          <cell r="X2614">
            <v>0.25</v>
          </cell>
          <cell r="Y2614">
            <v>-0.04</v>
          </cell>
          <cell r="AB2614">
            <v>0.25</v>
          </cell>
          <cell r="AC2614">
            <v>0.25</v>
          </cell>
          <cell r="AD2614">
            <v>0.25</v>
          </cell>
          <cell r="AE2614">
            <v>0.25</v>
          </cell>
          <cell r="AF2614">
            <v>0.25</v>
          </cell>
          <cell r="AG2614">
            <v>0.25</v>
          </cell>
          <cell r="AH2614">
            <v>0.25</v>
          </cell>
          <cell r="AI2614">
            <v>0.25</v>
          </cell>
          <cell r="AJ2614">
            <v>0.25</v>
          </cell>
          <cell r="AK2614">
            <v>0.25</v>
          </cell>
          <cell r="AL2614">
            <v>0.25</v>
          </cell>
          <cell r="AM2614">
            <v>0.25</v>
          </cell>
          <cell r="AN2614">
            <v>0.25</v>
          </cell>
          <cell r="AO2614">
            <v>0.25</v>
          </cell>
          <cell r="AP2614">
            <v>0.25</v>
          </cell>
          <cell r="AQ2614">
            <v>0.25</v>
          </cell>
          <cell r="AR2614">
            <v>0.25</v>
          </cell>
          <cell r="AS2614">
            <v>0.25</v>
          </cell>
          <cell r="AT2614">
            <v>-0.04</v>
          </cell>
          <cell r="AU2614">
            <v>0.92</v>
          </cell>
          <cell r="AV2614">
            <v>20</v>
          </cell>
          <cell r="AZ2614">
            <v>0.25</v>
          </cell>
          <cell r="BA2614">
            <v>0.25</v>
          </cell>
        </row>
        <row r="2615">
          <cell r="A2615" t="str">
            <v>WITRADE SRLS</v>
          </cell>
          <cell r="D2615" t="str">
            <v>VIA BELMONTE, 4</v>
          </cell>
          <cell r="E2615">
            <v>12045</v>
          </cell>
          <cell r="F2615" t="str">
            <v>FOSSANO</v>
          </cell>
          <cell r="G2615" t="str">
            <v>CN</v>
          </cell>
          <cell r="H2615" t="str">
            <v>ITALIA</v>
          </cell>
          <cell r="M2615" t="str">
            <v>UFFICIO ACQUISTI</v>
          </cell>
          <cell r="O2615" t="str">
            <v xml:space="preserve"> Alessandro Zoroddu335 5786392 </v>
          </cell>
          <cell r="P2615" t="str">
            <v>alessandro.zoroddu@witrade.it</v>
          </cell>
          <cell r="R2615" t="str">
            <v>BONIFICO BANCARIO, ALLA DATA DELLA NOSTRA CONFERMA D'ORDINE</v>
          </cell>
          <cell r="X2615">
            <v>0.25</v>
          </cell>
          <cell r="Y2615">
            <v>-0.04</v>
          </cell>
          <cell r="AB2615">
            <v>0.25</v>
          </cell>
          <cell r="AC2615">
            <v>0.25</v>
          </cell>
          <cell r="AD2615">
            <v>0.25</v>
          </cell>
          <cell r="AE2615">
            <v>0.25</v>
          </cell>
          <cell r="AF2615">
            <v>0.25</v>
          </cell>
          <cell r="AG2615">
            <v>0.25</v>
          </cell>
          <cell r="AH2615">
            <v>0.25</v>
          </cell>
          <cell r="AI2615">
            <v>0.25</v>
          </cell>
          <cell r="AJ2615">
            <v>0.25</v>
          </cell>
          <cell r="AK2615">
            <v>0.25</v>
          </cell>
          <cell r="AL2615">
            <v>0.25</v>
          </cell>
          <cell r="AM2615">
            <v>0.25</v>
          </cell>
          <cell r="AN2615">
            <v>0.25</v>
          </cell>
          <cell r="AO2615">
            <v>0.25</v>
          </cell>
          <cell r="AP2615">
            <v>0.25</v>
          </cell>
          <cell r="AQ2615">
            <v>0.25</v>
          </cell>
          <cell r="AR2615">
            <v>0.25</v>
          </cell>
          <cell r="AS2615">
            <v>0.25</v>
          </cell>
          <cell r="AT2615">
            <v>-0.04</v>
          </cell>
          <cell r="AU2615">
            <v>0.92</v>
          </cell>
          <cell r="AV2615">
            <v>20</v>
          </cell>
          <cell r="AZ2615">
            <v>0.25</v>
          </cell>
          <cell r="BA2615">
            <v>0.25</v>
          </cell>
        </row>
        <row r="2616">
          <cell r="A2616" t="str">
            <v>XILOPLAST INFISSI IN PVC</v>
          </cell>
          <cell r="D2616" t="str">
            <v>VIA BASSA, 25</v>
          </cell>
          <cell r="E2616">
            <v>46020</v>
          </cell>
          <cell r="F2616" t="str">
            <v xml:space="preserve">BORGOFRANCO SUL PO </v>
          </cell>
          <cell r="G2616" t="str">
            <v>MN</v>
          </cell>
          <cell r="H2616" t="str">
            <v>ITALIA</v>
          </cell>
          <cell r="I2616" t="str">
            <v>BRNGPP49P06B110W</v>
          </cell>
          <cell r="J2616" t="str">
            <v>00348930207</v>
          </cell>
          <cell r="M2616" t="str">
            <v>UFFICIO ACQUISTI</v>
          </cell>
          <cell r="N2616" t="str">
            <v>0386 41114</v>
          </cell>
          <cell r="P2616" t="str">
            <v>xiloplast@libero.it</v>
          </cell>
          <cell r="R2616" t="str">
            <v>BONIFICO BANCARIO, ALLA DATA DELLA NOSTRA CONFERMA D'ORDINE</v>
          </cell>
          <cell r="X2616">
            <v>0.25</v>
          </cell>
          <cell r="Y2616">
            <v>-0.04</v>
          </cell>
          <cell r="AB2616">
            <v>0.25</v>
          </cell>
          <cell r="AC2616">
            <v>0.25</v>
          </cell>
          <cell r="AD2616">
            <v>0.25</v>
          </cell>
          <cell r="AE2616">
            <v>0.25</v>
          </cell>
          <cell r="AF2616">
            <v>0.25</v>
          </cell>
          <cell r="AG2616">
            <v>0.25</v>
          </cell>
          <cell r="AH2616">
            <v>0.25</v>
          </cell>
          <cell r="AI2616">
            <v>0.25</v>
          </cell>
          <cell r="AJ2616">
            <v>0.25</v>
          </cell>
          <cell r="AK2616">
            <v>0.25</v>
          </cell>
          <cell r="AL2616">
            <v>0.25</v>
          </cell>
          <cell r="AM2616">
            <v>0.25</v>
          </cell>
          <cell r="AN2616">
            <v>0.25</v>
          </cell>
          <cell r="AO2616">
            <v>0.25</v>
          </cell>
          <cell r="AP2616">
            <v>0.25</v>
          </cell>
          <cell r="AQ2616">
            <v>0.25</v>
          </cell>
          <cell r="AR2616">
            <v>0.25</v>
          </cell>
          <cell r="AS2616">
            <v>0.25</v>
          </cell>
          <cell r="AT2616">
            <v>-0.04</v>
          </cell>
          <cell r="AU2616">
            <v>0.92</v>
          </cell>
          <cell r="AV2616">
            <v>20</v>
          </cell>
          <cell r="AZ2616">
            <v>0.25</v>
          </cell>
          <cell r="BA2616">
            <v>0.25</v>
          </cell>
        </row>
        <row r="2617">
          <cell r="A2617" t="str">
            <v>YURI DEL MONTE</v>
          </cell>
          <cell r="H2617" t="str">
            <v>ITALIA</v>
          </cell>
          <cell r="M2617" t="str">
            <v>UFFICIO ACQUISTI</v>
          </cell>
          <cell r="N2617" t="str">
            <v>0766 731111</v>
          </cell>
          <cell r="O2617" t="str">
            <v>328 1988744</v>
          </cell>
          <cell r="P2617" t="str">
            <v>yuridelmonte90@gmail.com</v>
          </cell>
          <cell r="R2617" t="str">
            <v>BONIFICO BANCARIO, ALLA DATA DELLA NOSTRA CONFERMA D'ORDINE</v>
          </cell>
          <cell r="X2617">
            <v>0.25</v>
          </cell>
          <cell r="Y2617">
            <v>-0.04</v>
          </cell>
          <cell r="AB2617">
            <v>0.25</v>
          </cell>
          <cell r="AC2617">
            <v>0.25</v>
          </cell>
          <cell r="AD2617">
            <v>0.25</v>
          </cell>
          <cell r="AE2617">
            <v>0.25</v>
          </cell>
          <cell r="AF2617">
            <v>0.25</v>
          </cell>
          <cell r="AG2617">
            <v>0.25</v>
          </cell>
          <cell r="AH2617">
            <v>0.25</v>
          </cell>
          <cell r="AI2617">
            <v>0.25</v>
          </cell>
          <cell r="AJ2617">
            <v>0.25</v>
          </cell>
          <cell r="AK2617">
            <v>0.25</v>
          </cell>
          <cell r="AL2617">
            <v>0.25</v>
          </cell>
          <cell r="AM2617">
            <v>0.25</v>
          </cell>
          <cell r="AN2617">
            <v>0.25</v>
          </cell>
          <cell r="AO2617">
            <v>0.25</v>
          </cell>
          <cell r="AP2617">
            <v>0.25</v>
          </cell>
          <cell r="AQ2617">
            <v>0.25</v>
          </cell>
          <cell r="AR2617">
            <v>0.25</v>
          </cell>
          <cell r="AS2617">
            <v>0.25</v>
          </cell>
          <cell r="AT2617">
            <v>-0.04</v>
          </cell>
          <cell r="AU2617">
            <v>0.92</v>
          </cell>
          <cell r="AV2617">
            <v>20</v>
          </cell>
          <cell r="AZ2617">
            <v>0.25</v>
          </cell>
          <cell r="BA2617">
            <v>0.25</v>
          </cell>
        </row>
        <row r="2618">
          <cell r="A2618" t="str">
            <v>Z.C. AMBIENTAZIONI</v>
          </cell>
          <cell r="D2618" t="str">
            <v>STRADA CAMPAZZI, 1 3</v>
          </cell>
          <cell r="E2618">
            <v>37011</v>
          </cell>
          <cell r="F2618" t="str">
            <v>BARDOLINO</v>
          </cell>
          <cell r="G2618" t="str">
            <v>VR</v>
          </cell>
          <cell r="H2618" t="str">
            <v>ITALIA</v>
          </cell>
          <cell r="J2618" t="str">
            <v>00317680239</v>
          </cell>
          <cell r="M2618" t="str">
            <v>UFFICIO ACQUISTI</v>
          </cell>
          <cell r="N2618" t="str">
            <v>045 7210688</v>
          </cell>
          <cell r="P2618" t="str">
            <v>info@zcambientazioni.it</v>
          </cell>
          <cell r="R2618" t="str">
            <v>BONIFICO BANCARIO, ALLA DATA DELLA NOSTRA CONFERMA D'ORDINE</v>
          </cell>
          <cell r="X2618">
            <v>0.25</v>
          </cell>
          <cell r="Y2618">
            <v>-0.04</v>
          </cell>
          <cell r="AB2618">
            <v>0.25</v>
          </cell>
          <cell r="AC2618">
            <v>0.25</v>
          </cell>
          <cell r="AD2618">
            <v>0.25</v>
          </cell>
          <cell r="AE2618">
            <v>0.25</v>
          </cell>
          <cell r="AF2618">
            <v>0.25</v>
          </cell>
          <cell r="AG2618">
            <v>0.25</v>
          </cell>
          <cell r="AH2618">
            <v>0.25</v>
          </cell>
          <cell r="AI2618">
            <v>0.25</v>
          </cell>
          <cell r="AJ2618">
            <v>0.25</v>
          </cell>
          <cell r="AK2618">
            <v>0.25</v>
          </cell>
          <cell r="AL2618">
            <v>0.25</v>
          </cell>
          <cell r="AM2618">
            <v>0.25</v>
          </cell>
          <cell r="AN2618">
            <v>0.25</v>
          </cell>
          <cell r="AO2618">
            <v>0.25</v>
          </cell>
          <cell r="AP2618">
            <v>0.25</v>
          </cell>
          <cell r="AQ2618">
            <v>0.25</v>
          </cell>
          <cell r="AR2618">
            <v>0.25</v>
          </cell>
          <cell r="AS2618">
            <v>0.25</v>
          </cell>
          <cell r="AT2618">
            <v>-0.04</v>
          </cell>
          <cell r="AU2618">
            <v>0.92</v>
          </cell>
          <cell r="AV2618">
            <v>20</v>
          </cell>
          <cell r="AZ2618">
            <v>0.25</v>
          </cell>
          <cell r="BA2618">
            <v>0.25</v>
          </cell>
        </row>
        <row r="2619">
          <cell r="A2619" t="str">
            <v>ZAFRA SERRAMENTI</v>
          </cell>
          <cell r="D2619" t="str">
            <v xml:space="preserve">VIA EMILIO LEPIDO, 200 A </v>
          </cell>
          <cell r="E2619" t="str">
            <v>43123</v>
          </cell>
          <cell r="F2619" t="str">
            <v>PARMA</v>
          </cell>
          <cell r="G2619" t="str">
            <v>PR</v>
          </cell>
          <cell r="H2619" t="str">
            <v>ITALIA</v>
          </cell>
          <cell r="M2619" t="str">
            <v>UFFICIO ACQUISTI</v>
          </cell>
          <cell r="N2619" t="str">
            <v>0521 645135</v>
          </cell>
          <cell r="O2619" t="str">
            <v>Francesco Aracri 393 8919247</v>
          </cell>
          <cell r="P2619" t="str">
            <v>info@zafraserramenti.it -       francesco@zafraserramenti.it</v>
          </cell>
          <cell r="R2619" t="str">
            <v>BONIFICO BANCARIO, ALLA DATA DELLA NOSTRA CONFERMA D'ORDINE</v>
          </cell>
          <cell r="X2619">
            <v>0.25</v>
          </cell>
          <cell r="Y2619">
            <v>-0.04</v>
          </cell>
          <cell r="AB2619">
            <v>0.25</v>
          </cell>
          <cell r="AC2619">
            <v>0.25</v>
          </cell>
          <cell r="AD2619">
            <v>0.25</v>
          </cell>
          <cell r="AE2619">
            <v>0.25</v>
          </cell>
          <cell r="AF2619">
            <v>0.25</v>
          </cell>
          <cell r="AG2619">
            <v>0.25</v>
          </cell>
          <cell r="AH2619">
            <v>0.25</v>
          </cell>
          <cell r="AI2619">
            <v>0.25</v>
          </cell>
          <cell r="AJ2619">
            <v>0.25</v>
          </cell>
          <cell r="AK2619">
            <v>0.25</v>
          </cell>
          <cell r="AL2619">
            <v>0.25</v>
          </cell>
          <cell r="AM2619">
            <v>0.25</v>
          </cell>
          <cell r="AN2619">
            <v>0.25</v>
          </cell>
          <cell r="AO2619">
            <v>0.25</v>
          </cell>
          <cell r="AP2619">
            <v>0.25</v>
          </cell>
          <cell r="AQ2619">
            <v>0.25</v>
          </cell>
          <cell r="AR2619">
            <v>0.25</v>
          </cell>
          <cell r="AS2619">
            <v>0.25</v>
          </cell>
          <cell r="AT2619">
            <v>-0.04</v>
          </cell>
          <cell r="AU2619">
            <v>0.92</v>
          </cell>
          <cell r="AV2619">
            <v>20</v>
          </cell>
          <cell r="AZ2619">
            <v>0.25</v>
          </cell>
          <cell r="BA2619">
            <v>0.25</v>
          </cell>
        </row>
        <row r="2620">
          <cell r="A2620" t="str">
            <v>ZAMPIERI CRISTIANO</v>
          </cell>
          <cell r="D2620" t="str">
            <v>VIA TRENTO, 14</v>
          </cell>
          <cell r="E2620" t="str">
            <v>37124</v>
          </cell>
          <cell r="F2620" t="str">
            <v>VERONA</v>
          </cell>
          <cell r="G2620" t="str">
            <v>VR</v>
          </cell>
          <cell r="H2620" t="str">
            <v>ITALIA</v>
          </cell>
          <cell r="J2620" t="str">
            <v>03552470233</v>
          </cell>
          <cell r="K2620" t="str">
            <v>X2PH38J</v>
          </cell>
          <cell r="L2620" t="str">
            <v>IDEM</v>
          </cell>
          <cell r="M2620" t="str">
            <v>UFFICIO ACQUISTI</v>
          </cell>
          <cell r="N2620" t="str">
            <v>045 8343231</v>
          </cell>
          <cell r="O2620" t="str">
            <v>340 1790079 CRISTIANO</v>
          </cell>
          <cell r="P2620" t="str">
            <v>2728@tiscali.it</v>
          </cell>
          <cell r="R2620" t="str">
            <v>BONIFICO BANCARIO, ALLA DATA DELLA NOSTRA CONFERMA D'ORDINE</v>
          </cell>
          <cell r="X2620">
            <v>0.25</v>
          </cell>
          <cell r="Y2620">
            <v>-0.04</v>
          </cell>
          <cell r="AB2620">
            <v>0.25</v>
          </cell>
          <cell r="AC2620">
            <v>0.25</v>
          </cell>
          <cell r="AD2620">
            <v>0.25</v>
          </cell>
          <cell r="AE2620">
            <v>0.25</v>
          </cell>
          <cell r="AF2620">
            <v>0.25</v>
          </cell>
          <cell r="AG2620">
            <v>0.25</v>
          </cell>
          <cell r="AH2620">
            <v>0.25</v>
          </cell>
          <cell r="AI2620">
            <v>0.25</v>
          </cell>
          <cell r="AJ2620">
            <v>0.25</v>
          </cell>
          <cell r="AK2620">
            <v>0.25</v>
          </cell>
          <cell r="AL2620">
            <v>0.25</v>
          </cell>
          <cell r="AM2620">
            <v>0.25</v>
          </cell>
          <cell r="AN2620">
            <v>0.25</v>
          </cell>
          <cell r="AO2620">
            <v>0.25</v>
          </cell>
          <cell r="AP2620">
            <v>0.25</v>
          </cell>
          <cell r="AQ2620">
            <v>0.25</v>
          </cell>
          <cell r="AR2620">
            <v>0.25</v>
          </cell>
          <cell r="AS2620">
            <v>0.25</v>
          </cell>
          <cell r="AT2620">
            <v>-0.04</v>
          </cell>
          <cell r="AU2620">
            <v>0.92</v>
          </cell>
          <cell r="AV2620">
            <v>20</v>
          </cell>
          <cell r="AZ2620">
            <v>0.25</v>
          </cell>
          <cell r="BA2620">
            <v>0.25</v>
          </cell>
          <cell r="BF2620" t="str">
            <v>CLICK RAPID con carpenteria 28/08/2020</v>
          </cell>
        </row>
        <row r="2621">
          <cell r="A2621" t="str">
            <v>ZAMPIERI LUCIANO</v>
          </cell>
          <cell r="D2621" t="str">
            <v>VIA TRENTO, 14</v>
          </cell>
          <cell r="E2621">
            <v>37124</v>
          </cell>
          <cell r="F2621" t="str">
            <v>PONTE CRENCANO</v>
          </cell>
          <cell r="G2621" t="str">
            <v>VR</v>
          </cell>
          <cell r="H2621" t="str">
            <v>ITALIA</v>
          </cell>
          <cell r="J2621" t="str">
            <v>03552470233</v>
          </cell>
          <cell r="M2621" t="str">
            <v>UFFICIO ACQUISTI</v>
          </cell>
          <cell r="N2621" t="str">
            <v>045 8343231</v>
          </cell>
          <cell r="O2621" t="str">
            <v>335 1230605</v>
          </cell>
          <cell r="P2621" t="str">
            <v>2728@tiscali.it</v>
          </cell>
          <cell r="R2621" t="str">
            <v>BONIFICO BANCARIO, ALLA DATA DELLA NOSTRA CONFERMA D'ORDINE</v>
          </cell>
          <cell r="X2621">
            <v>0.25</v>
          </cell>
          <cell r="Y2621">
            <v>-0.04</v>
          </cell>
          <cell r="AB2621">
            <v>0.25</v>
          </cell>
          <cell r="AC2621">
            <v>0.25</v>
          </cell>
          <cell r="AD2621">
            <v>0.25</v>
          </cell>
          <cell r="AE2621">
            <v>0.25</v>
          </cell>
          <cell r="AF2621">
            <v>0.25</v>
          </cell>
          <cell r="AG2621">
            <v>0.25</v>
          </cell>
          <cell r="AH2621">
            <v>0.25</v>
          </cell>
          <cell r="AI2621">
            <v>0.25</v>
          </cell>
          <cell r="AJ2621">
            <v>0.25</v>
          </cell>
          <cell r="AK2621">
            <v>0.25</v>
          </cell>
          <cell r="AL2621">
            <v>0.25</v>
          </cell>
          <cell r="AM2621">
            <v>0.25</v>
          </cell>
          <cell r="AN2621">
            <v>0.25</v>
          </cell>
          <cell r="AO2621">
            <v>0.25</v>
          </cell>
          <cell r="AP2621">
            <v>0.25</v>
          </cell>
          <cell r="AQ2621">
            <v>0.25</v>
          </cell>
          <cell r="AR2621">
            <v>0.25</v>
          </cell>
          <cell r="AS2621">
            <v>0.25</v>
          </cell>
          <cell r="AT2621">
            <v>-0.04</v>
          </cell>
          <cell r="AU2621">
            <v>0.92</v>
          </cell>
          <cell r="AV2621">
            <v>20</v>
          </cell>
          <cell r="AZ2621">
            <v>0.25</v>
          </cell>
          <cell r="BA2621">
            <v>0.25</v>
          </cell>
        </row>
        <row r="2622">
          <cell r="A2622" t="str">
            <v>ZANARDELLI  SNC DI ZANARDELLI EZIO &amp; C.</v>
          </cell>
          <cell r="D2622" t="str">
            <v>VIA ANTONIO GRAMSCI, 17</v>
          </cell>
          <cell r="E2622" t="str">
            <v>20030</v>
          </cell>
          <cell r="F2622" t="str">
            <v>SENAGO</v>
          </cell>
          <cell r="G2622" t="str">
            <v>MI</v>
          </cell>
          <cell r="H2622" t="str">
            <v>ITALIA</v>
          </cell>
          <cell r="J2622" t="str">
            <v>09781780151</v>
          </cell>
          <cell r="K2622" t="str">
            <v>0000000</v>
          </cell>
          <cell r="M2622" t="str">
            <v>UFFICIO ACQUISTI</v>
          </cell>
          <cell r="N2622" t="str">
            <v>02 99481441</v>
          </cell>
          <cell r="P2622" t="str">
            <v>commerciale@zanardelli.it</v>
          </cell>
          <cell r="R2622" t="str">
            <v>BONIFICO BANCARIO, ALLA DATA DELLA NOSTRA CONFERMA D'ORDINE</v>
          </cell>
          <cell r="X2622">
            <v>0.25</v>
          </cell>
          <cell r="Y2622">
            <v>-0.04</v>
          </cell>
          <cell r="AB2622">
            <v>0.25</v>
          </cell>
          <cell r="AC2622">
            <v>0.25</v>
          </cell>
          <cell r="AD2622">
            <v>0.25</v>
          </cell>
          <cell r="AE2622">
            <v>0.25</v>
          </cell>
          <cell r="AF2622">
            <v>0.25</v>
          </cell>
          <cell r="AG2622">
            <v>0.25</v>
          </cell>
          <cell r="AH2622">
            <v>0.25</v>
          </cell>
          <cell r="AI2622">
            <v>0.25</v>
          </cell>
          <cell r="AJ2622">
            <v>0.25</v>
          </cell>
          <cell r="AK2622">
            <v>0.25</v>
          </cell>
          <cell r="AL2622">
            <v>0.25</v>
          </cell>
          <cell r="AM2622">
            <v>0.25</v>
          </cell>
          <cell r="AN2622">
            <v>0.25</v>
          </cell>
          <cell r="AO2622">
            <v>0.25</v>
          </cell>
          <cell r="AP2622">
            <v>0.25</v>
          </cell>
          <cell r="AQ2622">
            <v>0.25</v>
          </cell>
          <cell r="AR2622">
            <v>0.25</v>
          </cell>
          <cell r="AS2622">
            <v>0.25</v>
          </cell>
          <cell r="AT2622">
            <v>-0.04</v>
          </cell>
          <cell r="AU2622">
            <v>0.92</v>
          </cell>
          <cell r="AV2622">
            <v>20</v>
          </cell>
          <cell r="AZ2622">
            <v>0.25</v>
          </cell>
          <cell r="BA2622">
            <v>0.25</v>
          </cell>
          <cell r="BF2622" t="str">
            <v>CLICK RAPID con carpenteria 06/07/2020</v>
          </cell>
        </row>
        <row r="2623">
          <cell r="A2623" t="str">
            <v>ZANCOPE E SOFFIATI SERRAMENTI SNC</v>
          </cell>
          <cell r="D2623" t="str">
            <v>VIA MOLINO DI SOPRA, 1</v>
          </cell>
          <cell r="E2623" t="str">
            <v>37054</v>
          </cell>
          <cell r="F2623" t="str">
            <v>NOGARA</v>
          </cell>
          <cell r="G2623" t="str">
            <v>VR</v>
          </cell>
          <cell r="H2623" t="str">
            <v>ITALIA</v>
          </cell>
          <cell r="J2623" t="str">
            <v>03891600235</v>
          </cell>
          <cell r="M2623" t="str">
            <v>UFFICIO ACQUISTI</v>
          </cell>
          <cell r="N2623" t="str">
            <v>0442 88777</v>
          </cell>
          <cell r="O2623" t="str">
            <v>335 5745306 MASSIMO DE MARCHI</v>
          </cell>
          <cell r="P2623" t="str">
            <v>dmm@zancopegroup.com</v>
          </cell>
          <cell r="R2623" t="str">
            <v>BONIFICO BANCARIO, ALLA DATA DELLA NOSTRA CONFERMA D'ORDINE</v>
          </cell>
          <cell r="X2623">
            <v>0.25</v>
          </cell>
          <cell r="Y2623">
            <v>-0.04</v>
          </cell>
          <cell r="AB2623">
            <v>0.25</v>
          </cell>
          <cell r="AC2623">
            <v>0.25</v>
          </cell>
          <cell r="AD2623">
            <v>0.25</v>
          </cell>
          <cell r="AE2623">
            <v>0.25</v>
          </cell>
          <cell r="AF2623">
            <v>0.25</v>
          </cell>
          <cell r="AG2623">
            <v>0.25</v>
          </cell>
          <cell r="AH2623">
            <v>0.25</v>
          </cell>
          <cell r="AI2623">
            <v>0.25</v>
          </cell>
          <cell r="AJ2623">
            <v>0.25</v>
          </cell>
          <cell r="AK2623">
            <v>0.25</v>
          </cell>
          <cell r="AL2623">
            <v>0.25</v>
          </cell>
          <cell r="AM2623">
            <v>0.25</v>
          </cell>
          <cell r="AN2623">
            <v>0.25</v>
          </cell>
          <cell r="AO2623">
            <v>0.25</v>
          </cell>
          <cell r="AP2623">
            <v>0.25</v>
          </cell>
          <cell r="AQ2623">
            <v>0.25</v>
          </cell>
          <cell r="AR2623">
            <v>0.25</v>
          </cell>
          <cell r="AS2623">
            <v>0.25</v>
          </cell>
          <cell r="AT2623">
            <v>-0.04</v>
          </cell>
          <cell r="AU2623">
            <v>0.92</v>
          </cell>
          <cell r="AV2623">
            <v>20</v>
          </cell>
          <cell r="AZ2623">
            <v>0.25</v>
          </cell>
          <cell r="BA2623">
            <v>0.25</v>
          </cell>
        </row>
        <row r="2624">
          <cell r="A2624" t="str">
            <v>ZANINI &amp; MELCHIORI SRL</v>
          </cell>
          <cell r="B2624" t="str">
            <v>21/12/22 NON INTERESSATI</v>
          </cell>
          <cell r="D2624" t="str">
            <v>VIA P.VASSANELLI, 25</v>
          </cell>
          <cell r="E2624">
            <v>37012</v>
          </cell>
          <cell r="F2624" t="str">
            <v>BUSSOLENGO</v>
          </cell>
          <cell r="G2624" t="str">
            <v>VR</v>
          </cell>
          <cell r="H2624" t="str">
            <v>ITALIA</v>
          </cell>
          <cell r="I2624" t="str">
            <v>02915250233</v>
          </cell>
          <cell r="J2624" t="str">
            <v>02915250233</v>
          </cell>
          <cell r="M2624" t="str">
            <v>UFFICIO ACQUISTI</v>
          </cell>
          <cell r="N2624" t="str">
            <v>045 6767174</v>
          </cell>
          <cell r="P2624" t="str">
            <v>info@zaniniemelchiori.com</v>
          </cell>
          <cell r="R2624" t="str">
            <v>BONIFICO BANCARIO, ALLA DATA DELLA NOSTRA CONFERMA D'ORDINE</v>
          </cell>
          <cell r="X2624">
            <v>0.25</v>
          </cell>
          <cell r="Y2624">
            <v>-0.04</v>
          </cell>
          <cell r="AB2624">
            <v>0.25</v>
          </cell>
          <cell r="AC2624">
            <v>0.25</v>
          </cell>
          <cell r="AD2624">
            <v>0.25</v>
          </cell>
          <cell r="AE2624">
            <v>0.25</v>
          </cell>
          <cell r="AF2624">
            <v>0.25</v>
          </cell>
          <cell r="AG2624">
            <v>0.25</v>
          </cell>
          <cell r="AH2624">
            <v>0.25</v>
          </cell>
          <cell r="AI2624">
            <v>0.25</v>
          </cell>
          <cell r="AJ2624">
            <v>0.25</v>
          </cell>
          <cell r="AK2624">
            <v>0.25</v>
          </cell>
          <cell r="AL2624">
            <v>0.25</v>
          </cell>
          <cell r="AM2624">
            <v>0.25</v>
          </cell>
          <cell r="AN2624">
            <v>0.25</v>
          </cell>
          <cell r="AO2624">
            <v>0.25</v>
          </cell>
          <cell r="AP2624">
            <v>0.25</v>
          </cell>
          <cell r="AQ2624">
            <v>0.25</v>
          </cell>
          <cell r="AR2624">
            <v>0.25</v>
          </cell>
          <cell r="AS2624">
            <v>0.25</v>
          </cell>
          <cell r="AT2624">
            <v>-0.04</v>
          </cell>
          <cell r="AU2624">
            <v>0.92</v>
          </cell>
          <cell r="AV2624">
            <v>20</v>
          </cell>
          <cell r="AZ2624">
            <v>0.25</v>
          </cell>
          <cell r="BA2624">
            <v>0.25</v>
          </cell>
        </row>
        <row r="2625">
          <cell r="A2625" t="str">
            <v>ZANNI SRL</v>
          </cell>
          <cell r="D2625" t="str">
            <v>STRADA STATALE 467, 5  16</v>
          </cell>
          <cell r="E2625" t="str">
            <v>42013</v>
          </cell>
          <cell r="F2625" t="str">
            <v>CASALGRANDE</v>
          </cell>
          <cell r="G2625" t="str">
            <v>RE</v>
          </cell>
          <cell r="H2625" t="str">
            <v>ITALIA</v>
          </cell>
          <cell r="J2625" t="str">
            <v>01982710350</v>
          </cell>
          <cell r="M2625" t="str">
            <v>UFFICIO ACQUISTI</v>
          </cell>
          <cell r="N2625" t="str">
            <v>0522 771918</v>
          </cell>
          <cell r="O2625" t="str">
            <v>Cristian Riva 339 5384058</v>
          </cell>
          <cell r="P2625" t="str">
            <v>riva.cristian@zanniserramenti.eu</v>
          </cell>
          <cell r="R2625" t="str">
            <v>BONIFICO BANCARIO, ALLA DATA DELLA NOSTRA CONFERMA D'ORDINE</v>
          </cell>
          <cell r="X2625">
            <v>0.25</v>
          </cell>
          <cell r="Y2625">
            <v>-0.04</v>
          </cell>
          <cell r="AB2625">
            <v>0.25</v>
          </cell>
          <cell r="AC2625">
            <v>0.25</v>
          </cell>
          <cell r="AD2625">
            <v>0.25</v>
          </cell>
          <cell r="AE2625">
            <v>0.25</v>
          </cell>
          <cell r="AF2625">
            <v>0.25</v>
          </cell>
          <cell r="AG2625">
            <v>0.25</v>
          </cell>
          <cell r="AH2625">
            <v>0.25</v>
          </cell>
          <cell r="AI2625">
            <v>0.25</v>
          </cell>
          <cell r="AJ2625">
            <v>0.25</v>
          </cell>
          <cell r="AK2625">
            <v>0.25</v>
          </cell>
          <cell r="AL2625">
            <v>0.25</v>
          </cell>
          <cell r="AM2625">
            <v>0.25</v>
          </cell>
          <cell r="AN2625">
            <v>0.25</v>
          </cell>
          <cell r="AO2625">
            <v>0.25</v>
          </cell>
          <cell r="AP2625">
            <v>0.25</v>
          </cell>
          <cell r="AQ2625">
            <v>0.25</v>
          </cell>
          <cell r="AR2625">
            <v>0.25</v>
          </cell>
          <cell r="AS2625">
            <v>0.25</v>
          </cell>
          <cell r="AT2625">
            <v>-0.04</v>
          </cell>
          <cell r="AU2625">
            <v>0.92</v>
          </cell>
          <cell r="AV2625">
            <v>20</v>
          </cell>
          <cell r="AZ2625">
            <v>0.25</v>
          </cell>
          <cell r="BA2625">
            <v>0.25</v>
          </cell>
        </row>
        <row r="2626">
          <cell r="A2626" t="str">
            <v>ZANUTTA S.P.A.</v>
          </cell>
          <cell r="D2626" t="str">
            <v>VIA CASTIONS, 5</v>
          </cell>
          <cell r="E2626" t="str">
            <v>33055</v>
          </cell>
          <cell r="F2626" t="str">
            <v>MUZZANA DEL TURGNANO</v>
          </cell>
          <cell r="G2626" t="str">
            <v>UD</v>
          </cell>
          <cell r="H2626" t="str">
            <v>ITALIA</v>
          </cell>
          <cell r="I2626" t="str">
            <v>02717210302</v>
          </cell>
          <cell r="J2626" t="str">
            <v>02717210302</v>
          </cell>
          <cell r="M2626" t="str">
            <v>UFFICIO ACQUISTI</v>
          </cell>
          <cell r="N2626" t="str">
            <v>0434 789911</v>
          </cell>
          <cell r="R2626" t="str">
            <v>BONIFICO BANCARIO, ALLA DATA DELLA NOSTRA CONFERMA D'ORDINE</v>
          </cell>
          <cell r="X2626">
            <v>0.25</v>
          </cell>
          <cell r="Y2626">
            <v>-0.04</v>
          </cell>
          <cell r="AB2626">
            <v>0.25</v>
          </cell>
          <cell r="AC2626">
            <v>0.25</v>
          </cell>
          <cell r="AD2626">
            <v>0.25</v>
          </cell>
          <cell r="AE2626">
            <v>0.25</v>
          </cell>
          <cell r="AF2626">
            <v>0.25</v>
          </cell>
          <cell r="AG2626">
            <v>0.25</v>
          </cell>
          <cell r="AH2626">
            <v>0.25</v>
          </cell>
          <cell r="AI2626">
            <v>0.25</v>
          </cell>
          <cell r="AJ2626">
            <v>0.25</v>
          </cell>
          <cell r="AK2626">
            <v>0.25</v>
          </cell>
          <cell r="AL2626">
            <v>0.25</v>
          </cell>
          <cell r="AM2626">
            <v>0.25</v>
          </cell>
          <cell r="AN2626">
            <v>0.25</v>
          </cell>
          <cell r="AO2626">
            <v>0.25</v>
          </cell>
          <cell r="AP2626">
            <v>0.25</v>
          </cell>
          <cell r="AQ2626">
            <v>0.25</v>
          </cell>
          <cell r="AR2626">
            <v>0.25</v>
          </cell>
          <cell r="AS2626">
            <v>0.25</v>
          </cell>
          <cell r="AT2626">
            <v>-0.04</v>
          </cell>
          <cell r="AU2626">
            <v>0.92</v>
          </cell>
          <cell r="AV2626">
            <v>20</v>
          </cell>
          <cell r="AZ2626">
            <v>0.25</v>
          </cell>
          <cell r="BA2626">
            <v>0.25</v>
          </cell>
        </row>
        <row r="2627">
          <cell r="A2627" t="str">
            <v xml:space="preserve">ZC SERRAMENTI DI ZARPELLON CHRISTIAN </v>
          </cell>
          <cell r="D2627" t="str">
            <v>VIA D.L. MILANI, 45</v>
          </cell>
          <cell r="E2627">
            <v>36022</v>
          </cell>
          <cell r="F2627" t="str">
            <v>CASSOLA</v>
          </cell>
          <cell r="G2627" t="str">
            <v>VI</v>
          </cell>
          <cell r="H2627" t="str">
            <v>ITALIA</v>
          </cell>
          <cell r="I2627" t="str">
            <v>ZRPCRS81R15A703H</v>
          </cell>
          <cell r="J2627" t="str">
            <v>02918570249</v>
          </cell>
          <cell r="M2627" t="str">
            <v>UFFICIO ACQUISTI</v>
          </cell>
          <cell r="N2627" t="str">
            <v>049 5965060</v>
          </cell>
          <cell r="P2627" t="str">
            <v>zc.serramenti@alice.it</v>
          </cell>
          <cell r="R2627" t="str">
            <v>BONIFICO BANCARIO, ALLA DATA DELLA NOSTRA CONFERMA D'ORDINE</v>
          </cell>
          <cell r="X2627">
            <v>0.25</v>
          </cell>
          <cell r="Y2627">
            <v>-0.04</v>
          </cell>
          <cell r="AB2627">
            <v>0.25</v>
          </cell>
          <cell r="AC2627">
            <v>0.25</v>
          </cell>
          <cell r="AD2627">
            <v>0.25</v>
          </cell>
          <cell r="AE2627">
            <v>0.25</v>
          </cell>
          <cell r="AF2627">
            <v>0.25</v>
          </cell>
          <cell r="AG2627">
            <v>0.25</v>
          </cell>
          <cell r="AH2627">
            <v>0.25</v>
          </cell>
          <cell r="AI2627">
            <v>0.25</v>
          </cell>
          <cell r="AJ2627">
            <v>0.25</v>
          </cell>
          <cell r="AK2627">
            <v>0.25</v>
          </cell>
          <cell r="AL2627">
            <v>0.25</v>
          </cell>
          <cell r="AM2627">
            <v>0.25</v>
          </cell>
          <cell r="AN2627">
            <v>0.25</v>
          </cell>
          <cell r="AO2627">
            <v>0.25</v>
          </cell>
          <cell r="AP2627">
            <v>0.25</v>
          </cell>
          <cell r="AQ2627">
            <v>0.25</v>
          </cell>
          <cell r="AR2627">
            <v>0.25</v>
          </cell>
          <cell r="AS2627">
            <v>0.25</v>
          </cell>
          <cell r="AT2627">
            <v>-0.04</v>
          </cell>
          <cell r="AU2627">
            <v>0.92</v>
          </cell>
          <cell r="AV2627">
            <v>20</v>
          </cell>
          <cell r="AZ2627">
            <v>0.25</v>
          </cell>
          <cell r="BA2627">
            <v>0.25</v>
          </cell>
        </row>
        <row r="2628">
          <cell r="A2628" t="str">
            <v>ZE_TA  PORTE &amp; FINESTRE SRL</v>
          </cell>
          <cell r="B2628" t="str">
            <v>ANDREA ZACCARIA</v>
          </cell>
          <cell r="D2628" t="str">
            <v>VIA S. CRISTINA, 2</v>
          </cell>
          <cell r="E2628">
            <v>36050</v>
          </cell>
          <cell r="F2628" t="str">
            <v>BOLZANO VICENTINO</v>
          </cell>
          <cell r="G2628" t="str">
            <v>VI</v>
          </cell>
          <cell r="H2628" t="str">
            <v>ITALIA</v>
          </cell>
          <cell r="I2628" t="str">
            <v>03780770248</v>
          </cell>
          <cell r="J2628" t="str">
            <v>03780770248</v>
          </cell>
          <cell r="M2628" t="str">
            <v>UFFICIO ACQUISTI</v>
          </cell>
          <cell r="N2628" t="str">
            <v>0444 350454</v>
          </cell>
          <cell r="O2628" t="str">
            <v xml:space="preserve"> A. Zaccaria 345 9481092</v>
          </cell>
          <cell r="P2628" t="str">
            <v>andrea@zetaportefinestre.it</v>
          </cell>
          <cell r="R2628" t="str">
            <v>BONIFICO BANCARIO, ALLA DATA DELLA NOSTRA CONFERMA D'ORDINE</v>
          </cell>
          <cell r="X2628">
            <v>0.25</v>
          </cell>
          <cell r="Y2628">
            <v>-0.04</v>
          </cell>
          <cell r="AB2628">
            <v>0.25</v>
          </cell>
          <cell r="AC2628">
            <v>0.25</v>
          </cell>
          <cell r="AD2628">
            <v>0.25</v>
          </cell>
          <cell r="AE2628">
            <v>0.25</v>
          </cell>
          <cell r="AF2628">
            <v>0.25</v>
          </cell>
          <cell r="AG2628">
            <v>0.25</v>
          </cell>
          <cell r="AH2628">
            <v>0.25</v>
          </cell>
          <cell r="AI2628">
            <v>0.25</v>
          </cell>
          <cell r="AJ2628">
            <v>0.25</v>
          </cell>
          <cell r="AK2628">
            <v>0.25</v>
          </cell>
          <cell r="AL2628">
            <v>0.25</v>
          </cell>
          <cell r="AM2628">
            <v>0.25</v>
          </cell>
          <cell r="AN2628">
            <v>0.25</v>
          </cell>
          <cell r="AO2628">
            <v>0.25</v>
          </cell>
          <cell r="AP2628">
            <v>0.25</v>
          </cell>
          <cell r="AQ2628">
            <v>0.25</v>
          </cell>
          <cell r="AR2628">
            <v>0.25</v>
          </cell>
          <cell r="AS2628">
            <v>0.25</v>
          </cell>
          <cell r="AT2628">
            <v>-0.04</v>
          </cell>
          <cell r="AU2628">
            <v>0.92</v>
          </cell>
          <cell r="AV2628">
            <v>20</v>
          </cell>
          <cell r="AZ2628">
            <v>0.25</v>
          </cell>
          <cell r="BA2628">
            <v>0.25</v>
          </cell>
        </row>
        <row r="2629">
          <cell r="A2629" t="str">
            <v>ZENI FERRAMENTA</v>
          </cell>
          <cell r="D2629" t="str">
            <v>VIA LAGO DI GARDA SN</v>
          </cell>
          <cell r="E2629" t="str">
            <v>26900</v>
          </cell>
          <cell r="F2629" t="str">
            <v>LODI</v>
          </cell>
          <cell r="G2629" t="str">
            <v>LO</v>
          </cell>
          <cell r="H2629" t="str">
            <v>ITALIA</v>
          </cell>
          <cell r="J2629" t="str">
            <v>10742880155</v>
          </cell>
          <cell r="M2629" t="str">
            <v>UFFICIO ACQUISTI</v>
          </cell>
          <cell r="N2629" t="str">
            <v>0371 423370 - 426015</v>
          </cell>
          <cell r="R2629" t="str">
            <v>BONIFICO BANCARIO, ALLA DATA DELLA NOSTRA CONFERMA D'ORDINE</v>
          </cell>
          <cell r="X2629">
            <v>0.25</v>
          </cell>
          <cell r="Y2629">
            <v>-0.04</v>
          </cell>
          <cell r="AB2629">
            <v>0.25</v>
          </cell>
          <cell r="AC2629">
            <v>0.25</v>
          </cell>
          <cell r="AD2629">
            <v>0.25</v>
          </cell>
          <cell r="AE2629">
            <v>0.25</v>
          </cell>
          <cell r="AF2629">
            <v>0.25</v>
          </cell>
          <cell r="AG2629">
            <v>0.25</v>
          </cell>
          <cell r="AH2629">
            <v>0.25</v>
          </cell>
          <cell r="AI2629">
            <v>0.25</v>
          </cell>
          <cell r="AJ2629">
            <v>0.25</v>
          </cell>
          <cell r="AK2629">
            <v>0.25</v>
          </cell>
          <cell r="AL2629">
            <v>0.25</v>
          </cell>
          <cell r="AM2629">
            <v>0.25</v>
          </cell>
          <cell r="AN2629">
            <v>0.25</v>
          </cell>
          <cell r="AO2629">
            <v>0.25</v>
          </cell>
          <cell r="AP2629">
            <v>0.25</v>
          </cell>
          <cell r="AQ2629">
            <v>0.25</v>
          </cell>
          <cell r="AR2629">
            <v>0.25</v>
          </cell>
          <cell r="AS2629">
            <v>0.25</v>
          </cell>
          <cell r="AT2629">
            <v>-0.04</v>
          </cell>
          <cell r="AU2629">
            <v>0.92</v>
          </cell>
          <cell r="AV2629">
            <v>20</v>
          </cell>
          <cell r="AZ2629">
            <v>0.25</v>
          </cell>
          <cell r="BA2629">
            <v>0.25</v>
          </cell>
        </row>
        <row r="2630">
          <cell r="A2630" t="str">
            <v>ZENI SERRAMENTI S.N.C.</v>
          </cell>
          <cell r="D2630" t="str">
            <v>VIA PINETA, 18</v>
          </cell>
          <cell r="E2630">
            <v>38068</v>
          </cell>
          <cell r="F2630" t="str">
            <v>ROVERETO</v>
          </cell>
          <cell r="G2630" t="str">
            <v>TN</v>
          </cell>
          <cell r="H2630" t="str">
            <v>ITALIA</v>
          </cell>
          <cell r="I2630" t="str">
            <v>01109820223</v>
          </cell>
          <cell r="J2630" t="str">
            <v>01109820223</v>
          </cell>
          <cell r="M2630" t="str">
            <v>UFFICIO ACQUISTI</v>
          </cell>
          <cell r="N2630" t="str">
            <v>0464 750761</v>
          </cell>
          <cell r="P2630" t="str">
            <v>info@serramentizeni.it</v>
          </cell>
          <cell r="R2630" t="str">
            <v>BONIFICO BANCARIO, ALLA DATA DELLA NOSTRA CONFERMA D'ORDINE</v>
          </cell>
          <cell r="X2630">
            <v>0.25</v>
          </cell>
          <cell r="Y2630">
            <v>-0.04</v>
          </cell>
          <cell r="AB2630">
            <v>0.25</v>
          </cell>
          <cell r="AC2630">
            <v>0.25</v>
          </cell>
          <cell r="AD2630">
            <v>0.25</v>
          </cell>
          <cell r="AE2630">
            <v>0.25</v>
          </cell>
          <cell r="AF2630">
            <v>0.25</v>
          </cell>
          <cell r="AG2630">
            <v>0.25</v>
          </cell>
          <cell r="AH2630">
            <v>0.25</v>
          </cell>
          <cell r="AI2630">
            <v>0.25</v>
          </cell>
          <cell r="AJ2630">
            <v>0.25</v>
          </cell>
          <cell r="AK2630">
            <v>0.25</v>
          </cell>
          <cell r="AL2630">
            <v>0.25</v>
          </cell>
          <cell r="AM2630">
            <v>0.25</v>
          </cell>
          <cell r="AN2630">
            <v>0.25</v>
          </cell>
          <cell r="AO2630">
            <v>0.25</v>
          </cell>
          <cell r="AP2630">
            <v>0.25</v>
          </cell>
          <cell r="AQ2630">
            <v>0.25</v>
          </cell>
          <cell r="AR2630">
            <v>0.25</v>
          </cell>
          <cell r="AS2630">
            <v>0.25</v>
          </cell>
          <cell r="AT2630">
            <v>-0.04</v>
          </cell>
          <cell r="AU2630">
            <v>0.92</v>
          </cell>
          <cell r="AV2630">
            <v>20</v>
          </cell>
          <cell r="AZ2630">
            <v>0.25</v>
          </cell>
          <cell r="BA2630">
            <v>0.25</v>
          </cell>
        </row>
        <row r="2631">
          <cell r="A2631" t="str">
            <v>ZENNA SERRAMENTI</v>
          </cell>
          <cell r="D2631" t="str">
            <v>VIA JENNER, 13 B</v>
          </cell>
          <cell r="E2631">
            <v>43126</v>
          </cell>
          <cell r="F2631" t="str">
            <v>PARMA</v>
          </cell>
          <cell r="G2631" t="str">
            <v>PR</v>
          </cell>
          <cell r="H2631" t="str">
            <v>ITALIA</v>
          </cell>
          <cell r="M2631" t="str">
            <v>UFFICIO ACQUISTI</v>
          </cell>
          <cell r="N2631" t="str">
            <v>0521 982831</v>
          </cell>
          <cell r="O2631" t="str">
            <v>338 7473990  346 6129752</v>
          </cell>
          <cell r="P2631" t="str">
            <v>info@zennaserramenti.it</v>
          </cell>
          <cell r="R2631" t="str">
            <v>BONIFICO BANCARIO, ALLA DATA DELLA NOSTRA CONFERMA D'ORDINE</v>
          </cell>
          <cell r="X2631">
            <v>0.25</v>
          </cell>
          <cell r="Y2631">
            <v>-0.04</v>
          </cell>
          <cell r="AB2631">
            <v>0.25</v>
          </cell>
          <cell r="AC2631">
            <v>0.25</v>
          </cell>
          <cell r="AD2631">
            <v>0.25</v>
          </cell>
          <cell r="AE2631">
            <v>0.25</v>
          </cell>
          <cell r="AF2631">
            <v>0.25</v>
          </cell>
          <cell r="AG2631">
            <v>0.25</v>
          </cell>
          <cell r="AH2631">
            <v>0.25</v>
          </cell>
          <cell r="AI2631">
            <v>0.25</v>
          </cell>
          <cell r="AJ2631">
            <v>0.25</v>
          </cell>
          <cell r="AK2631">
            <v>0.25</v>
          </cell>
          <cell r="AL2631">
            <v>0.25</v>
          </cell>
          <cell r="AM2631">
            <v>0.25</v>
          </cell>
          <cell r="AN2631">
            <v>0.25</v>
          </cell>
          <cell r="AO2631">
            <v>0.25</v>
          </cell>
          <cell r="AP2631">
            <v>0.25</v>
          </cell>
          <cell r="AQ2631">
            <v>0.25</v>
          </cell>
          <cell r="AR2631">
            <v>0.25</v>
          </cell>
          <cell r="AS2631">
            <v>0.25</v>
          </cell>
          <cell r="AT2631">
            <v>-0.04</v>
          </cell>
          <cell r="AU2631">
            <v>0.92</v>
          </cell>
          <cell r="AV2631">
            <v>20</v>
          </cell>
          <cell r="AZ2631">
            <v>0.25</v>
          </cell>
          <cell r="BA2631">
            <v>0.25</v>
          </cell>
        </row>
        <row r="2632">
          <cell r="A2632" t="str">
            <v>ZERO51 SRL</v>
          </cell>
          <cell r="D2632" t="str">
            <v>STRADA PROV.LE GALLIERA 13/2</v>
          </cell>
          <cell r="E2632" t="str">
            <v>40010</v>
          </cell>
          <cell r="F2632" t="str">
            <v>BENTIVOGLIO</v>
          </cell>
          <cell r="G2632" t="str">
            <v>BO</v>
          </cell>
          <cell r="H2632" t="str">
            <v>ITALIA</v>
          </cell>
          <cell r="J2632" t="str">
            <v>02587161205</v>
          </cell>
          <cell r="M2632" t="str">
            <v>UFFICIO ACQUISTI</v>
          </cell>
          <cell r="N2632" t="str">
            <v>051 861960</v>
          </cell>
          <cell r="O2632" t="str">
            <v>348 0704560</v>
          </cell>
          <cell r="P2632" t="str">
            <v>info@zero51.eu</v>
          </cell>
          <cell r="R2632" t="str">
            <v>BONIFICO BANCARIO, ALLA DATA DELLA NOSTRA CONFERMA D'ORDINE</v>
          </cell>
          <cell r="X2632">
            <v>0.25</v>
          </cell>
          <cell r="Y2632">
            <v>-0.04</v>
          </cell>
          <cell r="AB2632">
            <v>0.25</v>
          </cell>
          <cell r="AC2632">
            <v>0.25</v>
          </cell>
          <cell r="AD2632">
            <v>0.25</v>
          </cell>
          <cell r="AE2632">
            <v>0.25</v>
          </cell>
          <cell r="AF2632">
            <v>0.25</v>
          </cell>
          <cell r="AG2632">
            <v>0.25</v>
          </cell>
          <cell r="AH2632">
            <v>0.25</v>
          </cell>
          <cell r="AI2632">
            <v>0.25</v>
          </cell>
          <cell r="AJ2632">
            <v>0.25</v>
          </cell>
          <cell r="AK2632">
            <v>0.25</v>
          </cell>
          <cell r="AL2632">
            <v>0.25</v>
          </cell>
          <cell r="AM2632">
            <v>0.25</v>
          </cell>
          <cell r="AN2632">
            <v>0.25</v>
          </cell>
          <cell r="AO2632">
            <v>0.25</v>
          </cell>
          <cell r="AP2632">
            <v>0.25</v>
          </cell>
          <cell r="AQ2632">
            <v>0.25</v>
          </cell>
          <cell r="AR2632">
            <v>0.25</v>
          </cell>
          <cell r="AS2632">
            <v>0.25</v>
          </cell>
          <cell r="AT2632">
            <v>-0.04</v>
          </cell>
          <cell r="AU2632">
            <v>0.92</v>
          </cell>
          <cell r="AV2632">
            <v>20</v>
          </cell>
          <cell r="AZ2632">
            <v>0.25</v>
          </cell>
          <cell r="BA2632">
            <v>0.25</v>
          </cell>
        </row>
        <row r="2633">
          <cell r="A2633" t="str">
            <v>ZEROABITA SRL</v>
          </cell>
          <cell r="B2633" t="str">
            <v>ARCH. MAURIZIO ROCELLA</v>
          </cell>
          <cell r="D2633" t="str">
            <v>CORSO DELLE PROVINCE, 67</v>
          </cell>
          <cell r="E2633" t="str">
            <v>95128</v>
          </cell>
          <cell r="F2633" t="str">
            <v>CATANIA</v>
          </cell>
          <cell r="G2633" t="str">
            <v>CT</v>
          </cell>
          <cell r="H2633" t="str">
            <v>ITALIA</v>
          </cell>
          <cell r="J2633" t="str">
            <v>05059100874</v>
          </cell>
          <cell r="M2633" t="str">
            <v>UFFICIO ACQUISTI</v>
          </cell>
          <cell r="N2633" t="str">
            <v>095 0934808</v>
          </cell>
          <cell r="P2633" t="str">
            <v>info@zeroabita.it</v>
          </cell>
          <cell r="R2633" t="str">
            <v>BONIFICO BANCARIO, ALLA DATA DELLA NOSTRA CONFERMA D'ORDINE</v>
          </cell>
          <cell r="X2633">
            <v>0.2</v>
          </cell>
          <cell r="Y2633">
            <v>-0.04</v>
          </cell>
          <cell r="AB2633">
            <v>0.2</v>
          </cell>
          <cell r="AC2633">
            <v>0.2</v>
          </cell>
          <cell r="AD2633">
            <v>0.2</v>
          </cell>
          <cell r="AE2633">
            <v>0.2</v>
          </cell>
          <cell r="AF2633">
            <v>0.2</v>
          </cell>
          <cell r="AG2633">
            <v>0.2</v>
          </cell>
          <cell r="AH2633">
            <v>0.2</v>
          </cell>
          <cell r="AI2633">
            <v>0.2</v>
          </cell>
          <cell r="AJ2633">
            <v>0.2</v>
          </cell>
          <cell r="AK2633">
            <v>0.2</v>
          </cell>
          <cell r="AL2633">
            <v>0.2</v>
          </cell>
          <cell r="AM2633">
            <v>0.2</v>
          </cell>
          <cell r="AN2633">
            <v>0.2</v>
          </cell>
          <cell r="AO2633">
            <v>0.2</v>
          </cell>
          <cell r="AP2633">
            <v>0.2</v>
          </cell>
          <cell r="AQ2633">
            <v>0.2</v>
          </cell>
          <cell r="AR2633">
            <v>0.2</v>
          </cell>
          <cell r="AS2633">
            <v>0.2</v>
          </cell>
          <cell r="AT2633">
            <v>-0.04</v>
          </cell>
          <cell r="AU2633">
            <v>0.92</v>
          </cell>
          <cell r="AV2633">
            <v>20</v>
          </cell>
          <cell r="AZ2633">
            <v>0.2</v>
          </cell>
          <cell r="BA2633">
            <v>0.2</v>
          </cell>
        </row>
        <row r="2634">
          <cell r="A2634" t="str">
            <v>ZEUS SRL</v>
          </cell>
          <cell r="D2634" t="str">
            <v>VIA DEL PROGRESSO 559</v>
          </cell>
          <cell r="E2634" t="str">
            <v>88046</v>
          </cell>
          <cell r="F2634" t="str">
            <v>LAMEZIA TERME</v>
          </cell>
          <cell r="G2634" t="str">
            <v>CZ</v>
          </cell>
          <cell r="H2634" t="str">
            <v>ITALIA</v>
          </cell>
          <cell r="J2634" t="str">
            <v>03094620790</v>
          </cell>
          <cell r="M2634" t="str">
            <v>UFFICIO ACQUISTI</v>
          </cell>
          <cell r="R2634" t="str">
            <v>BONIFICO BANCARIO, ALLA DATA DELLA NOSTRA CONFERMA D'ORDINE</v>
          </cell>
          <cell r="X2634">
            <v>0.25</v>
          </cell>
          <cell r="Y2634">
            <v>-0.04</v>
          </cell>
          <cell r="AB2634">
            <v>0.25</v>
          </cell>
          <cell r="AC2634">
            <v>0.25</v>
          </cell>
          <cell r="AD2634">
            <v>0.25</v>
          </cell>
          <cell r="AE2634">
            <v>0.25</v>
          </cell>
          <cell r="AF2634">
            <v>0.25</v>
          </cell>
          <cell r="AG2634">
            <v>0.25</v>
          </cell>
          <cell r="AH2634">
            <v>0.25</v>
          </cell>
          <cell r="AI2634">
            <v>0.25</v>
          </cell>
          <cell r="AJ2634">
            <v>0.25</v>
          </cell>
          <cell r="AK2634">
            <v>0.25</v>
          </cell>
          <cell r="AL2634">
            <v>0.25</v>
          </cell>
          <cell r="AM2634">
            <v>0.25</v>
          </cell>
          <cell r="AN2634">
            <v>0.25</v>
          </cell>
          <cell r="AO2634">
            <v>0.25</v>
          </cell>
          <cell r="AP2634">
            <v>0.25</v>
          </cell>
          <cell r="AQ2634">
            <v>0.25</v>
          </cell>
          <cell r="AR2634">
            <v>0.25</v>
          </cell>
          <cell r="AS2634">
            <v>0.25</v>
          </cell>
          <cell r="AT2634">
            <v>-0.04</v>
          </cell>
          <cell r="AU2634">
            <v>0.92</v>
          </cell>
          <cell r="AV2634">
            <v>20</v>
          </cell>
          <cell r="AW2634" t="str">
            <v>PIETRO OLIVADOTI</v>
          </cell>
          <cell r="AX2634">
            <v>0.95</v>
          </cell>
          <cell r="AZ2634">
            <v>0.25</v>
          </cell>
          <cell r="BA2634">
            <v>0.25</v>
          </cell>
        </row>
        <row r="2635">
          <cell r="A2635" t="str">
            <v>ZILA SAS</v>
          </cell>
          <cell r="D2635" t="str">
            <v>VIA AGOSTINO BRACCU, 8</v>
          </cell>
          <cell r="E2635" t="str">
            <v>07026</v>
          </cell>
          <cell r="F2635" t="str">
            <v>OLBIA</v>
          </cell>
          <cell r="G2635" t="str">
            <v>OT</v>
          </cell>
          <cell r="H2635" t="str">
            <v>ITALIA</v>
          </cell>
          <cell r="J2635" t="str">
            <v>02617590902</v>
          </cell>
          <cell r="K2635" t="str">
            <v>M5UXCR1</v>
          </cell>
          <cell r="L2635" t="str">
            <v>VIA GIOTTO, 34 - OLBIA (OT) 07026</v>
          </cell>
          <cell r="M2635" t="str">
            <v>UFFICIO ACQUISTI</v>
          </cell>
          <cell r="N2635" t="str">
            <v>0789 27853</v>
          </cell>
          <cell r="P2635" t="str">
            <v>zilasnc@tiscali.it</v>
          </cell>
          <cell r="R2635" t="str">
            <v>BONIFICO BANCARIO, ALLA DATA DELLA NOSTRA CONFERMA D'ORDINE</v>
          </cell>
          <cell r="X2635">
            <v>0.25</v>
          </cell>
          <cell r="Y2635">
            <v>-0.04</v>
          </cell>
          <cell r="AB2635">
            <v>0.25</v>
          </cell>
          <cell r="AC2635">
            <v>0.25</v>
          </cell>
          <cell r="AD2635">
            <v>0.25</v>
          </cell>
          <cell r="AE2635">
            <v>0.25</v>
          </cell>
          <cell r="AF2635">
            <v>0.25</v>
          </cell>
          <cell r="AG2635">
            <v>0.25</v>
          </cell>
          <cell r="AH2635">
            <v>0.25</v>
          </cell>
          <cell r="AI2635">
            <v>0.25</v>
          </cell>
          <cell r="AJ2635">
            <v>0.25</v>
          </cell>
          <cell r="AK2635">
            <v>0.25</v>
          </cell>
          <cell r="AL2635">
            <v>0.25</v>
          </cell>
          <cell r="AM2635">
            <v>0.25</v>
          </cell>
          <cell r="AN2635">
            <v>0.25</v>
          </cell>
          <cell r="AO2635">
            <v>0.25</v>
          </cell>
          <cell r="AP2635">
            <v>0.25</v>
          </cell>
          <cell r="AQ2635">
            <v>0.25</v>
          </cell>
          <cell r="AR2635">
            <v>0.25</v>
          </cell>
          <cell r="AS2635">
            <v>0.25</v>
          </cell>
          <cell r="AT2635">
            <v>-0.04</v>
          </cell>
          <cell r="AU2635">
            <v>0.92</v>
          </cell>
          <cell r="AV2635">
            <v>20</v>
          </cell>
          <cell r="AZ2635">
            <v>0.25</v>
          </cell>
          <cell r="BA2635">
            <v>0.25</v>
          </cell>
          <cell r="BF2635" t="str">
            <v>CLICK RAPID con carpenteria 14/04/2021</v>
          </cell>
        </row>
        <row r="2636">
          <cell r="A2636" t="str">
            <v>ZOCCARATO GIANNINO</v>
          </cell>
          <cell r="D2636" t="str">
            <v>VIA DE AMICIS, 66</v>
          </cell>
          <cell r="E2636">
            <v>21054</v>
          </cell>
          <cell r="F2636" t="str">
            <v>FAGNANO OLONA</v>
          </cell>
          <cell r="G2636" t="str">
            <v>VA</v>
          </cell>
          <cell r="H2636" t="str">
            <v>ITALIA</v>
          </cell>
          <cell r="I2636" t="str">
            <v>ZCCGNN40A15I207T</v>
          </cell>
          <cell r="J2636" t="str">
            <v>00131820128</v>
          </cell>
          <cell r="M2636" t="str">
            <v>UFFICIO ACQUISTI</v>
          </cell>
          <cell r="N2636" t="str">
            <v>0331 617440</v>
          </cell>
          <cell r="P2636" t="str">
            <v>serramenti@zoccarato.eu</v>
          </cell>
          <cell r="R2636" t="str">
            <v>BONIFICO BANCARIO, ALLA DATA DELLA NOSTRA CONFERMA D'ORDINE</v>
          </cell>
          <cell r="X2636">
            <v>0.25</v>
          </cell>
          <cell r="Y2636">
            <v>-0.04</v>
          </cell>
          <cell r="AB2636">
            <v>0.25</v>
          </cell>
          <cell r="AC2636">
            <v>0.25</v>
          </cell>
          <cell r="AD2636">
            <v>0.25</v>
          </cell>
          <cell r="AE2636">
            <v>0.25</v>
          </cell>
          <cell r="AF2636">
            <v>0.25</v>
          </cell>
          <cell r="AG2636">
            <v>0.25</v>
          </cell>
          <cell r="AH2636">
            <v>0.25</v>
          </cell>
          <cell r="AI2636">
            <v>0.25</v>
          </cell>
          <cell r="AJ2636">
            <v>0.25</v>
          </cell>
          <cell r="AK2636">
            <v>0.25</v>
          </cell>
          <cell r="AL2636">
            <v>0.25</v>
          </cell>
          <cell r="AM2636">
            <v>0.25</v>
          </cell>
          <cell r="AN2636">
            <v>0.25</v>
          </cell>
          <cell r="AO2636">
            <v>0.25</v>
          </cell>
          <cell r="AP2636">
            <v>0.25</v>
          </cell>
          <cell r="AQ2636">
            <v>0.25</v>
          </cell>
          <cell r="AR2636">
            <v>0.25</v>
          </cell>
          <cell r="AS2636">
            <v>0.25</v>
          </cell>
          <cell r="AT2636">
            <v>-0.04</v>
          </cell>
          <cell r="AU2636">
            <v>0.92</v>
          </cell>
          <cell r="AV2636">
            <v>20</v>
          </cell>
          <cell r="AZ2636">
            <v>0.25</v>
          </cell>
          <cell r="BA2636">
            <v>0.25</v>
          </cell>
        </row>
        <row r="2637">
          <cell r="A2637" t="str">
            <v>ZORZI FERRO S.N.C.</v>
          </cell>
          <cell r="D2637" t="str">
            <v>LARGO DEL CASAL, 3</v>
          </cell>
          <cell r="E2637">
            <v>37011</v>
          </cell>
          <cell r="F2637" t="str">
            <v>BARDOLINO</v>
          </cell>
          <cell r="G2637" t="str">
            <v>VR</v>
          </cell>
          <cell r="H2637" t="str">
            <v>ITALIA</v>
          </cell>
          <cell r="I2637" t="str">
            <v>01919340230</v>
          </cell>
          <cell r="J2637" t="str">
            <v>01919340230</v>
          </cell>
          <cell r="M2637" t="str">
            <v>UFFICIO ACQUISTI</v>
          </cell>
          <cell r="N2637" t="str">
            <v>045 6210807</v>
          </cell>
          <cell r="R2637" t="str">
            <v>BONIFICO BANCARIO, ALLA DATA DELLA NOSTRA CONFERMA D'ORDINE</v>
          </cell>
          <cell r="X2637">
            <v>0.25</v>
          </cell>
          <cell r="Y2637">
            <v>-0.04</v>
          </cell>
          <cell r="AB2637">
            <v>0.25</v>
          </cell>
          <cell r="AC2637">
            <v>0.25</v>
          </cell>
          <cell r="AD2637">
            <v>0.25</v>
          </cell>
          <cell r="AE2637">
            <v>0.25</v>
          </cell>
          <cell r="AF2637">
            <v>0.25</v>
          </cell>
          <cell r="AG2637">
            <v>0.25</v>
          </cell>
          <cell r="AH2637">
            <v>0.25</v>
          </cell>
          <cell r="AI2637">
            <v>0.25</v>
          </cell>
          <cell r="AJ2637">
            <v>0.25</v>
          </cell>
          <cell r="AK2637">
            <v>0.25</v>
          </cell>
          <cell r="AL2637">
            <v>0.25</v>
          </cell>
          <cell r="AM2637">
            <v>0.25</v>
          </cell>
          <cell r="AN2637">
            <v>0.25</v>
          </cell>
          <cell r="AO2637">
            <v>0.25</v>
          </cell>
          <cell r="AP2637">
            <v>0.25</v>
          </cell>
          <cell r="AQ2637">
            <v>0.25</v>
          </cell>
          <cell r="AR2637">
            <v>0.25</v>
          </cell>
          <cell r="AS2637">
            <v>0.25</v>
          </cell>
          <cell r="AT2637">
            <v>-0.04</v>
          </cell>
          <cell r="AU2637">
            <v>0.92</v>
          </cell>
          <cell r="AV2637">
            <v>20</v>
          </cell>
          <cell r="AZ2637">
            <v>0.25</v>
          </cell>
          <cell r="BA2637">
            <v>0.25</v>
          </cell>
        </row>
        <row r="2638">
          <cell r="A2638" t="str">
            <v>ZP SERRAMENTI SNC</v>
          </cell>
          <cell r="D2638" t="str">
            <v>VIALE KENNEDY 101/II</v>
          </cell>
          <cell r="E2638" t="str">
            <v>45019</v>
          </cell>
          <cell r="F2638" t="str">
            <v>TAGLIO DI PO</v>
          </cell>
          <cell r="G2638" t="str">
            <v>RO</v>
          </cell>
          <cell r="H2638" t="str">
            <v>ITALIA</v>
          </cell>
          <cell r="J2638" t="str">
            <v>00773550298</v>
          </cell>
          <cell r="M2638" t="str">
            <v>UFFICIO ACQUISTI</v>
          </cell>
          <cell r="N2638" t="str">
            <v>0426 660492</v>
          </cell>
          <cell r="P2638" t="str">
            <v>zpserramentisnc@libero.it</v>
          </cell>
          <cell r="R2638" t="str">
            <v>BONIFICO BANCARIO, ALLA DATA DELLA NOSTRA CONFERMA D'ORDINE</v>
          </cell>
          <cell r="X2638">
            <v>0.25</v>
          </cell>
          <cell r="Y2638">
            <v>-0.04</v>
          </cell>
          <cell r="AB2638">
            <v>0.25</v>
          </cell>
          <cell r="AC2638">
            <v>0.25</v>
          </cell>
          <cell r="AD2638">
            <v>0.25</v>
          </cell>
          <cell r="AE2638">
            <v>0.25</v>
          </cell>
          <cell r="AF2638">
            <v>0.25</v>
          </cell>
          <cell r="AG2638">
            <v>0.25</v>
          </cell>
          <cell r="AH2638">
            <v>0.25</v>
          </cell>
          <cell r="AI2638">
            <v>0.25</v>
          </cell>
          <cell r="AJ2638">
            <v>0.25</v>
          </cell>
          <cell r="AK2638">
            <v>0.25</v>
          </cell>
          <cell r="AL2638">
            <v>0.25</v>
          </cell>
          <cell r="AM2638">
            <v>0.25</v>
          </cell>
          <cell r="AN2638">
            <v>0.25</v>
          </cell>
          <cell r="AO2638">
            <v>0.25</v>
          </cell>
          <cell r="AP2638">
            <v>0.25</v>
          </cell>
          <cell r="AQ2638">
            <v>0.25</v>
          </cell>
          <cell r="AR2638">
            <v>0.25</v>
          </cell>
          <cell r="AS2638">
            <v>0.25</v>
          </cell>
          <cell r="AT2638">
            <v>-0.04</v>
          </cell>
          <cell r="AU2638">
            <v>0.92</v>
          </cell>
          <cell r="AV2638">
            <v>20</v>
          </cell>
          <cell r="AZ2638">
            <v>0.25</v>
          </cell>
          <cell r="BA2638">
            <v>0.25</v>
          </cell>
        </row>
        <row r="2639">
          <cell r="A2639" t="str">
            <v>ZUANELLI SERRAMENTI SRL</v>
          </cell>
          <cell r="D2639" t="str">
            <v>VIA ROSSETTI 51</v>
          </cell>
          <cell r="E2639" t="str">
            <v xml:space="preserve">34141 </v>
          </cell>
          <cell r="F2639" t="str">
            <v>TRIESTE</v>
          </cell>
          <cell r="G2639" t="str">
            <v>TS</v>
          </cell>
          <cell r="H2639" t="str">
            <v>ITALIA</v>
          </cell>
          <cell r="J2639" t="str">
            <v>01083690329</v>
          </cell>
          <cell r="M2639" t="str">
            <v>UFFICIO ACQUISTI</v>
          </cell>
          <cell r="N2639" t="str">
            <v>040 368146</v>
          </cell>
          <cell r="P2639" t="str">
            <v>info@zuanelliserramenti.it</v>
          </cell>
          <cell r="R2639" t="str">
            <v>BONIFICO BANCARIO, ALLA DATA DELLA NOSTRA CONFERMA D'ORDINE</v>
          </cell>
          <cell r="X2639">
            <v>0.2</v>
          </cell>
          <cell r="Y2639">
            <v>-0.04</v>
          </cell>
          <cell r="AB2639">
            <v>0.2</v>
          </cell>
          <cell r="AC2639">
            <v>0.2</v>
          </cell>
          <cell r="AD2639">
            <v>0.2</v>
          </cell>
          <cell r="AE2639">
            <v>0.2</v>
          </cell>
          <cell r="AF2639">
            <v>0.2</v>
          </cell>
          <cell r="AG2639">
            <v>0.2</v>
          </cell>
          <cell r="AH2639">
            <v>0.2</v>
          </cell>
          <cell r="AI2639">
            <v>0.2</v>
          </cell>
          <cell r="AJ2639">
            <v>0.2</v>
          </cell>
          <cell r="AK2639">
            <v>0.2</v>
          </cell>
          <cell r="AL2639">
            <v>0.2</v>
          </cell>
          <cell r="AM2639">
            <v>0.2</v>
          </cell>
          <cell r="AN2639">
            <v>0.2</v>
          </cell>
          <cell r="AO2639">
            <v>0.2</v>
          </cell>
          <cell r="AP2639">
            <v>0.2</v>
          </cell>
          <cell r="AQ2639">
            <v>0.2</v>
          </cell>
          <cell r="AR2639">
            <v>0.2</v>
          </cell>
          <cell r="AS2639">
            <v>0.2</v>
          </cell>
          <cell r="AT2639">
            <v>-0.04</v>
          </cell>
          <cell r="AU2639">
            <v>0.92</v>
          </cell>
          <cell r="AV2639">
            <v>20</v>
          </cell>
          <cell r="AZ2639">
            <v>0.2</v>
          </cell>
          <cell r="BA2639">
            <v>0.2</v>
          </cell>
        </row>
        <row r="2640">
          <cell r="A2640" t="str">
            <v>ZUCCHETTI ADRIANO SRL</v>
          </cell>
          <cell r="D2640" t="str">
            <v>VIA VERDI, 2</v>
          </cell>
          <cell r="E2640" t="str">
            <v>24067</v>
          </cell>
          <cell r="F2640" t="str">
            <v>SARNICO</v>
          </cell>
          <cell r="G2640" t="str">
            <v>BG</v>
          </cell>
          <cell r="H2640" t="str">
            <v>ITALIA</v>
          </cell>
          <cell r="J2640" t="str">
            <v>03353350162</v>
          </cell>
          <cell r="L2640" t="str">
            <v>VIA FOPPE, 30 - PARATICO (BS) 25030</v>
          </cell>
          <cell r="M2640" t="str">
            <v>UFFICIO ACQUISTI</v>
          </cell>
          <cell r="N2640" t="str">
            <v>035 914022</v>
          </cell>
          <cell r="P2640" t="str">
            <v>info@zucchettiadriano.it</v>
          </cell>
          <cell r="R2640" t="str">
            <v>BONIFICO BANCARIO, ALLA DATA DELLA NOSTRA CONFERMA D'ORDINE</v>
          </cell>
          <cell r="X2640">
            <v>0.2</v>
          </cell>
          <cell r="Y2640">
            <v>-0.04</v>
          </cell>
          <cell r="AB2640">
            <v>0.2</v>
          </cell>
          <cell r="AC2640">
            <v>0.2</v>
          </cell>
          <cell r="AD2640">
            <v>0.2</v>
          </cell>
          <cell r="AE2640">
            <v>0.2</v>
          </cell>
          <cell r="AF2640">
            <v>0.2</v>
          </cell>
          <cell r="AG2640">
            <v>0.2</v>
          </cell>
          <cell r="AH2640">
            <v>0.2</v>
          </cell>
          <cell r="AI2640">
            <v>0.2</v>
          </cell>
          <cell r="AJ2640">
            <v>0.2</v>
          </cell>
          <cell r="AK2640">
            <v>0.2</v>
          </cell>
          <cell r="AL2640">
            <v>0.2</v>
          </cell>
          <cell r="AM2640">
            <v>0.2</v>
          </cell>
          <cell r="AN2640">
            <v>0.2</v>
          </cell>
          <cell r="AO2640">
            <v>0.2</v>
          </cell>
          <cell r="AP2640">
            <v>0.2</v>
          </cell>
          <cell r="AQ2640">
            <v>0.2</v>
          </cell>
          <cell r="AR2640">
            <v>0.2</v>
          </cell>
          <cell r="AS2640">
            <v>0.2</v>
          </cell>
          <cell r="AT2640">
            <v>-0.04</v>
          </cell>
          <cell r="AU2640">
            <v>0.92</v>
          </cell>
          <cell r="AV2640">
            <v>20</v>
          </cell>
          <cell r="AZ2640">
            <v>0.2</v>
          </cell>
          <cell r="BA2640">
            <v>0.2</v>
          </cell>
        </row>
        <row r="2641">
          <cell r="A2641" t="str">
            <v>MAROCCO MASSIMILIANO</v>
          </cell>
          <cell r="B2641" t="str">
            <v>USATO UNA VOLTA ACQUASTOP MA NON SI TROVA BENE A LIVELLO COMMERCIALE ACQUISTATO CAMPIONE 15/11/2022</v>
          </cell>
          <cell r="D2641" t="str">
            <v>PIAZZA MARINAI D'ITALIA, 4</v>
          </cell>
          <cell r="E2641" t="str">
            <v>34073</v>
          </cell>
          <cell r="F2641" t="str">
            <v>GRADO</v>
          </cell>
          <cell r="G2641" t="str">
            <v>GO</v>
          </cell>
          <cell r="H2641" t="str">
            <v>ITALIA</v>
          </cell>
          <cell r="J2641" t="str">
            <v>01021540313</v>
          </cell>
          <cell r="K2641" t="str">
            <v>M5UXCR1</v>
          </cell>
          <cell r="M2641" t="str">
            <v>UFFICIO ACQUISTI</v>
          </cell>
          <cell r="N2641" t="str">
            <v>0431 80253</v>
          </cell>
          <cell r="P2641" t="str">
            <v>max.marocco@icloud.com</v>
          </cell>
          <cell r="R2641" t="str">
            <v>BONIFICO BANCARIO, ALLA DATA DELLA NOSTRA CONFERMA D'ORDINE</v>
          </cell>
          <cell r="X2641">
            <v>0.25</v>
          </cell>
          <cell r="Y2641">
            <v>-0.04</v>
          </cell>
          <cell r="AB2641">
            <v>0.25</v>
          </cell>
          <cell r="AC2641">
            <v>0.25</v>
          </cell>
          <cell r="AD2641">
            <v>0.25</v>
          </cell>
          <cell r="AE2641">
            <v>0.25</v>
          </cell>
          <cell r="AF2641">
            <v>0.25</v>
          </cell>
          <cell r="AG2641">
            <v>0.25</v>
          </cell>
          <cell r="AH2641">
            <v>0.25</v>
          </cell>
          <cell r="AI2641">
            <v>0.25</v>
          </cell>
          <cell r="AJ2641">
            <v>0.25</v>
          </cell>
          <cell r="AK2641">
            <v>0.25</v>
          </cell>
          <cell r="AL2641">
            <v>0.25</v>
          </cell>
          <cell r="AM2641">
            <v>0.25</v>
          </cell>
          <cell r="AN2641">
            <v>0.25</v>
          </cell>
          <cell r="AO2641">
            <v>0.25</v>
          </cell>
          <cell r="AP2641">
            <v>0.25</v>
          </cell>
          <cell r="AQ2641">
            <v>0.25</v>
          </cell>
          <cell r="AR2641">
            <v>0.25</v>
          </cell>
          <cell r="AS2641">
            <v>0.25</v>
          </cell>
          <cell r="AT2641">
            <v>-0.04</v>
          </cell>
          <cell r="AU2641">
            <v>0.88</v>
          </cell>
          <cell r="AV2641">
            <v>20</v>
          </cell>
          <cell r="AZ2641">
            <v>0.25</v>
          </cell>
          <cell r="BA2641">
            <v>0.25</v>
          </cell>
          <cell r="BF2641" t="str">
            <v>MODERNA senza espositore 15/11/2022</v>
          </cell>
        </row>
        <row r="2642">
          <cell r="A2642" t="str">
            <v>GREENTEL SRL</v>
          </cell>
          <cell r="B2642" t="str">
            <v>EFFETTUA LAVORI SU TUTTO IL TERRITORIO COME LAVORI STRADALI, COSTRUZIONI EDIFICI LAVORI DI DIFESA IDRAULICA ECC..</v>
          </cell>
          <cell r="D2642" t="str">
            <v>VIA FONTANE BIANCHE, 61</v>
          </cell>
          <cell r="E2642" t="str">
            <v>35010</v>
          </cell>
          <cell r="F2642" t="str">
            <v>SANTA GIUSTINA IN COLLE</v>
          </cell>
          <cell r="G2642" t="str">
            <v>PD</v>
          </cell>
          <cell r="H2642" t="str">
            <v>ITALIA</v>
          </cell>
          <cell r="J2642" t="str">
            <v>04720770280</v>
          </cell>
          <cell r="M2642" t="str">
            <v>UFFICIO ACQUISTI</v>
          </cell>
          <cell r="N2642" t="str">
            <v>049 5790557</v>
          </cell>
          <cell r="P2642" t="str">
            <v>tecnico@green-tel.com</v>
          </cell>
          <cell r="R2642" t="str">
            <v>BONIFICO BANCARIO, ALLA DATA DELLA NOSTRA CONFERMA D'ORDINE</v>
          </cell>
          <cell r="X2642">
            <v>0.25</v>
          </cell>
          <cell r="Y2642">
            <v>-0.04</v>
          </cell>
          <cell r="AB2642">
            <v>0.25</v>
          </cell>
          <cell r="AC2642">
            <v>0.25</v>
          </cell>
          <cell r="AD2642">
            <v>0.25</v>
          </cell>
          <cell r="AE2642">
            <v>0.25</v>
          </cell>
          <cell r="AF2642">
            <v>0.25</v>
          </cell>
          <cell r="AG2642">
            <v>0.25</v>
          </cell>
          <cell r="AH2642">
            <v>0.25</v>
          </cell>
          <cell r="AI2642">
            <v>0.25</v>
          </cell>
          <cell r="AJ2642">
            <v>0.25</v>
          </cell>
          <cell r="AK2642">
            <v>0.25</v>
          </cell>
          <cell r="AL2642">
            <v>0.25</v>
          </cell>
          <cell r="AM2642">
            <v>0.25</v>
          </cell>
          <cell r="AN2642">
            <v>0.25</v>
          </cell>
          <cell r="AO2642">
            <v>0.25</v>
          </cell>
          <cell r="AP2642">
            <v>0.25</v>
          </cell>
          <cell r="AQ2642">
            <v>0.25</v>
          </cell>
          <cell r="AR2642">
            <v>0.25</v>
          </cell>
          <cell r="AS2642">
            <v>0.25</v>
          </cell>
          <cell r="AT2642">
            <v>-0.04</v>
          </cell>
          <cell r="AU2642">
            <v>0.88</v>
          </cell>
          <cell r="AV2642">
            <v>20</v>
          </cell>
          <cell r="AZ2642">
            <v>0.25</v>
          </cell>
          <cell r="BA2642">
            <v>0.25</v>
          </cell>
        </row>
        <row r="2643">
          <cell r="A2643" t="str">
            <v>HOCHWASSERSCHUTZ REITTHALER GMBH</v>
          </cell>
          <cell r="B2643" t="str">
            <v xml:space="preserve">PRODUTTORE DI BARRIERE ANTIALLAGAMENTI! INTERESSATO ALLA MODI E MODU. SI HA RIFORNITO DA AMARI MA CERCA FORNITORE NUOVO </v>
          </cell>
          <cell r="D2643" t="str">
            <v>AIGEN 1/HOCHBERG</v>
          </cell>
          <cell r="E2643" t="str">
            <v>83313</v>
          </cell>
          <cell r="F2643" t="str">
            <v>SIEGSDORF</v>
          </cell>
          <cell r="H2643" t="str">
            <v>GERMANIA</v>
          </cell>
          <cell r="J2643" t="str">
            <v>DE131561939</v>
          </cell>
          <cell r="K2643" t="str">
            <v>XXXXXXX</v>
          </cell>
          <cell r="M2643" t="str">
            <v>UFFICIO ACQUISTI</v>
          </cell>
          <cell r="N2643" t="str">
            <v>+49 866249025-00</v>
          </cell>
          <cell r="P2643" t="str">
            <v>hermann@hochwassersicherheit.de</v>
          </cell>
          <cell r="R2643" t="str">
            <v>BANKÜBERWEISUNG, AM DATUM UNSERER AUFTRAGSBESTÄTIGUNG</v>
          </cell>
          <cell r="X2643">
            <v>0</v>
          </cell>
          <cell r="AB2643">
            <v>0</v>
          </cell>
          <cell r="AC2643">
            <v>0</v>
          </cell>
          <cell r="AD2643">
            <v>0</v>
          </cell>
          <cell r="AE2643">
            <v>0</v>
          </cell>
          <cell r="AF2643">
            <v>0</v>
          </cell>
          <cell r="AG2643">
            <v>0</v>
          </cell>
          <cell r="AH2643">
            <v>0</v>
          </cell>
          <cell r="AI2643">
            <v>0</v>
          </cell>
          <cell r="AJ2643">
            <v>0</v>
          </cell>
          <cell r="AK2643">
            <v>0</v>
          </cell>
          <cell r="AL2643">
            <v>0</v>
          </cell>
          <cell r="AM2643">
            <v>0</v>
          </cell>
          <cell r="AN2643">
            <v>0</v>
          </cell>
          <cell r="AO2643">
            <v>0</v>
          </cell>
          <cell r="AP2643">
            <v>0</v>
          </cell>
          <cell r="AQ2643">
            <v>0</v>
          </cell>
          <cell r="AR2643">
            <v>0</v>
          </cell>
          <cell r="AS2643">
            <v>0</v>
          </cell>
          <cell r="AT2643">
            <v>0</v>
          </cell>
          <cell r="AU2643">
            <v>0.84</v>
          </cell>
          <cell r="AV2643">
            <v>20</v>
          </cell>
          <cell r="AZ2643">
            <v>0</v>
          </cell>
          <cell r="BA2643">
            <v>0</v>
          </cell>
        </row>
        <row r="2644">
          <cell r="A2644" t="str">
            <v>METALPORT GMBH</v>
          </cell>
          <cell r="D2644" t="str">
            <v>J.G. MAHL STRASSE 22</v>
          </cell>
          <cell r="E2644" t="str">
            <v>39031</v>
          </cell>
          <cell r="F2644" t="str">
            <v>BRUNICO</v>
          </cell>
          <cell r="G2644" t="str">
            <v>BZ</v>
          </cell>
          <cell r="H2644" t="str">
            <v>ITALIA</v>
          </cell>
          <cell r="I2644" t="str">
            <v>02446900215</v>
          </cell>
          <cell r="M2644" t="str">
            <v>UFFICIO ACQUISTI</v>
          </cell>
          <cell r="N2644" t="str">
            <v>0474 531288</v>
          </cell>
          <cell r="P2644" t="str">
            <v>info@metalport.it</v>
          </cell>
          <cell r="R2644" t="str">
            <v>BONIFICO BANCARIO, ALLA DATA DELLA NOSTRA CONFERMA D'ORDINE</v>
          </cell>
          <cell r="X2644">
            <v>0.25</v>
          </cell>
          <cell r="Y2644">
            <v>-0.04</v>
          </cell>
          <cell r="AB2644">
            <v>0.25</v>
          </cell>
          <cell r="AC2644">
            <v>0.25</v>
          </cell>
          <cell r="AD2644">
            <v>0.25</v>
          </cell>
          <cell r="AE2644">
            <v>0.25</v>
          </cell>
          <cell r="AF2644">
            <v>0.25</v>
          </cell>
          <cell r="AG2644">
            <v>0.25</v>
          </cell>
          <cell r="AH2644">
            <v>0.25</v>
          </cell>
          <cell r="AI2644">
            <v>0.25</v>
          </cell>
          <cell r="AJ2644">
            <v>0.25</v>
          </cell>
          <cell r="AK2644">
            <v>0.25</v>
          </cell>
          <cell r="AL2644">
            <v>0.25</v>
          </cell>
          <cell r="AM2644">
            <v>0.25</v>
          </cell>
          <cell r="AN2644">
            <v>0.25</v>
          </cell>
          <cell r="AO2644">
            <v>0.25</v>
          </cell>
          <cell r="AP2644">
            <v>0.25</v>
          </cell>
          <cell r="AQ2644">
            <v>0.25</v>
          </cell>
          <cell r="AR2644">
            <v>0.25</v>
          </cell>
          <cell r="AS2644">
            <v>0.25</v>
          </cell>
          <cell r="AT2644">
            <v>-0.04</v>
          </cell>
          <cell r="AU2644">
            <v>0.87</v>
          </cell>
          <cell r="AV2644">
            <v>20</v>
          </cell>
          <cell r="AZ2644">
            <v>0.25</v>
          </cell>
          <cell r="BA2644">
            <v>0.25</v>
          </cell>
          <cell r="BF2644" t="str">
            <v xml:space="preserve"> CLICK RAPID con espositore 27/02/2023 - MODERNA con espositore 27/02/2023 - MODI con espositore 27/02/2023 - MODU con espositore 27/02/2023</v>
          </cell>
        </row>
        <row r="2645">
          <cell r="A2645" t="str">
            <v>METALLBAU OTT GMBH</v>
          </cell>
          <cell r="B2645" t="str">
            <v>RIVENDITORE ACQUASTOP</v>
          </cell>
          <cell r="D2645" t="str">
            <v>EIKBOOMSTRASSE 12</v>
          </cell>
          <cell r="E2645" t="str">
            <v>18209</v>
          </cell>
          <cell r="F2645" t="str">
            <v>BAD DOBERAN</v>
          </cell>
          <cell r="H2645" t="str">
            <v>GERMANIA</v>
          </cell>
          <cell r="J2645" t="str">
            <v>DE324736192</v>
          </cell>
          <cell r="K2645" t="str">
            <v>XXXXXXX</v>
          </cell>
          <cell r="M2645" t="str">
            <v>UFFICIO ACQUISTI</v>
          </cell>
          <cell r="N2645" t="str">
            <v>+49 38203 7440525</v>
          </cell>
          <cell r="P2645" t="str">
            <v>jakubzyk@metallbau-ott.de</v>
          </cell>
          <cell r="R2645" t="str">
            <v>BANKÜBERWEISUNG, AM DATUM UNSERER AUFTRAGSBESTÄTIGUNG</v>
          </cell>
          <cell r="X2645">
            <v>0</v>
          </cell>
          <cell r="AB2645">
            <v>0</v>
          </cell>
          <cell r="AC2645">
            <v>0</v>
          </cell>
          <cell r="AD2645">
            <v>0</v>
          </cell>
          <cell r="AE2645">
            <v>0</v>
          </cell>
          <cell r="AF2645">
            <v>0</v>
          </cell>
          <cell r="AG2645">
            <v>0</v>
          </cell>
          <cell r="AH2645">
            <v>0</v>
          </cell>
          <cell r="AI2645">
            <v>0</v>
          </cell>
          <cell r="AJ2645">
            <v>0</v>
          </cell>
          <cell r="AK2645">
            <v>0</v>
          </cell>
          <cell r="AL2645">
            <v>0</v>
          </cell>
          <cell r="AM2645">
            <v>0</v>
          </cell>
          <cell r="AN2645">
            <v>0</v>
          </cell>
          <cell r="AO2645">
            <v>0</v>
          </cell>
          <cell r="AP2645">
            <v>0</v>
          </cell>
          <cell r="AQ2645">
            <v>0</v>
          </cell>
          <cell r="AR2645">
            <v>0</v>
          </cell>
          <cell r="AS2645">
            <v>0</v>
          </cell>
          <cell r="AT2645">
            <v>0</v>
          </cell>
          <cell r="AU2645">
            <v>0.84</v>
          </cell>
          <cell r="AV2645">
            <v>20</v>
          </cell>
          <cell r="AZ2645">
            <v>0</v>
          </cell>
          <cell r="BA2645">
            <v>0</v>
          </cell>
        </row>
        <row r="2646">
          <cell r="A2646" t="str">
            <v>NEWTON SRLS</v>
          </cell>
          <cell r="B2646" t="str">
            <v>VISITATO MP 22/11/2022</v>
          </cell>
          <cell r="D2646" t="str">
            <v>VIA VIRGILIO, 129</v>
          </cell>
          <cell r="E2646" t="str">
            <v>91100</v>
          </cell>
          <cell r="F2646" t="str">
            <v>TRAPANI</v>
          </cell>
          <cell r="G2646" t="str">
            <v>TP</v>
          </cell>
          <cell r="H2646" t="str">
            <v>ITALIA</v>
          </cell>
          <cell r="J2646" t="str">
            <v>02766960815</v>
          </cell>
          <cell r="M2646" t="str">
            <v>UFFICIO ACQUISTI</v>
          </cell>
          <cell r="N2646" t="str">
            <v>0923 1815609</v>
          </cell>
          <cell r="P2646" t="str">
            <v>newtontrapani@gmail.com</v>
          </cell>
          <cell r="R2646" t="str">
            <v>BONIFICO BANCARIO, ALLA DATA DELLA NOSTRA CONFERMA D'ORDINE</v>
          </cell>
          <cell r="X2646">
            <v>0.25</v>
          </cell>
          <cell r="Y2646">
            <v>-0.04</v>
          </cell>
          <cell r="AB2646">
            <v>0.25</v>
          </cell>
          <cell r="AC2646">
            <v>0.25</v>
          </cell>
          <cell r="AD2646">
            <v>0.25</v>
          </cell>
          <cell r="AE2646">
            <v>0.25</v>
          </cell>
          <cell r="AF2646">
            <v>0.25</v>
          </cell>
          <cell r="AG2646">
            <v>0.25</v>
          </cell>
          <cell r="AH2646">
            <v>0.25</v>
          </cell>
          <cell r="AI2646">
            <v>0.25</v>
          </cell>
          <cell r="AJ2646">
            <v>0.25</v>
          </cell>
          <cell r="AK2646">
            <v>0.25</v>
          </cell>
          <cell r="AL2646">
            <v>0.25</v>
          </cell>
          <cell r="AM2646">
            <v>0.25</v>
          </cell>
          <cell r="AN2646">
            <v>0.25</v>
          </cell>
          <cell r="AO2646">
            <v>0.25</v>
          </cell>
          <cell r="AP2646">
            <v>0.25</v>
          </cell>
          <cell r="AQ2646">
            <v>0.25</v>
          </cell>
          <cell r="AR2646">
            <v>0.25</v>
          </cell>
          <cell r="AS2646">
            <v>0.25</v>
          </cell>
          <cell r="AT2646">
            <v>-0.04</v>
          </cell>
          <cell r="AU2646">
            <v>0.87</v>
          </cell>
          <cell r="AV2646">
            <v>20</v>
          </cell>
          <cell r="AZ2646">
            <v>0.25</v>
          </cell>
          <cell r="BA2646">
            <v>0.25</v>
          </cell>
          <cell r="BF2646" t="str">
            <v>CLICK RAPID con espositore 09/01/2023 - MODERNA con espositore 09/01/2023</v>
          </cell>
        </row>
        <row r="2647">
          <cell r="A2647" t="str">
            <v>SAIFAL S.N.C DI MAZZARA &amp; LABITA</v>
          </cell>
          <cell r="B2647" t="str">
            <v>24/10/2022 Trattano TRITONE, e si trovano molto bene. Spiegati i contro. Dice di mandare mail. Spiegato i nostri vantaggi</v>
          </cell>
          <cell r="D2647" t="str">
            <v>CONTRADA SAN LEONARDO - S.S. 113 KM 326</v>
          </cell>
          <cell r="E2647">
            <v>91011</v>
          </cell>
          <cell r="F2647" t="str">
            <v xml:space="preserve">ALCAMO </v>
          </cell>
          <cell r="G2647" t="str">
            <v>TP</v>
          </cell>
          <cell r="H2647" t="str">
            <v>ITALIA</v>
          </cell>
          <cell r="J2647" t="str">
            <v>02129380818</v>
          </cell>
          <cell r="M2647" t="str">
            <v>UFFICIO ACQUISTI</v>
          </cell>
          <cell r="N2647" t="str">
            <v>0924 500065</v>
          </cell>
          <cell r="O2647" t="str">
            <v>328 8631232 Mazzara</v>
          </cell>
          <cell r="P2647" t="str">
            <v>info@saifalinfissi.it</v>
          </cell>
          <cell r="R2647" t="str">
            <v>BONIFICO BANCARIO, ALLA DATA DELLA NOSTRA CONFERMA D'ORDINE</v>
          </cell>
          <cell r="X2647">
            <v>0.25</v>
          </cell>
          <cell r="Y2647">
            <v>-0.04</v>
          </cell>
          <cell r="AB2647">
            <v>0.25</v>
          </cell>
          <cell r="AC2647">
            <v>0.25</v>
          </cell>
          <cell r="AD2647">
            <v>0.25</v>
          </cell>
          <cell r="AE2647">
            <v>0.25</v>
          </cell>
          <cell r="AF2647">
            <v>0.25</v>
          </cell>
          <cell r="AG2647">
            <v>0.25</v>
          </cell>
          <cell r="AH2647">
            <v>0.25</v>
          </cell>
          <cell r="AI2647">
            <v>0.25</v>
          </cell>
          <cell r="AJ2647">
            <v>0.25</v>
          </cell>
          <cell r="AK2647">
            <v>0.25</v>
          </cell>
          <cell r="AL2647">
            <v>0.25</v>
          </cell>
          <cell r="AM2647">
            <v>0.25</v>
          </cell>
          <cell r="AN2647">
            <v>0.25</v>
          </cell>
          <cell r="AO2647">
            <v>0.25</v>
          </cell>
          <cell r="AP2647">
            <v>0.25</v>
          </cell>
          <cell r="AQ2647">
            <v>0.25</v>
          </cell>
          <cell r="AR2647">
            <v>0.25</v>
          </cell>
          <cell r="AS2647">
            <v>0.25</v>
          </cell>
          <cell r="AT2647">
            <v>-0.04</v>
          </cell>
          <cell r="AU2647">
            <v>0.87</v>
          </cell>
          <cell r="AV2647">
            <v>20</v>
          </cell>
          <cell r="AZ2647">
            <v>0.25</v>
          </cell>
          <cell r="BA2647">
            <v>0.25</v>
          </cell>
        </row>
        <row r="2648">
          <cell r="A2648" t="str">
            <v>SQUARCI AURELIO</v>
          </cell>
          <cell r="B2648" t="str">
            <v>USAVA ACQUASTOP AP 23/11/2022 - 07/02/2023 OTTIMO FEEDBACK NOSTRA AZIENDA</v>
          </cell>
          <cell r="D2648" t="str">
            <v>LOCALITA' BOCCHETTO</v>
          </cell>
          <cell r="E2648" t="str">
            <v>57036</v>
          </cell>
          <cell r="F2648" t="str">
            <v>PORTO AZZURRO</v>
          </cell>
          <cell r="G2648" t="str">
            <v>LI</v>
          </cell>
          <cell r="H2648" t="str">
            <v>ITALIA</v>
          </cell>
          <cell r="I2648" t="str">
            <v>SQRRLA55T18E680H</v>
          </cell>
          <cell r="J2648" t="str">
            <v>00712630490</v>
          </cell>
          <cell r="K2648" t="str">
            <v>M5UXCR1</v>
          </cell>
          <cell r="M2648" t="str">
            <v>UFFICIO ACQUISTI</v>
          </cell>
          <cell r="O2648" t="str">
            <v>328 434 1534 SIG. AURELIO</v>
          </cell>
          <cell r="P2648" t="str">
            <v>aurelio.squarci@gmail.com</v>
          </cell>
          <cell r="R2648" t="str">
            <v>BONIFICO BANCARIO, ALLA DATA DELLA NOSTRA CONFERMA D'ORDINE</v>
          </cell>
          <cell r="X2648">
            <v>0.25</v>
          </cell>
          <cell r="Y2648">
            <v>-0.04</v>
          </cell>
          <cell r="AB2648">
            <v>0.25</v>
          </cell>
          <cell r="AC2648">
            <v>0.25</v>
          </cell>
          <cell r="AD2648">
            <v>0.25</v>
          </cell>
          <cell r="AE2648">
            <v>0.25</v>
          </cell>
          <cell r="AF2648">
            <v>0.25</v>
          </cell>
          <cell r="AG2648">
            <v>0.25</v>
          </cell>
          <cell r="AH2648">
            <v>0.25</v>
          </cell>
          <cell r="AI2648">
            <v>0.25</v>
          </cell>
          <cell r="AJ2648">
            <v>0.25</v>
          </cell>
          <cell r="AK2648">
            <v>0.25</v>
          </cell>
          <cell r="AL2648">
            <v>0.25</v>
          </cell>
          <cell r="AM2648">
            <v>0.25</v>
          </cell>
          <cell r="AN2648">
            <v>0.25</v>
          </cell>
          <cell r="AO2648">
            <v>0.25</v>
          </cell>
          <cell r="AP2648">
            <v>0.25</v>
          </cell>
          <cell r="AQ2648">
            <v>0.25</v>
          </cell>
          <cell r="AR2648">
            <v>0.25</v>
          </cell>
          <cell r="AS2648">
            <v>0.25</v>
          </cell>
          <cell r="AT2648">
            <v>-0.04</v>
          </cell>
          <cell r="AU2648">
            <v>0.87</v>
          </cell>
          <cell r="AV2648">
            <v>20</v>
          </cell>
          <cell r="AZ2648">
            <v>0.25</v>
          </cell>
          <cell r="BA2648">
            <v>0.25</v>
          </cell>
        </row>
        <row r="2649">
          <cell r="A2649" t="str">
            <v>VETRAS SERRAMENTI SRL</v>
          </cell>
          <cell r="D2649" t="str">
            <v>VIA TRIESTE, 200</v>
          </cell>
          <cell r="E2649" t="str">
            <v>48122</v>
          </cell>
          <cell r="F2649" t="str">
            <v>RAVENNA</v>
          </cell>
          <cell r="G2649" t="str">
            <v>RA</v>
          </cell>
          <cell r="H2649" t="str">
            <v>ITALIA</v>
          </cell>
          <cell r="J2649" t="str">
            <v>02170890392</v>
          </cell>
          <cell r="K2649" t="str">
            <v>USAL8PV</v>
          </cell>
          <cell r="M2649" t="str">
            <v>UFFICIO ACQUISTI</v>
          </cell>
          <cell r="N2649" t="str">
            <v>0544 420255</v>
          </cell>
          <cell r="P2649" t="str">
            <v>commerciale@vetras.it</v>
          </cell>
          <cell r="R2649" t="str">
            <v>BONIFICO BANCARIO, ALLA DATA DELLA NOSTRA CONFERMA D'ORDINE</v>
          </cell>
          <cell r="X2649">
            <v>0.25</v>
          </cell>
          <cell r="Y2649">
            <v>-0.04</v>
          </cell>
          <cell r="AB2649">
            <v>0.25</v>
          </cell>
          <cell r="AC2649">
            <v>0.25</v>
          </cell>
          <cell r="AD2649">
            <v>0.25</v>
          </cell>
          <cell r="AE2649">
            <v>0.25</v>
          </cell>
          <cell r="AF2649">
            <v>0.25</v>
          </cell>
          <cell r="AG2649">
            <v>0.25</v>
          </cell>
          <cell r="AH2649">
            <v>0.25</v>
          </cell>
          <cell r="AI2649">
            <v>0.25</v>
          </cell>
          <cell r="AJ2649">
            <v>0.25</v>
          </cell>
          <cell r="AK2649">
            <v>0.25</v>
          </cell>
          <cell r="AL2649">
            <v>0.25</v>
          </cell>
          <cell r="AM2649">
            <v>0.25</v>
          </cell>
          <cell r="AN2649">
            <v>0.25</v>
          </cell>
          <cell r="AO2649">
            <v>0.25</v>
          </cell>
          <cell r="AP2649">
            <v>0.25</v>
          </cell>
          <cell r="AQ2649">
            <v>0.25</v>
          </cell>
          <cell r="AR2649">
            <v>0.25</v>
          </cell>
          <cell r="AS2649">
            <v>0.25</v>
          </cell>
          <cell r="AT2649">
            <v>-0.04</v>
          </cell>
          <cell r="AU2649">
            <v>1</v>
          </cell>
          <cell r="AV2649">
            <v>0</v>
          </cell>
          <cell r="AZ2649">
            <v>0.25</v>
          </cell>
          <cell r="BA2649">
            <v>0.25</v>
          </cell>
        </row>
        <row r="2650">
          <cell r="A2650" t="str">
            <v>MACRINA SERRAMENTI SRL</v>
          </cell>
          <cell r="D2650" t="str">
            <v>VIA ALCIDE DE GASPERI, 25</v>
          </cell>
          <cell r="E2650" t="str">
            <v>88060</v>
          </cell>
          <cell r="F2650" t="str">
            <v>CATANZARO</v>
          </cell>
          <cell r="G2650" t="str">
            <v>CZ</v>
          </cell>
          <cell r="H2650" t="str">
            <v>ITALIA</v>
          </cell>
          <cell r="J2650" t="str">
            <v>03080740792</v>
          </cell>
          <cell r="M2650" t="str">
            <v>UFFICIO ACQUISTI</v>
          </cell>
          <cell r="O2650">
            <v>3394876083</v>
          </cell>
          <cell r="P2650" t="str">
            <v>mgmacrina@libero.it</v>
          </cell>
          <cell r="R2650" t="str">
            <v>BONIFICO BANCARIO, ALLA DATA DELLA NOSTRA CONFERMA D'ORDINE</v>
          </cell>
          <cell r="X2650">
            <v>0.25</v>
          </cell>
          <cell r="Y2650">
            <v>-0.04</v>
          </cell>
          <cell r="AB2650">
            <v>0.25</v>
          </cell>
          <cell r="AC2650">
            <v>0.25</v>
          </cell>
          <cell r="AD2650">
            <v>0.25</v>
          </cell>
          <cell r="AE2650">
            <v>0.25</v>
          </cell>
          <cell r="AF2650">
            <v>0.25</v>
          </cell>
          <cell r="AG2650">
            <v>0.25</v>
          </cell>
          <cell r="AH2650">
            <v>0.25</v>
          </cell>
          <cell r="AI2650">
            <v>0.25</v>
          </cell>
          <cell r="AJ2650">
            <v>0.25</v>
          </cell>
          <cell r="AK2650">
            <v>0.25</v>
          </cell>
          <cell r="AL2650">
            <v>0.25</v>
          </cell>
          <cell r="AM2650">
            <v>0.25</v>
          </cell>
          <cell r="AN2650">
            <v>0.25</v>
          </cell>
          <cell r="AO2650">
            <v>0.25</v>
          </cell>
          <cell r="AP2650">
            <v>0.25</v>
          </cell>
          <cell r="AQ2650">
            <v>0.25</v>
          </cell>
          <cell r="AR2650">
            <v>0.25</v>
          </cell>
          <cell r="AS2650">
            <v>0.25</v>
          </cell>
          <cell r="AT2650">
            <v>-0.04</v>
          </cell>
          <cell r="AU2650">
            <v>0.87</v>
          </cell>
          <cell r="AV2650">
            <v>20</v>
          </cell>
          <cell r="AZ2650">
            <v>0.25</v>
          </cell>
          <cell r="BA2650">
            <v>0.25</v>
          </cell>
        </row>
        <row r="2651">
          <cell r="A2651" t="str">
            <v>MARUZZO SERRAMENTI SRL</v>
          </cell>
          <cell r="B2651" t="str">
            <v>SE LE FA DA SOLO E NE PRODUCE ANCHE TANTE - MP 25/11/2022</v>
          </cell>
          <cell r="D2651" t="str">
            <v>PIAZZA ARTIGIANATO, 4</v>
          </cell>
          <cell r="E2651" t="str">
            <v>35031</v>
          </cell>
          <cell r="F2651" t="str">
            <v>ABANO TERME</v>
          </cell>
          <cell r="G2651" t="str">
            <v>PD</v>
          </cell>
          <cell r="H2651" t="str">
            <v>ITALIA</v>
          </cell>
          <cell r="M2651" t="str">
            <v>UFFICIO ACQUISTI</v>
          </cell>
          <cell r="N2651" t="str">
            <v>049 891 0675</v>
          </cell>
          <cell r="R2651" t="str">
            <v>BONIFICO BANCARIO, ALLA DATA DELLA NOSTRA CONFERMA D'ORDINE</v>
          </cell>
          <cell r="X2651">
            <v>0.25</v>
          </cell>
          <cell r="Y2651">
            <v>-0.04</v>
          </cell>
          <cell r="AB2651">
            <v>0.25</v>
          </cell>
          <cell r="AC2651">
            <v>0.25</v>
          </cell>
          <cell r="AD2651">
            <v>0.25</v>
          </cell>
          <cell r="AE2651">
            <v>0.25</v>
          </cell>
          <cell r="AF2651">
            <v>0.25</v>
          </cell>
          <cell r="AG2651">
            <v>0.25</v>
          </cell>
          <cell r="AH2651">
            <v>0.25</v>
          </cell>
          <cell r="AI2651">
            <v>0.25</v>
          </cell>
          <cell r="AJ2651">
            <v>0.25</v>
          </cell>
          <cell r="AK2651">
            <v>0.25</v>
          </cell>
          <cell r="AL2651">
            <v>0.25</v>
          </cell>
          <cell r="AM2651">
            <v>0.25</v>
          </cell>
          <cell r="AN2651">
            <v>0.25</v>
          </cell>
          <cell r="AO2651">
            <v>0.25</v>
          </cell>
          <cell r="AP2651">
            <v>0.25</v>
          </cell>
          <cell r="AQ2651">
            <v>0.25</v>
          </cell>
          <cell r="AR2651">
            <v>0.25</v>
          </cell>
          <cell r="AS2651">
            <v>0.25</v>
          </cell>
          <cell r="AT2651">
            <v>-0.04</v>
          </cell>
          <cell r="AU2651">
            <v>0.87</v>
          </cell>
          <cell r="AV2651">
            <v>20</v>
          </cell>
          <cell r="AZ2651">
            <v>0.25</v>
          </cell>
          <cell r="BA2651">
            <v>0.25</v>
          </cell>
        </row>
        <row r="2652">
          <cell r="A2652" t="str">
            <v>CBL CARPENTERIA S.A.S DI BERNINI NICOLA E C.</v>
          </cell>
          <cell r="B2652" t="str">
            <v>SE LE FA DA SOLO - MP 25/11/2022</v>
          </cell>
          <cell r="D2652" t="str">
            <v>VIA DEL COMMERCIO, 28</v>
          </cell>
          <cell r="E2652" t="str">
            <v>35036</v>
          </cell>
          <cell r="F2652" t="str">
            <v>MONTEGROTTO TERME</v>
          </cell>
          <cell r="G2652" t="str">
            <v>PD</v>
          </cell>
          <cell r="H2652" t="str">
            <v>ITALIA</v>
          </cell>
          <cell r="J2652" t="str">
            <v>03318600289</v>
          </cell>
          <cell r="K2652" t="str">
            <v>SUBM70N</v>
          </cell>
          <cell r="M2652" t="str">
            <v>UFFICIO ACQUISTI</v>
          </cell>
          <cell r="N2652" t="str">
            <v>049 795666</v>
          </cell>
          <cell r="P2652" t="str">
            <v>cblcarpenteria@libero.it</v>
          </cell>
          <cell r="R2652" t="str">
            <v>BONIFICO BANCARIO, ALLA DATA DELLA NOSTRA CONFERMA D'ORDINE</v>
          </cell>
          <cell r="X2652">
            <v>0.25</v>
          </cell>
          <cell r="Y2652">
            <v>-0.04</v>
          </cell>
          <cell r="AB2652">
            <v>0.25</v>
          </cell>
          <cell r="AC2652">
            <v>0.25</v>
          </cell>
          <cell r="AD2652">
            <v>0.25</v>
          </cell>
          <cell r="AE2652">
            <v>0.25</v>
          </cell>
          <cell r="AF2652">
            <v>0.25</v>
          </cell>
          <cell r="AG2652">
            <v>0.25</v>
          </cell>
          <cell r="AH2652">
            <v>0.25</v>
          </cell>
          <cell r="AI2652">
            <v>0.25</v>
          </cell>
          <cell r="AJ2652">
            <v>0.25</v>
          </cell>
          <cell r="AK2652">
            <v>0.25</v>
          </cell>
          <cell r="AL2652">
            <v>0.25</v>
          </cell>
          <cell r="AM2652">
            <v>0.25</v>
          </cell>
          <cell r="AN2652">
            <v>0.25</v>
          </cell>
          <cell r="AO2652">
            <v>0.25</v>
          </cell>
          <cell r="AP2652">
            <v>0.25</v>
          </cell>
          <cell r="AQ2652">
            <v>0.25</v>
          </cell>
          <cell r="AR2652">
            <v>0.25</v>
          </cell>
          <cell r="AS2652">
            <v>0.25</v>
          </cell>
          <cell r="AT2652">
            <v>-0.04</v>
          </cell>
          <cell r="AU2652">
            <v>0.87</v>
          </cell>
          <cell r="AV2652">
            <v>20</v>
          </cell>
          <cell r="AZ2652">
            <v>0.25</v>
          </cell>
          <cell r="BA2652">
            <v>0.25</v>
          </cell>
          <cell r="BF2652" t="str">
            <v>CLICK RAPID con espositore 24/02/2023</v>
          </cell>
        </row>
        <row r="2653">
          <cell r="A2653" t="str">
            <v>FERRAMENTA VALERI DI VALERI VALENTINA</v>
          </cell>
          <cell r="D2653" t="str">
            <v>VIA S.E. BALDUCCI, 26</v>
          </cell>
          <cell r="E2653" t="str">
            <v>60010</v>
          </cell>
          <cell r="F2653" t="str">
            <v>OSTRA</v>
          </cell>
          <cell r="G2653" t="str">
            <v>AN</v>
          </cell>
          <cell r="H2653" t="str">
            <v>ITALIA</v>
          </cell>
          <cell r="I2653" t="str">
            <v>VLRVNT85C48I608B</v>
          </cell>
          <cell r="J2653" t="str">
            <v>02603480423</v>
          </cell>
          <cell r="K2653" t="str">
            <v>M5UXCR1</v>
          </cell>
          <cell r="L2653" t="str">
            <v>VIA ARCEVIESE, 10 - 60010 CASINE DI OSTRA (AN)</v>
          </cell>
          <cell r="M2653" t="str">
            <v>UFFICIO ACQUISTI</v>
          </cell>
          <cell r="N2653" t="str">
            <v>071 7988035</v>
          </cell>
          <cell r="P2653" t="str">
            <v>valentinavaleri85@gmial.com</v>
          </cell>
          <cell r="R2653" t="str">
            <v>BONIFICO BANCARIO, ALLA DATA DELLA NOSTRA CONFERMA D'ORDINE</v>
          </cell>
          <cell r="X2653">
            <v>0.25</v>
          </cell>
          <cell r="Y2653">
            <v>-0.04</v>
          </cell>
          <cell r="AB2653">
            <v>0.25</v>
          </cell>
          <cell r="AC2653">
            <v>0.25</v>
          </cell>
          <cell r="AD2653">
            <v>0.25</v>
          </cell>
          <cell r="AE2653">
            <v>0.25</v>
          </cell>
          <cell r="AF2653">
            <v>0.25</v>
          </cell>
          <cell r="AG2653">
            <v>0.25</v>
          </cell>
          <cell r="AH2653">
            <v>0.25</v>
          </cell>
          <cell r="AI2653">
            <v>0.25</v>
          </cell>
          <cell r="AJ2653">
            <v>0.25</v>
          </cell>
          <cell r="AK2653">
            <v>0.25</v>
          </cell>
          <cell r="AL2653">
            <v>0.25</v>
          </cell>
          <cell r="AM2653">
            <v>0.25</v>
          </cell>
          <cell r="AN2653">
            <v>0.25</v>
          </cell>
          <cell r="AO2653">
            <v>0.25</v>
          </cell>
          <cell r="AP2653">
            <v>0.25</v>
          </cell>
          <cell r="AQ2653">
            <v>0.25</v>
          </cell>
          <cell r="AR2653">
            <v>0.25</v>
          </cell>
          <cell r="AS2653">
            <v>0.25</v>
          </cell>
          <cell r="AT2653">
            <v>-0.04</v>
          </cell>
          <cell r="AU2653">
            <v>0.87</v>
          </cell>
          <cell r="AV2653">
            <v>20</v>
          </cell>
          <cell r="AZ2653">
            <v>0.25</v>
          </cell>
          <cell r="BA2653">
            <v>0.25</v>
          </cell>
        </row>
        <row r="2654">
          <cell r="A2654" t="str">
            <v>FODERA' INFISSI</v>
          </cell>
          <cell r="B2654" t="str">
            <v>VISITATO DA MP 28/11/2022</v>
          </cell>
          <cell r="D2654" t="str">
            <v>VIA F. DE SANTIS, 35</v>
          </cell>
          <cell r="E2654" t="str">
            <v>91026</v>
          </cell>
          <cell r="F2654" t="str">
            <v>MAZARA DEL VALLO</v>
          </cell>
          <cell r="G2654" t="str">
            <v>TP</v>
          </cell>
          <cell r="H2654" t="str">
            <v>ITALIA</v>
          </cell>
          <cell r="M2654" t="str">
            <v>UFFICIO ACQUISTI</v>
          </cell>
          <cell r="O2654" t="str">
            <v>329 982 1011</v>
          </cell>
          <cell r="P2654" t="str">
            <v>foderainfissi@hotmail.it</v>
          </cell>
          <cell r="R2654" t="str">
            <v>BONIFICO BANCARIO, ALLA DATA DELLA NOSTRA CONFERMA D'ORDINE</v>
          </cell>
          <cell r="X2654">
            <v>0.25</v>
          </cell>
          <cell r="Y2654">
            <v>-0.04</v>
          </cell>
          <cell r="AB2654">
            <v>0.25</v>
          </cell>
          <cell r="AC2654">
            <v>0.25</v>
          </cell>
          <cell r="AD2654">
            <v>0.25</v>
          </cell>
          <cell r="AE2654">
            <v>0.25</v>
          </cell>
          <cell r="AF2654">
            <v>0.25</v>
          </cell>
          <cell r="AG2654">
            <v>0.25</v>
          </cell>
          <cell r="AH2654">
            <v>0.25</v>
          </cell>
          <cell r="AI2654">
            <v>0.25</v>
          </cell>
          <cell r="AJ2654">
            <v>0.25</v>
          </cell>
          <cell r="AK2654">
            <v>0.25</v>
          </cell>
          <cell r="AL2654">
            <v>0.25</v>
          </cell>
          <cell r="AM2654">
            <v>0.25</v>
          </cell>
          <cell r="AN2654">
            <v>0.25</v>
          </cell>
          <cell r="AO2654">
            <v>0.25</v>
          </cell>
          <cell r="AP2654">
            <v>0.25</v>
          </cell>
          <cell r="AQ2654">
            <v>0.25</v>
          </cell>
          <cell r="AR2654">
            <v>0.25</v>
          </cell>
          <cell r="AS2654">
            <v>0.25</v>
          </cell>
          <cell r="AT2654">
            <v>-0.04</v>
          </cell>
          <cell r="AU2654">
            <v>0.87</v>
          </cell>
          <cell r="AV2654">
            <v>20</v>
          </cell>
          <cell r="AZ2654">
            <v>0.25</v>
          </cell>
          <cell r="BA2654">
            <v>0.25</v>
          </cell>
        </row>
        <row r="2655">
          <cell r="A2655" t="str">
            <v>ORIZZONTI DI SPADA GIACOMO</v>
          </cell>
          <cell r="B2655" t="str">
            <v>VISITATO DA MP 28/11/2022 - 15/01/23 PROBLEMI DI SALUTE. ANNULLA TUTTO. NON VUOLE PIU' PROCEDERE</v>
          </cell>
          <cell r="D2655" t="str">
            <v>VIA DEL LEGNO, 86</v>
          </cell>
          <cell r="E2655" t="str">
            <v>91100</v>
          </cell>
          <cell r="F2655" t="str">
            <v>TRAPANI</v>
          </cell>
          <cell r="G2655" t="str">
            <v>TP</v>
          </cell>
          <cell r="H2655" t="str">
            <v>ITALIA</v>
          </cell>
          <cell r="M2655" t="str">
            <v>UFFICIO ACQUISTI</v>
          </cell>
          <cell r="N2655">
            <v>9023565177</v>
          </cell>
          <cell r="O2655" t="str">
            <v>338 4164656</v>
          </cell>
          <cell r="P2655" t="str">
            <v>spada-giacomo@alice.it</v>
          </cell>
          <cell r="R2655" t="str">
            <v>BONIFICO BANCARIO, ALLA DATA DELLA NOSTRA CONFERMA D'ORDINE</v>
          </cell>
          <cell r="X2655">
            <v>0.25</v>
          </cell>
          <cell r="Y2655">
            <v>-0.04</v>
          </cell>
          <cell r="AB2655">
            <v>0.25</v>
          </cell>
          <cell r="AC2655">
            <v>0.25</v>
          </cell>
          <cell r="AD2655">
            <v>0.25</v>
          </cell>
          <cell r="AE2655">
            <v>0.25</v>
          </cell>
          <cell r="AF2655">
            <v>0.25</v>
          </cell>
          <cell r="AG2655">
            <v>0.25</v>
          </cell>
          <cell r="AH2655">
            <v>0.25</v>
          </cell>
          <cell r="AI2655">
            <v>0.25</v>
          </cell>
          <cell r="AJ2655">
            <v>0.25</v>
          </cell>
          <cell r="AK2655">
            <v>0.25</v>
          </cell>
          <cell r="AL2655">
            <v>0.25</v>
          </cell>
          <cell r="AM2655">
            <v>0.25</v>
          </cell>
          <cell r="AN2655">
            <v>0.25</v>
          </cell>
          <cell r="AO2655">
            <v>0.25</v>
          </cell>
          <cell r="AP2655">
            <v>0.25</v>
          </cell>
          <cell r="AQ2655">
            <v>0.25</v>
          </cell>
          <cell r="AR2655">
            <v>0.25</v>
          </cell>
          <cell r="AS2655">
            <v>0.25</v>
          </cell>
          <cell r="AT2655">
            <v>-0.04</v>
          </cell>
          <cell r="AU2655">
            <v>0.87</v>
          </cell>
          <cell r="AV2655">
            <v>20</v>
          </cell>
          <cell r="AZ2655">
            <v>0.25</v>
          </cell>
          <cell r="BA2655">
            <v>0.25</v>
          </cell>
        </row>
        <row r="2656">
          <cell r="A2656" t="str">
            <v>GRATTON SISTEMI SRL</v>
          </cell>
          <cell r="B2656" t="str">
            <v>USA ACQUASTOP AP 29/11/2022 CHIAMATO E PARLATO CON SIG. ERIK. DUCE CHE CON ACQUASTOP HA AVUTO DISPIACERE PERCHE' VANNO DIRETTAMENTE DAL CLIENTE E FANNO PREZZI PIU' BASSI  14/12/22 SONO STRAPRESI CON IL 110. SE AVRANNO BISOGNO CHIAMANO.</v>
          </cell>
          <cell r="D2656" t="str">
            <v>VIA GORIZIA, 23</v>
          </cell>
          <cell r="E2656" t="str">
            <v>33040</v>
          </cell>
          <cell r="F2656" t="str">
            <v>VISCO</v>
          </cell>
          <cell r="G2656" t="str">
            <v>UD</v>
          </cell>
          <cell r="H2656" t="str">
            <v>ITALIA</v>
          </cell>
          <cell r="J2656" t="str">
            <v>01723960306</v>
          </cell>
          <cell r="M2656" t="str">
            <v>UFFICIO ACQUISTI</v>
          </cell>
          <cell r="N2656" t="str">
            <v>0432 997028</v>
          </cell>
          <cell r="P2656" t="str">
            <v>info@grattonsrl.it</v>
          </cell>
          <cell r="R2656" t="str">
            <v>BONIFICO BANCARIO, ALLA DATA DELLA NOSTRA CONFERMA D'ORDINE</v>
          </cell>
          <cell r="X2656">
            <v>0.25</v>
          </cell>
          <cell r="Y2656">
            <v>-0.04</v>
          </cell>
          <cell r="AB2656">
            <v>0.25</v>
          </cell>
          <cell r="AC2656">
            <v>0.25</v>
          </cell>
          <cell r="AD2656">
            <v>0.25</v>
          </cell>
          <cell r="AE2656">
            <v>0.25</v>
          </cell>
          <cell r="AF2656">
            <v>0.25</v>
          </cell>
          <cell r="AG2656">
            <v>0.25</v>
          </cell>
          <cell r="AH2656">
            <v>0.25</v>
          </cell>
          <cell r="AI2656">
            <v>0.25</v>
          </cell>
          <cell r="AJ2656">
            <v>0.25</v>
          </cell>
          <cell r="AK2656">
            <v>0.25</v>
          </cell>
          <cell r="AL2656">
            <v>0.25</v>
          </cell>
          <cell r="AM2656">
            <v>0.25</v>
          </cell>
          <cell r="AN2656">
            <v>0.25</v>
          </cell>
          <cell r="AO2656">
            <v>0.25</v>
          </cell>
          <cell r="AP2656">
            <v>0.25</v>
          </cell>
          <cell r="AQ2656">
            <v>0.25</v>
          </cell>
          <cell r="AR2656">
            <v>0.25</v>
          </cell>
          <cell r="AS2656">
            <v>0.25</v>
          </cell>
          <cell r="AT2656">
            <v>-0.04</v>
          </cell>
          <cell r="AU2656">
            <v>0.87</v>
          </cell>
          <cell r="AV2656">
            <v>20</v>
          </cell>
          <cell r="AZ2656">
            <v>0.25</v>
          </cell>
          <cell r="BA2656">
            <v>0.25</v>
          </cell>
        </row>
        <row r="2657">
          <cell r="A2657" t="str">
            <v>OBRAEZA S.C. OBRAS Y SERVICIOS</v>
          </cell>
          <cell r="B2657" t="str">
            <v xml:space="preserve">RIVENDITORE TRITONE  </v>
          </cell>
          <cell r="D2657" t="str">
            <v>RUA CARTAGENA, N°4, ENTREPLANTA APARTADO CORREOS 16</v>
          </cell>
          <cell r="E2657" t="str">
            <v>36540</v>
          </cell>
          <cell r="F2657" t="str">
            <v>SILLEDA,PONTEVEDRA</v>
          </cell>
          <cell r="H2657" t="str">
            <v>SPAGNA</v>
          </cell>
          <cell r="J2657" t="str">
            <v>ES-J06810790</v>
          </cell>
          <cell r="K2657" t="str">
            <v>XXXXXXX</v>
          </cell>
          <cell r="M2657" t="str">
            <v>UFFICIO ACQUISTI</v>
          </cell>
          <cell r="N2657" t="str">
            <v>+34 604088670</v>
          </cell>
          <cell r="P2657" t="str">
            <v>info@obraeza.com</v>
          </cell>
          <cell r="R2657" t="str">
            <v>TRANSFERENCIA BANCARIA, EN LA FECHA DE NUESTRA CONFIRMACIÓN DE PEDIDO</v>
          </cell>
          <cell r="X2657">
            <v>0</v>
          </cell>
          <cell r="Y2657">
            <v>0</v>
          </cell>
          <cell r="Z2657">
            <v>0</v>
          </cell>
          <cell r="AB2657">
            <v>0</v>
          </cell>
          <cell r="AC2657">
            <v>0</v>
          </cell>
          <cell r="AD2657">
            <v>0</v>
          </cell>
          <cell r="AE2657">
            <v>0</v>
          </cell>
          <cell r="AF2657">
            <v>0</v>
          </cell>
          <cell r="AG2657">
            <v>0</v>
          </cell>
          <cell r="AH2657">
            <v>0</v>
          </cell>
          <cell r="AI2657">
            <v>0</v>
          </cell>
          <cell r="AJ2657">
            <v>0</v>
          </cell>
          <cell r="AK2657">
            <v>0</v>
          </cell>
          <cell r="AL2657">
            <v>0</v>
          </cell>
          <cell r="AM2657">
            <v>0.3</v>
          </cell>
          <cell r="AN2657">
            <v>0</v>
          </cell>
          <cell r="AO2657">
            <v>0.3</v>
          </cell>
          <cell r="AP2657">
            <v>0</v>
          </cell>
          <cell r="AU2657">
            <v>0.87</v>
          </cell>
          <cell r="AV2657">
            <v>20</v>
          </cell>
          <cell r="AZ2657">
            <v>0</v>
          </cell>
          <cell r="BA2657">
            <v>0</v>
          </cell>
        </row>
        <row r="2658">
          <cell r="A2658" t="str">
            <v>KONRAD SCHMIDT TIEFBAU UND UMWELTTECHNIK</v>
          </cell>
          <cell r="D2658" t="str">
            <v>GALGENKÄMPEN 22</v>
          </cell>
          <cell r="E2658" t="str">
            <v xml:space="preserve">32839 </v>
          </cell>
          <cell r="F2658" t="str">
            <v>STEINHEIM</v>
          </cell>
          <cell r="H2658" t="str">
            <v>GERMANIA</v>
          </cell>
          <cell r="J2658" t="str">
            <v>DE296886813</v>
          </cell>
          <cell r="K2658" t="str">
            <v>XXXXXXX</v>
          </cell>
          <cell r="M2658" t="str">
            <v>UFFICIO ACQUISTI</v>
          </cell>
          <cell r="N2658" t="str">
            <v>+49 52333838887</v>
          </cell>
          <cell r="O2658" t="str">
            <v>+49 1632511379</v>
          </cell>
          <cell r="P2658" t="str">
            <v>info@umwelttechnik-steinheim.de</v>
          </cell>
          <cell r="R2658" t="str">
            <v>BANKÜBERWEISUNG, AM DATUM UNSERER AUFTRAGSBESTÄTIGUNG</v>
          </cell>
          <cell r="X2658">
            <v>0</v>
          </cell>
          <cell r="Y2658">
            <v>0</v>
          </cell>
          <cell r="Z2658">
            <v>0</v>
          </cell>
          <cell r="AB2658">
            <v>0</v>
          </cell>
          <cell r="AC2658">
            <v>0</v>
          </cell>
          <cell r="AD2658">
            <v>0</v>
          </cell>
          <cell r="AE2658">
            <v>0</v>
          </cell>
          <cell r="AF2658">
            <v>0</v>
          </cell>
          <cell r="AG2658">
            <v>0</v>
          </cell>
          <cell r="AH2658">
            <v>0</v>
          </cell>
          <cell r="AI2658">
            <v>0</v>
          </cell>
          <cell r="AJ2658">
            <v>0</v>
          </cell>
          <cell r="AK2658">
            <v>0</v>
          </cell>
          <cell r="AL2658">
            <v>0</v>
          </cell>
          <cell r="AM2658">
            <v>0</v>
          </cell>
          <cell r="AN2658">
            <v>0</v>
          </cell>
          <cell r="AO2658">
            <v>0</v>
          </cell>
          <cell r="AP2658">
            <v>0</v>
          </cell>
          <cell r="AU2658">
            <v>0.84</v>
          </cell>
          <cell r="AV2658">
            <v>20</v>
          </cell>
          <cell r="AZ2658">
            <v>0</v>
          </cell>
          <cell r="BA2658">
            <v>0</v>
          </cell>
        </row>
        <row r="2659">
          <cell r="A2659" t="str">
            <v>IMPRESA EDILE BFB</v>
          </cell>
          <cell r="B2659" t="str">
            <v>05/12/22 CONTATTATI DA RIZZOLI. MANDATA MAIL INFO</v>
          </cell>
          <cell r="M2659" t="str">
            <v>UFFICIO ACQUISTI</v>
          </cell>
          <cell r="P2659" t="str">
            <v>info@impresaedilebfb.it</v>
          </cell>
          <cell r="AV2659">
            <v>20</v>
          </cell>
          <cell r="AZ2659">
            <v>0</v>
          </cell>
          <cell r="BA2659">
            <v>0</v>
          </cell>
        </row>
        <row r="2660">
          <cell r="A2660" t="str">
            <v>FRANCO SCALE DI CICETTI FRANCO</v>
          </cell>
          <cell r="B2660" t="str">
            <v>USA ACQUASTOP - VISITATO DA MP 05/12/2022, INTERESSATO A COLLABORARE</v>
          </cell>
          <cell r="D2660" t="str">
            <v>VIA CAPANNA, 109/C</v>
          </cell>
          <cell r="E2660" t="str">
            <v>60019</v>
          </cell>
          <cell r="F2660" t="str">
            <v>SENIGALLIA</v>
          </cell>
          <cell r="G2660" t="str">
            <v>AN</v>
          </cell>
          <cell r="H2660" t="str">
            <v>ITALIA</v>
          </cell>
          <cell r="I2660" t="str">
            <v>CCTFNC56H14I461N</v>
          </cell>
          <cell r="J2660" t="str">
            <v>00657090429</v>
          </cell>
          <cell r="K2660" t="str">
            <v>XL13LG4</v>
          </cell>
          <cell r="M2660" t="str">
            <v>UFFICIO ACQUISTI</v>
          </cell>
          <cell r="N2660" t="str">
            <v> 0717926364</v>
          </cell>
          <cell r="O2660" t="str">
            <v>337 646612</v>
          </cell>
          <cell r="P2660" t="str">
            <v>info@francoscale.it</v>
          </cell>
          <cell r="R2660" t="str">
            <v>BONIFICO BANCARIO, ALLA DATA DELLA NOSTRA CONFERMA D'ORDINE</v>
          </cell>
          <cell r="X2660">
            <v>0.25</v>
          </cell>
          <cell r="Y2660">
            <v>-0.04</v>
          </cell>
          <cell r="AB2660">
            <v>0.25</v>
          </cell>
          <cell r="AC2660">
            <v>0.25</v>
          </cell>
          <cell r="AD2660">
            <v>0.25</v>
          </cell>
          <cell r="AE2660">
            <v>0.25</v>
          </cell>
          <cell r="AF2660">
            <v>0.25</v>
          </cell>
          <cell r="AG2660">
            <v>0.25</v>
          </cell>
          <cell r="AH2660">
            <v>0.25</v>
          </cell>
          <cell r="AI2660">
            <v>0.25</v>
          </cell>
          <cell r="AJ2660">
            <v>0.25</v>
          </cell>
          <cell r="AK2660">
            <v>0.25</v>
          </cell>
          <cell r="AL2660">
            <v>0.25</v>
          </cell>
          <cell r="AM2660">
            <v>0.25</v>
          </cell>
          <cell r="AN2660">
            <v>0.25</v>
          </cell>
          <cell r="AO2660">
            <v>0.25</v>
          </cell>
          <cell r="AP2660">
            <v>0.25</v>
          </cell>
          <cell r="AQ2660">
            <v>0.25</v>
          </cell>
          <cell r="AR2660">
            <v>0.25</v>
          </cell>
          <cell r="AS2660">
            <v>0.25</v>
          </cell>
          <cell r="AT2660">
            <v>-0.04</v>
          </cell>
          <cell r="AU2660">
            <v>0.87</v>
          </cell>
          <cell r="AV2660">
            <v>20</v>
          </cell>
          <cell r="AZ2660">
            <v>0.25</v>
          </cell>
          <cell r="BA2660">
            <v>0.25</v>
          </cell>
        </row>
        <row r="2661">
          <cell r="A2661" t="str">
            <v>ERMETICA DI RAFFAELE GIUSEPPE</v>
          </cell>
          <cell r="D2661" t="str">
            <v>VIA MOLISE, 11AB</v>
          </cell>
          <cell r="E2661" t="str">
            <v>88100</v>
          </cell>
          <cell r="F2661" t="str">
            <v>CATANZARO</v>
          </cell>
          <cell r="G2661" t="str">
            <v>CZ</v>
          </cell>
          <cell r="H2661" t="str">
            <v>ITALIA</v>
          </cell>
          <cell r="I2661" t="str">
            <v>RFFGPP71T09C352S</v>
          </cell>
          <cell r="J2661" t="str">
            <v>02141510798</v>
          </cell>
          <cell r="K2661" t="str">
            <v>KRRH6B9</v>
          </cell>
          <cell r="M2661" t="str">
            <v>UFFICIO ACQUISTI</v>
          </cell>
          <cell r="O2661" t="str">
            <v>335 5220681 SIG. GIUSEPPE</v>
          </cell>
          <cell r="P2661" t="str">
            <v>ermeticaraffaele@alice.it</v>
          </cell>
          <cell r="R2661" t="str">
            <v>BONIFICO BANCARIO, ALLA DATA DELLA NOSTRA CONFERMA D'ORDINE</v>
          </cell>
          <cell r="X2661">
            <v>0.25</v>
          </cell>
          <cell r="Y2661">
            <v>-0.04</v>
          </cell>
          <cell r="AB2661">
            <v>0.25</v>
          </cell>
          <cell r="AC2661">
            <v>0.25</v>
          </cell>
          <cell r="AD2661">
            <v>0.25</v>
          </cell>
          <cell r="AE2661">
            <v>0.25</v>
          </cell>
          <cell r="AF2661">
            <v>0.25</v>
          </cell>
          <cell r="AG2661">
            <v>0.25</v>
          </cell>
          <cell r="AH2661">
            <v>0.25</v>
          </cell>
          <cell r="AI2661">
            <v>0.25</v>
          </cell>
          <cell r="AJ2661">
            <v>0.25</v>
          </cell>
          <cell r="AK2661">
            <v>0.25</v>
          </cell>
          <cell r="AL2661">
            <v>0.25</v>
          </cell>
          <cell r="AM2661">
            <v>0.25</v>
          </cell>
          <cell r="AN2661">
            <v>0.25</v>
          </cell>
          <cell r="AO2661">
            <v>0.25</v>
          </cell>
          <cell r="AP2661">
            <v>0.25</v>
          </cell>
          <cell r="AQ2661">
            <v>0.25</v>
          </cell>
          <cell r="AR2661">
            <v>0.25</v>
          </cell>
          <cell r="AS2661">
            <v>0.25</v>
          </cell>
          <cell r="AT2661">
            <v>-0.04</v>
          </cell>
          <cell r="AU2661">
            <v>0.87</v>
          </cell>
          <cell r="AV2661">
            <v>20</v>
          </cell>
          <cell r="AW2661" t="str">
            <v>PIETRO OLIVADOTI</v>
          </cell>
          <cell r="AX2661">
            <v>0.95</v>
          </cell>
          <cell r="AZ2661">
            <v>0.25</v>
          </cell>
          <cell r="BA2661">
            <v>0.25</v>
          </cell>
        </row>
        <row r="2662">
          <cell r="A2662" t="str">
            <v>OFFICINE VITALE DI VITALE GIANLUCA</v>
          </cell>
          <cell r="D2662" t="str">
            <v>VIALE EMILIA, 67</v>
          </cell>
          <cell r="E2662" t="str">
            <v>88100</v>
          </cell>
          <cell r="F2662" t="str">
            <v>CATANZARO MARINA</v>
          </cell>
          <cell r="G2662" t="str">
            <v>CZ</v>
          </cell>
          <cell r="H2662" t="str">
            <v>ITALIA</v>
          </cell>
          <cell r="I2662" t="str">
            <v>VTLGLC71M08C352P</v>
          </cell>
          <cell r="J2662" t="str">
            <v>03333440794</v>
          </cell>
          <cell r="K2662" t="str">
            <v>5RUO82D</v>
          </cell>
          <cell r="M2662" t="str">
            <v>UFFICIO ACQUISTI</v>
          </cell>
          <cell r="O2662" t="str">
            <v>334 206 6311</v>
          </cell>
          <cell r="P2662" t="str">
            <v>officinevitale@gmail.com</v>
          </cell>
          <cell r="R2662" t="str">
            <v>BONIFICO BANCARIO, ALLA DATA DELLA NOSTRA CONFERMA D'ORDINE</v>
          </cell>
          <cell r="X2662">
            <v>0.25</v>
          </cell>
          <cell r="Y2662">
            <v>-0.04</v>
          </cell>
          <cell r="AB2662">
            <v>0.25</v>
          </cell>
          <cell r="AC2662">
            <v>0.25</v>
          </cell>
          <cell r="AD2662">
            <v>0.25</v>
          </cell>
          <cell r="AE2662">
            <v>0.25</v>
          </cell>
          <cell r="AF2662">
            <v>0.25</v>
          </cell>
          <cell r="AG2662">
            <v>0.25</v>
          </cell>
          <cell r="AH2662">
            <v>0.25</v>
          </cell>
          <cell r="AI2662">
            <v>0.25</v>
          </cell>
          <cell r="AJ2662">
            <v>0.25</v>
          </cell>
          <cell r="AK2662">
            <v>0.25</v>
          </cell>
          <cell r="AL2662">
            <v>0.25</v>
          </cell>
          <cell r="AM2662">
            <v>0.25</v>
          </cell>
          <cell r="AN2662">
            <v>0.25</v>
          </cell>
          <cell r="AO2662">
            <v>0.25</v>
          </cell>
          <cell r="AP2662">
            <v>0.25</v>
          </cell>
          <cell r="AQ2662">
            <v>0.25</v>
          </cell>
          <cell r="AR2662">
            <v>0.25</v>
          </cell>
          <cell r="AS2662">
            <v>0.25</v>
          </cell>
          <cell r="AT2662">
            <v>-0.04</v>
          </cell>
          <cell r="AU2662">
            <v>0.87</v>
          </cell>
          <cell r="AV2662">
            <v>20</v>
          </cell>
          <cell r="AZ2662">
            <v>0.25</v>
          </cell>
          <cell r="BA2662">
            <v>0.25</v>
          </cell>
        </row>
        <row r="2663">
          <cell r="A2663" t="str">
            <v>ALMAR SERRAMENTI</v>
          </cell>
          <cell r="B2663" t="str">
            <v>15/12/2022 SIG. ALESSIO. NON NE VUOLE SAPERE. TRATTANO ACQUASTOP E DICE CHE SONO SIMILI ALLE NOSTRE. CERCATO DI SPIEGARE MIGLIORIE HA TAGLIATO CORTO E DICE CHE NON HA TEMPO E PER LE MODICHE QUANTITA' TRATTATE VUOLE CONTINUARE CON ACQUASTOP</v>
          </cell>
          <cell r="F2663" t="str">
            <v>RIVOLI</v>
          </cell>
          <cell r="G2663" t="str">
            <v>TO</v>
          </cell>
          <cell r="H2663" t="str">
            <v>ITALIA</v>
          </cell>
          <cell r="M2663" t="str">
            <v>UFFICIO ACQUISTI</v>
          </cell>
          <cell r="N2663" t="str">
            <v>011 9589981</v>
          </cell>
          <cell r="P2663" t="str">
            <v>info@almarserramenti.it</v>
          </cell>
          <cell r="R2663" t="str">
            <v>BONIFICO BANCARIO, ALLA DATA DELLA NOSTRA CONFERMA D'ORDINE</v>
          </cell>
          <cell r="X2663">
            <v>0.25</v>
          </cell>
          <cell r="Y2663">
            <v>-0.04</v>
          </cell>
          <cell r="AB2663">
            <v>0.25</v>
          </cell>
          <cell r="AC2663">
            <v>0.25</v>
          </cell>
          <cell r="AD2663">
            <v>0.25</v>
          </cell>
          <cell r="AE2663">
            <v>0.25</v>
          </cell>
          <cell r="AF2663">
            <v>0.25</v>
          </cell>
          <cell r="AG2663">
            <v>0.25</v>
          </cell>
          <cell r="AH2663">
            <v>0.25</v>
          </cell>
          <cell r="AI2663">
            <v>0.25</v>
          </cell>
          <cell r="AJ2663">
            <v>0.25</v>
          </cell>
          <cell r="AK2663">
            <v>0.25</v>
          </cell>
          <cell r="AL2663">
            <v>0.25</v>
          </cell>
          <cell r="AM2663">
            <v>0.25</v>
          </cell>
          <cell r="AN2663">
            <v>0.25</v>
          </cell>
          <cell r="AO2663">
            <v>0.25</v>
          </cell>
          <cell r="AP2663">
            <v>0.25</v>
          </cell>
          <cell r="AQ2663">
            <v>0.25</v>
          </cell>
          <cell r="AR2663">
            <v>0.25</v>
          </cell>
          <cell r="AS2663">
            <v>0.25</v>
          </cell>
          <cell r="AT2663">
            <v>-0.04</v>
          </cell>
          <cell r="AU2663">
            <v>0.87</v>
          </cell>
          <cell r="AV2663">
            <v>20</v>
          </cell>
          <cell r="AZ2663">
            <v>0.25</v>
          </cell>
          <cell r="BA2663">
            <v>0.25</v>
          </cell>
        </row>
        <row r="2664">
          <cell r="A2664" t="str">
            <v>LANA EDILIZIA</v>
          </cell>
          <cell r="B2664" t="str">
            <v>15/12/2022 TRATTANO TRITONE. SIG. LANA - PERSONA MOLTO ACIDA E MALEDUCATA. DICE CHE NON HA AVUTO MODO DI VISIONARE LA MAIL E CHE NON HA TEMPO. CHIAMARE CON NUOVO ANNO</v>
          </cell>
          <cell r="F2664" t="str">
            <v>PIEDIMULERA</v>
          </cell>
          <cell r="G2664" t="str">
            <v>VB</v>
          </cell>
          <cell r="H2664" t="str">
            <v>ITALIA</v>
          </cell>
          <cell r="M2664" t="str">
            <v>UFFICIO ACQUISTI</v>
          </cell>
          <cell r="N2664" t="str">
            <v>0324 83154</v>
          </cell>
          <cell r="P2664" t="str">
            <v>ordini@lanaedilizia.com</v>
          </cell>
          <cell r="R2664" t="str">
            <v>BONIFICO BANCARIO, ALLA DATA DELLA NOSTRA CONFERMA D'ORDINE</v>
          </cell>
          <cell r="X2664">
            <v>0.25</v>
          </cell>
          <cell r="Y2664">
            <v>-0.04</v>
          </cell>
          <cell r="AB2664">
            <v>0.25</v>
          </cell>
          <cell r="AC2664">
            <v>0.25</v>
          </cell>
          <cell r="AD2664">
            <v>0.25</v>
          </cell>
          <cell r="AE2664">
            <v>0.25</v>
          </cell>
          <cell r="AF2664">
            <v>0.25</v>
          </cell>
          <cell r="AG2664">
            <v>0.25</v>
          </cell>
          <cell r="AH2664">
            <v>0.25</v>
          </cell>
          <cell r="AI2664">
            <v>0.25</v>
          </cell>
          <cell r="AJ2664">
            <v>0.25</v>
          </cell>
          <cell r="AK2664">
            <v>0.25</v>
          </cell>
          <cell r="AL2664">
            <v>0.25</v>
          </cell>
          <cell r="AM2664">
            <v>0.25</v>
          </cell>
          <cell r="AN2664">
            <v>0.25</v>
          </cell>
          <cell r="AO2664">
            <v>0.25</v>
          </cell>
          <cell r="AP2664">
            <v>0.25</v>
          </cell>
          <cell r="AQ2664">
            <v>0.25</v>
          </cell>
          <cell r="AR2664">
            <v>0.25</v>
          </cell>
          <cell r="AS2664">
            <v>0.25</v>
          </cell>
          <cell r="AT2664">
            <v>-0.04</v>
          </cell>
          <cell r="AU2664">
            <v>0.87</v>
          </cell>
          <cell r="AV2664">
            <v>20</v>
          </cell>
          <cell r="AZ2664">
            <v>0.25</v>
          </cell>
          <cell r="BA2664">
            <v>0.25</v>
          </cell>
        </row>
        <row r="2665">
          <cell r="A2665" t="str">
            <v>DE BIASI AUTOMATISMI</v>
          </cell>
          <cell r="B2665" t="str">
            <v>14/12/2022 MANDATA MAIL ALL'ATTENZIONE TITOLARE. PARLATO CON IMPIEGATA</v>
          </cell>
          <cell r="F2665" t="str">
            <v>MANTOVANO</v>
          </cell>
          <cell r="G2665" t="str">
            <v>MN</v>
          </cell>
          <cell r="H2665" t="str">
            <v>ITALIA</v>
          </cell>
          <cell r="M2665" t="str">
            <v>UFFICIO ACQUISTI</v>
          </cell>
          <cell r="N2665" t="str">
            <v>0376 390390</v>
          </cell>
          <cell r="P2665" t="str">
            <v>info@debiasiautomatismi.it</v>
          </cell>
          <cell r="R2665" t="str">
            <v>BONIFICO BANCARIO, ALLA DATA DELLA NOSTRA CONFERMA D'ORDINE</v>
          </cell>
          <cell r="X2665">
            <v>0.25</v>
          </cell>
          <cell r="Y2665">
            <v>-0.04</v>
          </cell>
          <cell r="AB2665">
            <v>0.25</v>
          </cell>
          <cell r="AC2665">
            <v>0.25</v>
          </cell>
          <cell r="AD2665">
            <v>0.25</v>
          </cell>
          <cell r="AE2665">
            <v>0.25</v>
          </cell>
          <cell r="AF2665">
            <v>0.25</v>
          </cell>
          <cell r="AG2665">
            <v>0.25</v>
          </cell>
          <cell r="AH2665">
            <v>0.25</v>
          </cell>
          <cell r="AI2665">
            <v>0.25</v>
          </cell>
          <cell r="AJ2665">
            <v>0.25</v>
          </cell>
          <cell r="AK2665">
            <v>0.25</v>
          </cell>
          <cell r="AL2665">
            <v>0.25</v>
          </cell>
          <cell r="AM2665">
            <v>0.25</v>
          </cell>
          <cell r="AN2665">
            <v>0.25</v>
          </cell>
          <cell r="AO2665">
            <v>0.25</v>
          </cell>
          <cell r="AP2665">
            <v>0.25</v>
          </cell>
          <cell r="AQ2665">
            <v>0.25</v>
          </cell>
          <cell r="AR2665">
            <v>0.25</v>
          </cell>
          <cell r="AS2665">
            <v>0.25</v>
          </cell>
          <cell r="AT2665">
            <v>-0.04</v>
          </cell>
          <cell r="AU2665">
            <v>0.87</v>
          </cell>
          <cell r="AV2665">
            <v>20</v>
          </cell>
          <cell r="AZ2665">
            <v>0.25</v>
          </cell>
          <cell r="BA2665">
            <v>0.25</v>
          </cell>
        </row>
        <row r="2666">
          <cell r="A2666" t="str">
            <v>THERMAL INFISSI</v>
          </cell>
          <cell r="B2666" t="str">
            <v>05/12 MANDATA MAIL</v>
          </cell>
          <cell r="H2666" t="str">
            <v>ITALIA</v>
          </cell>
          <cell r="M2666" t="str">
            <v>UFFICIO ACQUISTI</v>
          </cell>
          <cell r="O2666" t="str">
            <v>333 8384198</v>
          </cell>
          <cell r="P2666" t="str">
            <v>loris@thermalinfissi.com</v>
          </cell>
          <cell r="R2666" t="str">
            <v>BONIFICO BANCARIO, ALLA DATA DELLA NOSTRA CONFERMA D'ORDINE</v>
          </cell>
          <cell r="X2666">
            <v>0.25</v>
          </cell>
          <cell r="Y2666">
            <v>-0.04</v>
          </cell>
          <cell r="AB2666">
            <v>0.25</v>
          </cell>
          <cell r="AC2666">
            <v>0.25</v>
          </cell>
          <cell r="AD2666">
            <v>0.25</v>
          </cell>
          <cell r="AE2666">
            <v>0.25</v>
          </cell>
          <cell r="AF2666">
            <v>0.25</v>
          </cell>
          <cell r="AG2666">
            <v>0.25</v>
          </cell>
          <cell r="AH2666">
            <v>0.25</v>
          </cell>
          <cell r="AI2666">
            <v>0.25</v>
          </cell>
          <cell r="AJ2666">
            <v>0.25</v>
          </cell>
          <cell r="AK2666">
            <v>0.25</v>
          </cell>
          <cell r="AL2666">
            <v>0.25</v>
          </cell>
          <cell r="AM2666">
            <v>0.25</v>
          </cell>
          <cell r="AN2666">
            <v>0.25</v>
          </cell>
          <cell r="AO2666">
            <v>0.25</v>
          </cell>
          <cell r="AP2666">
            <v>0.25</v>
          </cell>
          <cell r="AQ2666">
            <v>0.25</v>
          </cell>
          <cell r="AR2666">
            <v>0.25</v>
          </cell>
          <cell r="AS2666">
            <v>0.25</v>
          </cell>
          <cell r="AT2666">
            <v>-0.04</v>
          </cell>
          <cell r="AU2666">
            <v>0.87</v>
          </cell>
          <cell r="AV2666">
            <v>20</v>
          </cell>
          <cell r="AZ2666">
            <v>0.25</v>
          </cell>
          <cell r="BA2666">
            <v>0.25</v>
          </cell>
        </row>
        <row r="2667">
          <cell r="A2667" t="str">
            <v>VISS</v>
          </cell>
          <cell r="B2667" t="str">
            <v>05/12/22 MANDATA MAIL</v>
          </cell>
          <cell r="F2667" t="str">
            <v>PADOVA</v>
          </cell>
          <cell r="G2667" t="str">
            <v>PD</v>
          </cell>
          <cell r="H2667" t="str">
            <v>ITALIA</v>
          </cell>
          <cell r="M2667" t="str">
            <v>UFFICIO ACQUISTI</v>
          </cell>
          <cell r="O2667" t="str">
            <v>349 4988490</v>
          </cell>
          <cell r="P2667" t="str">
            <v>samuela@viss.it</v>
          </cell>
          <cell r="R2667" t="str">
            <v>BONIFICO BANCARIO, ALLA DATA DELLA NOSTRA CONFERMA D'ORDINE</v>
          </cell>
          <cell r="X2667">
            <v>0.25</v>
          </cell>
          <cell r="Y2667">
            <v>-0.04</v>
          </cell>
          <cell r="AB2667">
            <v>0.25</v>
          </cell>
          <cell r="AC2667">
            <v>0.25</v>
          </cell>
          <cell r="AD2667">
            <v>0.25</v>
          </cell>
          <cell r="AE2667">
            <v>0.25</v>
          </cell>
          <cell r="AF2667">
            <v>0.25</v>
          </cell>
          <cell r="AG2667">
            <v>0.25</v>
          </cell>
          <cell r="AH2667">
            <v>0.25</v>
          </cell>
          <cell r="AI2667">
            <v>0.25</v>
          </cell>
          <cell r="AJ2667">
            <v>0.25</v>
          </cell>
          <cell r="AK2667">
            <v>0.25</v>
          </cell>
          <cell r="AL2667">
            <v>0.25</v>
          </cell>
          <cell r="AM2667">
            <v>0.25</v>
          </cell>
          <cell r="AN2667">
            <v>0.25</v>
          </cell>
          <cell r="AO2667">
            <v>0.25</v>
          </cell>
          <cell r="AP2667">
            <v>0.25</v>
          </cell>
          <cell r="AQ2667">
            <v>0.25</v>
          </cell>
          <cell r="AR2667">
            <v>0.25</v>
          </cell>
          <cell r="AS2667">
            <v>0.25</v>
          </cell>
          <cell r="AT2667">
            <v>-0.04</v>
          </cell>
          <cell r="AU2667">
            <v>0.87</v>
          </cell>
          <cell r="AV2667">
            <v>20</v>
          </cell>
          <cell r="AZ2667">
            <v>0.25</v>
          </cell>
          <cell r="BA2667">
            <v>0.25</v>
          </cell>
        </row>
        <row r="2668">
          <cell r="A2668" t="str">
            <v>DSM INFISSI</v>
          </cell>
          <cell r="B2668" t="str">
            <v>DISTRIBUTORE DI TRITONE IN TOSCANA E LIGURIA</v>
          </cell>
          <cell r="D2668" t="str">
            <v>VIA PESCIATINA, 335</v>
          </cell>
          <cell r="E2668" t="str">
            <v>55100</v>
          </cell>
          <cell r="F2668" t="str">
            <v>LUCCA</v>
          </cell>
          <cell r="G2668" t="str">
            <v>LU</v>
          </cell>
          <cell r="H2668" t="str">
            <v>ITALIA</v>
          </cell>
          <cell r="M2668" t="str">
            <v>UFFICIO ACQUISTI</v>
          </cell>
          <cell r="R2668" t="str">
            <v>BONIFICO BANCARIO, ALLA DATA DELLA NOSTRA CONFERMA D'ORDINE</v>
          </cell>
          <cell r="X2668">
            <v>0.25</v>
          </cell>
          <cell r="Y2668">
            <v>-0.04</v>
          </cell>
          <cell r="AB2668">
            <v>0.25</v>
          </cell>
          <cell r="AC2668">
            <v>0.25</v>
          </cell>
          <cell r="AD2668">
            <v>0.25</v>
          </cell>
          <cell r="AE2668">
            <v>0.25</v>
          </cell>
          <cell r="AF2668">
            <v>0.25</v>
          </cell>
          <cell r="AG2668">
            <v>0.25</v>
          </cell>
          <cell r="AH2668">
            <v>0.25</v>
          </cell>
          <cell r="AI2668">
            <v>0.25</v>
          </cell>
          <cell r="AJ2668">
            <v>0.25</v>
          </cell>
          <cell r="AK2668">
            <v>0.25</v>
          </cell>
          <cell r="AL2668">
            <v>0.25</v>
          </cell>
          <cell r="AM2668">
            <v>0.25</v>
          </cell>
          <cell r="AN2668">
            <v>0.25</v>
          </cell>
          <cell r="AO2668">
            <v>0.25</v>
          </cell>
          <cell r="AP2668">
            <v>0.25</v>
          </cell>
          <cell r="AQ2668">
            <v>0.25</v>
          </cell>
          <cell r="AR2668">
            <v>0.25</v>
          </cell>
          <cell r="AS2668">
            <v>0.25</v>
          </cell>
          <cell r="AT2668">
            <v>-0.04</v>
          </cell>
          <cell r="AU2668">
            <v>0.87</v>
          </cell>
          <cell r="AV2668">
            <v>20</v>
          </cell>
          <cell r="AZ2668">
            <v>0.25</v>
          </cell>
          <cell r="BA2668">
            <v>0.25</v>
          </cell>
        </row>
        <row r="2669">
          <cell r="A2669" t="str">
            <v>S.I.A.S. SNC</v>
          </cell>
          <cell r="B2669" t="str">
            <v>16/12 PARLATO CON SIG. SERGIO PRETOLESI. DICE CHE TRATTANO TRITONE E NON VORREBBE CAMBIARE PERCHE' SI TROVA BENE E SONO VELOCI. INVOGLIATO. CHIAMARLO CON IL NUOVO ANNO PER PROPORRE VISITA PRESSO NS AZIENDA</v>
          </cell>
          <cell r="F2669" t="str">
            <v>CERVIA</v>
          </cell>
          <cell r="G2669" t="str">
            <v>RA</v>
          </cell>
          <cell r="H2669" t="str">
            <v>ITALIA</v>
          </cell>
          <cell r="M2669" t="str">
            <v>UFFICIO ACQUISTI</v>
          </cell>
          <cell r="N2669" t="str">
            <v>0544 973794</v>
          </cell>
          <cell r="O2669" t="str">
            <v>338 9468676</v>
          </cell>
          <cell r="P2669" t="str">
            <v>siassnc@msn.com</v>
          </cell>
          <cell r="R2669" t="str">
            <v>BONIFICO BANCARIO, ALLA DATA DELLA NOSTRA CONFERMA D'ORDINE</v>
          </cell>
          <cell r="X2669">
            <v>0.25</v>
          </cell>
          <cell r="Y2669">
            <v>-0.04</v>
          </cell>
          <cell r="AB2669">
            <v>0.25</v>
          </cell>
          <cell r="AC2669">
            <v>0.25</v>
          </cell>
          <cell r="AD2669">
            <v>0.25</v>
          </cell>
          <cell r="AE2669">
            <v>0.25</v>
          </cell>
          <cell r="AF2669">
            <v>0.25</v>
          </cell>
          <cell r="AG2669">
            <v>0.25</v>
          </cell>
          <cell r="AH2669">
            <v>0.25</v>
          </cell>
          <cell r="AI2669">
            <v>0.25</v>
          </cell>
          <cell r="AJ2669">
            <v>0.25</v>
          </cell>
          <cell r="AK2669">
            <v>0.25</v>
          </cell>
          <cell r="AL2669">
            <v>0.25</v>
          </cell>
          <cell r="AM2669">
            <v>0.25</v>
          </cell>
          <cell r="AN2669">
            <v>0.25</v>
          </cell>
          <cell r="AO2669">
            <v>0.25</v>
          </cell>
          <cell r="AP2669">
            <v>0.25</v>
          </cell>
          <cell r="AQ2669">
            <v>0.25</v>
          </cell>
          <cell r="AR2669">
            <v>0.25</v>
          </cell>
          <cell r="AS2669">
            <v>0.25</v>
          </cell>
          <cell r="AT2669">
            <v>-0.04</v>
          </cell>
          <cell r="AU2669">
            <v>0.87</v>
          </cell>
          <cell r="AV2669">
            <v>20</v>
          </cell>
          <cell r="AZ2669">
            <v>0.25</v>
          </cell>
          <cell r="BA2669">
            <v>0.25</v>
          </cell>
        </row>
        <row r="2670">
          <cell r="A2670" t="str">
            <v>LUIGI VISCHI SRL</v>
          </cell>
          <cell r="B2670" t="str">
            <v>20/12 CI HA CONTATTATO LUI. TRATTAVA ACQUASTOP POI PER UN PERIODO NON HA PIU VENDUTO PARATIE. ORA HA RICHIESTE E CERCA UN'AZIENDA CON CUI COLLABORARE. A GENNAIO VIENE A FARCI VISITA</v>
          </cell>
          <cell r="D2670" t="str">
            <v>VIA CAMPEDELLA, 36</v>
          </cell>
          <cell r="E2670" t="str">
            <v>44041</v>
          </cell>
          <cell r="F2670" t="str">
            <v>CENTO</v>
          </cell>
          <cell r="G2670" t="str">
            <v>CP</v>
          </cell>
          <cell r="H2670" t="str">
            <v>ITALIA</v>
          </cell>
          <cell r="M2670" t="str">
            <v>UFFICIO ACQUISTI</v>
          </cell>
          <cell r="O2670" t="str">
            <v>347 5323865</v>
          </cell>
          <cell r="P2670" t="str">
            <v>vischi.luigi1973@gmail.com</v>
          </cell>
          <cell r="R2670" t="str">
            <v>BONIFICO BANCARIO, ALLA DATA DELLA NOSTRA CONFERMA D'ORDINE</v>
          </cell>
          <cell r="X2670">
            <v>0.25</v>
          </cell>
          <cell r="Y2670">
            <v>-0.04</v>
          </cell>
          <cell r="AB2670">
            <v>0.25</v>
          </cell>
          <cell r="AC2670">
            <v>0.25</v>
          </cell>
          <cell r="AD2670">
            <v>0.25</v>
          </cell>
          <cell r="AE2670">
            <v>0.25</v>
          </cell>
          <cell r="AF2670">
            <v>0.25</v>
          </cell>
          <cell r="AG2670">
            <v>0.25</v>
          </cell>
          <cell r="AH2670">
            <v>0.25</v>
          </cell>
          <cell r="AI2670">
            <v>0.25</v>
          </cell>
          <cell r="AJ2670">
            <v>0.25</v>
          </cell>
          <cell r="AK2670">
            <v>0.25</v>
          </cell>
          <cell r="AL2670">
            <v>0.25</v>
          </cell>
          <cell r="AM2670">
            <v>0.25</v>
          </cell>
          <cell r="AN2670">
            <v>0.25</v>
          </cell>
          <cell r="AO2670">
            <v>0.25</v>
          </cell>
          <cell r="AP2670">
            <v>0.25</v>
          </cell>
          <cell r="AQ2670">
            <v>0.25</v>
          </cell>
          <cell r="AR2670">
            <v>0.25</v>
          </cell>
          <cell r="AS2670">
            <v>0.25</v>
          </cell>
          <cell r="AT2670">
            <v>-0.04</v>
          </cell>
          <cell r="AU2670">
            <v>0.87</v>
          </cell>
          <cell r="AV2670">
            <v>20</v>
          </cell>
          <cell r="AZ2670">
            <v>0.25</v>
          </cell>
          <cell r="BA2670">
            <v>0.25</v>
          </cell>
        </row>
        <row r="2671">
          <cell r="A2671" t="str">
            <v>FERRAMENTA EFFEMME SNC</v>
          </cell>
          <cell r="B2671" t="str">
            <v>20/12/2022 PARLATO CON LA TITOLARE. DICE CHE SONO GIA' PIENI DI ORDINI ANCHE PER IL 2023 E CHE PER LE POCHE BARRIERE CHE FA RIMANE CON TRITONE. MARCO DICE CHE BISOGNA ARRIVARE LA MARITO, DI CUI NON SAPPIAMO IL NOME. RICHIAMARE A GENNAIO</v>
          </cell>
          <cell r="D2671" t="str">
            <v>VIA BOLOGNA, 189</v>
          </cell>
          <cell r="E2671" t="str">
            <v>44122</v>
          </cell>
          <cell r="F2671" t="str">
            <v>FERRARA</v>
          </cell>
          <cell r="G2671" t="str">
            <v>FE</v>
          </cell>
          <cell r="H2671" t="str">
            <v>ITALIA</v>
          </cell>
          <cell r="M2671" t="str">
            <v>UFFICIO ACQUISTI</v>
          </cell>
          <cell r="N2671" t="str">
            <v>0532 767969</v>
          </cell>
          <cell r="P2671" t="str">
            <v>effeemmefe@libero.it</v>
          </cell>
          <cell r="R2671" t="str">
            <v>BONIFICO BANCARIO, ALLA DATA DELLA NOSTRA CONFERMA D'ORDINE</v>
          </cell>
          <cell r="X2671">
            <v>0.25</v>
          </cell>
          <cell r="Y2671">
            <v>-0.04</v>
          </cell>
          <cell r="AB2671">
            <v>0.25</v>
          </cell>
          <cell r="AC2671">
            <v>0.25</v>
          </cell>
          <cell r="AD2671">
            <v>0.25</v>
          </cell>
          <cell r="AE2671">
            <v>0.25</v>
          </cell>
          <cell r="AF2671">
            <v>0.25</v>
          </cell>
          <cell r="AG2671">
            <v>0.25</v>
          </cell>
          <cell r="AH2671">
            <v>0.25</v>
          </cell>
          <cell r="AI2671">
            <v>0.25</v>
          </cell>
          <cell r="AJ2671">
            <v>0.25</v>
          </cell>
          <cell r="AK2671">
            <v>0.25</v>
          </cell>
          <cell r="AL2671">
            <v>0.25</v>
          </cell>
          <cell r="AM2671">
            <v>0.25</v>
          </cell>
          <cell r="AN2671">
            <v>0.25</v>
          </cell>
          <cell r="AO2671">
            <v>0.25</v>
          </cell>
          <cell r="AP2671">
            <v>0.25</v>
          </cell>
          <cell r="AQ2671">
            <v>0.25</v>
          </cell>
          <cell r="AR2671">
            <v>0.25</v>
          </cell>
          <cell r="AS2671">
            <v>0.25</v>
          </cell>
          <cell r="AT2671">
            <v>-0.04</v>
          </cell>
          <cell r="AU2671">
            <v>0.87</v>
          </cell>
          <cell r="AV2671">
            <v>20</v>
          </cell>
          <cell r="AZ2671">
            <v>0.25</v>
          </cell>
          <cell r="BA2671">
            <v>0.25</v>
          </cell>
        </row>
        <row r="2672">
          <cell r="A2672" t="str">
            <v>PASSIVE HOUSE</v>
          </cell>
          <cell r="B2672" t="str">
            <v>20/12/2022 HANNO TRATTATO IN PASSATO STOP ALLAGAMENTI MA NON HANNO RICHIESTE. TOLTE DALLA LORO GAMMA PRODOTTI. SI DEDICANO AD ALTRO</v>
          </cell>
          <cell r="F2672" t="str">
            <v>STRADELLA</v>
          </cell>
          <cell r="G2672" t="str">
            <v>PV</v>
          </cell>
          <cell r="H2672" t="str">
            <v>ITALIA</v>
          </cell>
          <cell r="M2672" t="str">
            <v>UFFICIO ACQUISTI</v>
          </cell>
          <cell r="N2672" t="str">
            <v>0385 246018</v>
          </cell>
          <cell r="R2672" t="str">
            <v>BONIFICO BANCARIO, ALLA DATA DELLA NOSTRA CONFERMA D'ORDINE</v>
          </cell>
          <cell r="X2672">
            <v>0.25</v>
          </cell>
          <cell r="Y2672">
            <v>-0.04</v>
          </cell>
          <cell r="AB2672">
            <v>0.25</v>
          </cell>
          <cell r="AC2672">
            <v>0.25</v>
          </cell>
          <cell r="AD2672">
            <v>0.25</v>
          </cell>
          <cell r="AE2672">
            <v>0.25</v>
          </cell>
          <cell r="AF2672">
            <v>0.25</v>
          </cell>
          <cell r="AG2672">
            <v>0.25</v>
          </cell>
          <cell r="AH2672">
            <v>0.25</v>
          </cell>
          <cell r="AI2672">
            <v>0.25</v>
          </cell>
          <cell r="AJ2672">
            <v>0.25</v>
          </cell>
          <cell r="AK2672">
            <v>0.25</v>
          </cell>
          <cell r="AL2672">
            <v>0.25</v>
          </cell>
          <cell r="AM2672">
            <v>0.25</v>
          </cell>
          <cell r="AN2672">
            <v>0.25</v>
          </cell>
          <cell r="AO2672">
            <v>0.25</v>
          </cell>
          <cell r="AP2672">
            <v>0.25</v>
          </cell>
          <cell r="AQ2672">
            <v>0.25</v>
          </cell>
          <cell r="AR2672">
            <v>0.25</v>
          </cell>
          <cell r="AS2672">
            <v>0.25</v>
          </cell>
          <cell r="AT2672">
            <v>-0.04</v>
          </cell>
          <cell r="AU2672">
            <v>0.87</v>
          </cell>
          <cell r="AV2672">
            <v>20</v>
          </cell>
          <cell r="AZ2672">
            <v>0.25</v>
          </cell>
          <cell r="BA2672">
            <v>0.25</v>
          </cell>
        </row>
        <row r="2673">
          <cell r="A2673" t="str">
            <v>MANCINI E MANCINI SRL</v>
          </cell>
          <cell r="B2673" t="str">
            <v>20/12/2022 TRATTANO GIA' ACQUASTOP. NON CONOSCONO IL NOSTRO. MANDATA MAIL - 27/01/23 VISITA MARCO. MANDATE PROPOSTE CAMPIONI</v>
          </cell>
          <cell r="E2673" t="str">
            <v>66020</v>
          </cell>
          <cell r="F2673" t="str">
            <v>SAN GIOVANNI TEATINO</v>
          </cell>
          <cell r="G2673" t="str">
            <v>CH</v>
          </cell>
          <cell r="H2673" t="str">
            <v>ITALIA</v>
          </cell>
          <cell r="M2673" t="str">
            <v>UFFICIO ACQUISTI</v>
          </cell>
          <cell r="N2673" t="str">
            <v>085 4463242</v>
          </cell>
          <cell r="O2673" t="str">
            <v>331 8330610</v>
          </cell>
          <cell r="P2673" t="str">
            <v>ct@manciniemancini.com</v>
          </cell>
          <cell r="R2673" t="str">
            <v>BONIFICO BANCARIO, ALLA DATA DELLA NOSTRA CONFERMA D'ORDINE</v>
          </cell>
          <cell r="X2673">
            <v>0.25</v>
          </cell>
          <cell r="Y2673">
            <v>-0.04</v>
          </cell>
          <cell r="AB2673">
            <v>0.25</v>
          </cell>
          <cell r="AC2673">
            <v>0.25</v>
          </cell>
          <cell r="AD2673">
            <v>0.25</v>
          </cell>
          <cell r="AE2673">
            <v>0.25</v>
          </cell>
          <cell r="AF2673">
            <v>0.25</v>
          </cell>
          <cell r="AG2673">
            <v>0.25</v>
          </cell>
          <cell r="AH2673">
            <v>0.25</v>
          </cell>
          <cell r="AI2673">
            <v>0.25</v>
          </cell>
          <cell r="AJ2673">
            <v>0.25</v>
          </cell>
          <cell r="AK2673">
            <v>0.25</v>
          </cell>
          <cell r="AL2673">
            <v>0.25</v>
          </cell>
          <cell r="AM2673">
            <v>0.25</v>
          </cell>
          <cell r="AN2673">
            <v>0.25</v>
          </cell>
          <cell r="AO2673">
            <v>0.25</v>
          </cell>
          <cell r="AP2673">
            <v>0.25</v>
          </cell>
          <cell r="AQ2673">
            <v>0.25</v>
          </cell>
          <cell r="AR2673">
            <v>0.25</v>
          </cell>
          <cell r="AS2673">
            <v>0.25</v>
          </cell>
          <cell r="AT2673">
            <v>-0.04</v>
          </cell>
          <cell r="AU2673">
            <v>0.87</v>
          </cell>
          <cell r="AV2673">
            <v>20</v>
          </cell>
          <cell r="AZ2673">
            <v>0.25</v>
          </cell>
          <cell r="BA2673">
            <v>0.25</v>
          </cell>
        </row>
        <row r="2674">
          <cell r="A2674" t="str">
            <v>EURO INFISSI</v>
          </cell>
          <cell r="B2674" t="str">
            <v>20/12/2022 DICE CHE SONO MOLTO IMPEGNATI PER CHIUSURA ANNO. MANDATA MAIL</v>
          </cell>
          <cell r="E2674" t="str">
            <v>20090</v>
          </cell>
          <cell r="F2674" t="str">
            <v>CALEPPIO DI SETTALA</v>
          </cell>
          <cell r="G2674" t="str">
            <v>MI</v>
          </cell>
          <cell r="H2674" t="str">
            <v>ITALIA</v>
          </cell>
          <cell r="M2674" t="str">
            <v>UFFICIO ACQUISTI</v>
          </cell>
          <cell r="N2674" t="str">
            <v>0575 720139</v>
          </cell>
          <cell r="P2674" t="str">
            <v>info@euroinfissisrl.it</v>
          </cell>
          <cell r="R2674" t="str">
            <v>BONIFICO BANCARIO, ALLA DATA DELLA NOSTRA CONFERMA D'ORDINE</v>
          </cell>
          <cell r="X2674">
            <v>0.25</v>
          </cell>
          <cell r="Y2674">
            <v>-0.04</v>
          </cell>
          <cell r="AB2674">
            <v>0.25</v>
          </cell>
          <cell r="AC2674">
            <v>0.25</v>
          </cell>
          <cell r="AD2674">
            <v>0.25</v>
          </cell>
          <cell r="AE2674">
            <v>0.25</v>
          </cell>
          <cell r="AF2674">
            <v>0.25</v>
          </cell>
          <cell r="AG2674">
            <v>0.25</v>
          </cell>
          <cell r="AH2674">
            <v>0.25</v>
          </cell>
          <cell r="AI2674">
            <v>0.25</v>
          </cell>
          <cell r="AJ2674">
            <v>0.25</v>
          </cell>
          <cell r="AK2674">
            <v>0.25</v>
          </cell>
          <cell r="AL2674">
            <v>0.25</v>
          </cell>
          <cell r="AM2674">
            <v>0.25</v>
          </cell>
          <cell r="AN2674">
            <v>0.25</v>
          </cell>
          <cell r="AO2674">
            <v>0.25</v>
          </cell>
          <cell r="AP2674">
            <v>0.25</v>
          </cell>
          <cell r="AQ2674">
            <v>0.25</v>
          </cell>
          <cell r="AR2674">
            <v>0.25</v>
          </cell>
          <cell r="AS2674">
            <v>0.25</v>
          </cell>
          <cell r="AT2674">
            <v>-0.04</v>
          </cell>
          <cell r="AU2674">
            <v>0.87</v>
          </cell>
          <cell r="AV2674">
            <v>20</v>
          </cell>
          <cell r="AZ2674">
            <v>0.25</v>
          </cell>
          <cell r="BA2674">
            <v>0.25</v>
          </cell>
        </row>
        <row r="2675">
          <cell r="A2675" t="str">
            <v>FALEGNAMERIA MARINI DI MARINI FAZIO</v>
          </cell>
          <cell r="B2675" t="str">
            <v>20/12/2022 LAVORAVANO CON ACQUASTOP. POI HANNO LASCIATO PERCHE' NON C'ERA IL GIRO GIUSTO.</v>
          </cell>
          <cell r="D2675" t="str">
            <v>VIA DEL PRATO, 25</v>
          </cell>
          <cell r="E2675" t="str">
            <v>50055</v>
          </cell>
          <cell r="F2675" t="str">
            <v>LASTRA A SIGNA</v>
          </cell>
          <cell r="G2675" t="str">
            <v>FI</v>
          </cell>
          <cell r="H2675" t="str">
            <v>ITALIA</v>
          </cell>
          <cell r="M2675" t="str">
            <v>UFFICIO ACQUISTI</v>
          </cell>
          <cell r="N2675" t="str">
            <v>055 8725501</v>
          </cell>
          <cell r="P2675" t="str">
            <v>info@falegnameriamarini.com</v>
          </cell>
          <cell r="R2675" t="str">
            <v>BONIFICO BANCARIO, ALLA DATA DELLA NOSTRA CONFERMA D'ORDINE</v>
          </cell>
          <cell r="X2675">
            <v>0.25</v>
          </cell>
          <cell r="Y2675">
            <v>-0.04</v>
          </cell>
          <cell r="AB2675">
            <v>0.25</v>
          </cell>
          <cell r="AC2675">
            <v>0.25</v>
          </cell>
          <cell r="AD2675">
            <v>0.25</v>
          </cell>
          <cell r="AE2675">
            <v>0.25</v>
          </cell>
          <cell r="AF2675">
            <v>0.25</v>
          </cell>
          <cell r="AG2675">
            <v>0.25</v>
          </cell>
          <cell r="AH2675">
            <v>0.25</v>
          </cell>
          <cell r="AI2675">
            <v>0.25</v>
          </cell>
          <cell r="AJ2675">
            <v>0.25</v>
          </cell>
          <cell r="AK2675">
            <v>0.25</v>
          </cell>
          <cell r="AL2675">
            <v>0.25</v>
          </cell>
          <cell r="AM2675">
            <v>0.25</v>
          </cell>
          <cell r="AN2675">
            <v>0.25</v>
          </cell>
          <cell r="AO2675">
            <v>0.25</v>
          </cell>
          <cell r="AP2675">
            <v>0.25</v>
          </cell>
          <cell r="AQ2675">
            <v>0.25</v>
          </cell>
          <cell r="AR2675">
            <v>0.25</v>
          </cell>
          <cell r="AS2675">
            <v>0.25</v>
          </cell>
          <cell r="AT2675">
            <v>-0.04</v>
          </cell>
          <cell r="AU2675">
            <v>0.87</v>
          </cell>
          <cell r="AV2675">
            <v>20</v>
          </cell>
          <cell r="AZ2675">
            <v>0.25</v>
          </cell>
          <cell r="BA2675">
            <v>0.25</v>
          </cell>
        </row>
        <row r="2676">
          <cell r="A2676" t="str">
            <v>EUROMETAL SERRAMENTI</v>
          </cell>
          <cell r="B2676" t="str">
            <v>20/12/2022 AL MOMENTO COLLABORANO CON ACQUASTOP. MANDATA MAIL AQ SIG. THOMAS 02/02/2023 SI TROVANO BENE CON AS E NON VOGLIONO CAMBIARE</v>
          </cell>
          <cell r="D2676" t="str">
            <v>VIA UDINE, 39/1</v>
          </cell>
          <cell r="F2676" t="str">
            <v>PAGNACCO</v>
          </cell>
          <cell r="G2676" t="str">
            <v>UD</v>
          </cell>
          <cell r="H2676" t="str">
            <v>ITALIA</v>
          </cell>
          <cell r="M2676" t="str">
            <v>UFFICIO ACQUISTI</v>
          </cell>
          <cell r="N2676" t="str">
            <v>0432 660248</v>
          </cell>
          <cell r="P2676" t="str">
            <v>info@eurometalsrl.it</v>
          </cell>
          <cell r="R2676" t="str">
            <v>BONIFICO BANCARIO, ALLA DATA DELLA NOSTRA CONFERMA D'ORDINE</v>
          </cell>
          <cell r="X2676">
            <v>0.25</v>
          </cell>
          <cell r="Y2676">
            <v>-0.04</v>
          </cell>
          <cell r="AB2676">
            <v>0.25</v>
          </cell>
          <cell r="AC2676">
            <v>0.25</v>
          </cell>
          <cell r="AD2676">
            <v>0.25</v>
          </cell>
          <cell r="AE2676">
            <v>0.25</v>
          </cell>
          <cell r="AF2676">
            <v>0.25</v>
          </cell>
          <cell r="AG2676">
            <v>0.25</v>
          </cell>
          <cell r="AH2676">
            <v>0.25</v>
          </cell>
          <cell r="AI2676">
            <v>0.25</v>
          </cell>
          <cell r="AJ2676">
            <v>0.25</v>
          </cell>
          <cell r="AK2676">
            <v>0.25</v>
          </cell>
          <cell r="AL2676">
            <v>0.25</v>
          </cell>
          <cell r="AM2676">
            <v>0.25</v>
          </cell>
          <cell r="AN2676">
            <v>0.25</v>
          </cell>
          <cell r="AO2676">
            <v>0.25</v>
          </cell>
          <cell r="AP2676">
            <v>0.25</v>
          </cell>
          <cell r="AQ2676">
            <v>0.25</v>
          </cell>
          <cell r="AR2676">
            <v>0.25</v>
          </cell>
          <cell r="AS2676">
            <v>0.25</v>
          </cell>
          <cell r="AT2676">
            <v>-0.04</v>
          </cell>
          <cell r="AU2676">
            <v>0.87</v>
          </cell>
          <cell r="AV2676">
            <v>20</v>
          </cell>
          <cell r="AZ2676">
            <v>0.25</v>
          </cell>
          <cell r="BA2676">
            <v>0.25</v>
          </cell>
        </row>
        <row r="2677">
          <cell r="A2677" t="str">
            <v>SER.METAL SNC</v>
          </cell>
          <cell r="B2677" t="str">
            <v>21/12/22 NON MI HANNO FATTA PARLARE. SI RIFORNISCONO DA ACQUASTOP. MANDO MAIL A GENNAIO</v>
          </cell>
          <cell r="H2677" t="str">
            <v>ITALIA</v>
          </cell>
          <cell r="M2677" t="str">
            <v>UFFICIO ACQUISTI</v>
          </cell>
          <cell r="N2677" t="str">
            <v>010 8957782</v>
          </cell>
          <cell r="P2677" t="str">
            <v>info@sermetalgenova.com</v>
          </cell>
          <cell r="R2677" t="str">
            <v>BONIFICO BANCARIO, ALLA DATA DELLA NOSTRA CONFERMA D'ORDINE</v>
          </cell>
          <cell r="X2677">
            <v>0.25</v>
          </cell>
          <cell r="Y2677">
            <v>-0.04</v>
          </cell>
          <cell r="AB2677">
            <v>0.25</v>
          </cell>
          <cell r="AC2677">
            <v>0.25</v>
          </cell>
          <cell r="AD2677">
            <v>0.25</v>
          </cell>
          <cell r="AE2677">
            <v>0.25</v>
          </cell>
          <cell r="AF2677">
            <v>0.25</v>
          </cell>
          <cell r="AG2677">
            <v>0.25</v>
          </cell>
          <cell r="AH2677">
            <v>0.25</v>
          </cell>
          <cell r="AI2677">
            <v>0.25</v>
          </cell>
          <cell r="AJ2677">
            <v>0.25</v>
          </cell>
          <cell r="AK2677">
            <v>0.25</v>
          </cell>
          <cell r="AL2677">
            <v>0.25</v>
          </cell>
          <cell r="AM2677">
            <v>0.25</v>
          </cell>
          <cell r="AN2677">
            <v>0.25</v>
          </cell>
          <cell r="AO2677">
            <v>0.25</v>
          </cell>
          <cell r="AP2677">
            <v>0.25</v>
          </cell>
          <cell r="AQ2677">
            <v>0.25</v>
          </cell>
          <cell r="AR2677">
            <v>0.25</v>
          </cell>
          <cell r="AS2677">
            <v>0.25</v>
          </cell>
          <cell r="AT2677">
            <v>-0.04</v>
          </cell>
          <cell r="AU2677">
            <v>0.87</v>
          </cell>
          <cell r="AV2677">
            <v>20</v>
          </cell>
          <cell r="AZ2677">
            <v>0.25</v>
          </cell>
          <cell r="BA2677">
            <v>0.25</v>
          </cell>
        </row>
        <row r="2678">
          <cell r="A2678" t="str">
            <v>LA BOTTEGA DEGLI STUCCHI</v>
          </cell>
          <cell r="B2678" t="str">
            <v>21/12/22 RIVENDITORE ACQUASTOP. NON AVEVA TEMPO. MANDATO MAIL 07/02/2023 SI TROVANO BENE CON AS E VOGLIONO RIMANERE CON LORO. E' COMUNQUE UN PRODOTTO MARGINALE. POCA RICHIESTA</v>
          </cell>
          <cell r="F2678" t="str">
            <v>GENOVA</v>
          </cell>
          <cell r="G2678" t="str">
            <v>GE</v>
          </cell>
          <cell r="H2678" t="str">
            <v>ITALIA</v>
          </cell>
          <cell r="M2678" t="str">
            <v>UFFICIO ACQUISTI</v>
          </cell>
          <cell r="N2678" t="str">
            <v>010 6465554</v>
          </cell>
          <cell r="O2678" t="str">
            <v>339 6677734</v>
          </cell>
          <cell r="P2678" t="str">
            <v>labottegadeglistucchi@linosa.ge.it</v>
          </cell>
          <cell r="R2678" t="str">
            <v>BONIFICO BANCARIO, ALLA DATA DELLA NOSTRA CONFERMA D'ORDINE</v>
          </cell>
          <cell r="X2678">
            <v>0.25</v>
          </cell>
          <cell r="Y2678">
            <v>-0.04</v>
          </cell>
          <cell r="AB2678">
            <v>0.25</v>
          </cell>
          <cell r="AC2678">
            <v>0.25</v>
          </cell>
          <cell r="AD2678">
            <v>0.25</v>
          </cell>
          <cell r="AE2678">
            <v>0.25</v>
          </cell>
          <cell r="AF2678">
            <v>0.25</v>
          </cell>
          <cell r="AG2678">
            <v>0.25</v>
          </cell>
          <cell r="AH2678">
            <v>0.25</v>
          </cell>
          <cell r="AI2678">
            <v>0.25</v>
          </cell>
          <cell r="AJ2678">
            <v>0.25</v>
          </cell>
          <cell r="AK2678">
            <v>0.25</v>
          </cell>
          <cell r="AL2678">
            <v>0.25</v>
          </cell>
          <cell r="AM2678">
            <v>0.25</v>
          </cell>
          <cell r="AN2678">
            <v>0.25</v>
          </cell>
          <cell r="AO2678">
            <v>0.25</v>
          </cell>
          <cell r="AP2678">
            <v>0.25</v>
          </cell>
          <cell r="AQ2678">
            <v>0.25</v>
          </cell>
          <cell r="AR2678">
            <v>0.25</v>
          </cell>
          <cell r="AS2678">
            <v>0.25</v>
          </cell>
          <cell r="AT2678">
            <v>-0.04</v>
          </cell>
          <cell r="AU2678">
            <v>0.87</v>
          </cell>
          <cell r="AV2678">
            <v>20</v>
          </cell>
          <cell r="AZ2678">
            <v>0.25</v>
          </cell>
          <cell r="BA2678">
            <v>0.25</v>
          </cell>
        </row>
        <row r="2679">
          <cell r="A2679" t="str">
            <v>INFONET SRL</v>
          </cell>
          <cell r="B2679" t="str">
            <v>21/12/22 TRATTANO ACQUASTOP. MANDATA MAIL 02/02/2023 SI FARA' SENTIRE LEI IN CASO NECESSITI DI QUOTAZIONI</v>
          </cell>
          <cell r="D2679" t="str">
            <v>VIA TERRAMASSI, 31</v>
          </cell>
          <cell r="F2679" t="str">
            <v>COLOGNA VENETA</v>
          </cell>
          <cell r="G2679" t="str">
            <v>VR</v>
          </cell>
          <cell r="H2679" t="str">
            <v>ITALIA</v>
          </cell>
          <cell r="M2679" t="str">
            <v>UFFICIO ACQUISTI</v>
          </cell>
          <cell r="N2679" t="str">
            <v>0442 85139</v>
          </cell>
          <cell r="O2679" t="str">
            <v>338 5062569</v>
          </cell>
          <cell r="P2679" t="str">
            <v>infonetportoni@gmail.com</v>
          </cell>
          <cell r="R2679" t="str">
            <v>BONIFICO BANCARIO, ALLA DATA DELLA NOSTRA CONFERMA D'ORDINE</v>
          </cell>
          <cell r="X2679">
            <v>0.25</v>
          </cell>
          <cell r="Y2679">
            <v>-0.04</v>
          </cell>
          <cell r="AB2679">
            <v>0.25</v>
          </cell>
          <cell r="AC2679">
            <v>0.25</v>
          </cell>
          <cell r="AD2679">
            <v>0.25</v>
          </cell>
          <cell r="AE2679">
            <v>0.25</v>
          </cell>
          <cell r="AF2679">
            <v>0.25</v>
          </cell>
          <cell r="AG2679">
            <v>0.25</v>
          </cell>
          <cell r="AH2679">
            <v>0.25</v>
          </cell>
          <cell r="AI2679">
            <v>0.25</v>
          </cell>
          <cell r="AJ2679">
            <v>0.25</v>
          </cell>
          <cell r="AK2679">
            <v>0.25</v>
          </cell>
          <cell r="AL2679">
            <v>0.25</v>
          </cell>
          <cell r="AM2679">
            <v>0.25</v>
          </cell>
          <cell r="AN2679">
            <v>0.25</v>
          </cell>
          <cell r="AO2679">
            <v>0.25</v>
          </cell>
          <cell r="AP2679">
            <v>0.25</v>
          </cell>
          <cell r="AQ2679">
            <v>0.25</v>
          </cell>
          <cell r="AR2679">
            <v>0.25</v>
          </cell>
          <cell r="AS2679">
            <v>0.25</v>
          </cell>
          <cell r="AT2679">
            <v>-0.04</v>
          </cell>
          <cell r="AU2679">
            <v>0.87</v>
          </cell>
          <cell r="AV2679">
            <v>20</v>
          </cell>
          <cell r="AZ2679">
            <v>0.25</v>
          </cell>
          <cell r="BA2679">
            <v>0.25</v>
          </cell>
        </row>
        <row r="2680">
          <cell r="A2680" t="str">
            <v>LEGNAGO FERR</v>
          </cell>
          <cell r="B2680" t="str">
            <v>21/12/22 SONO PRESISSIMI. MANDATA MAIL 02/02/23 NON HANNO RICHIESTE. NON INTERESSATI</v>
          </cell>
          <cell r="D2680" t="str">
            <v>VIA MANTOVA, 17</v>
          </cell>
          <cell r="E2680" t="str">
            <v>37045</v>
          </cell>
          <cell r="F2680" t="str">
            <v>VERONA</v>
          </cell>
          <cell r="G2680" t="str">
            <v>VR</v>
          </cell>
          <cell r="H2680" t="str">
            <v>ITALIA</v>
          </cell>
          <cell r="M2680" t="str">
            <v>UFFICIO ACQUISTI</v>
          </cell>
          <cell r="N2680" t="str">
            <v>0442 600800</v>
          </cell>
          <cell r="P2680" t="str">
            <v>m.beghini@lrgnagoferr.it</v>
          </cell>
          <cell r="R2680" t="str">
            <v>BONIFICO BANCARIO, ALLA DATA DELLA NOSTRA CONFERMA D'ORDINE</v>
          </cell>
          <cell r="X2680">
            <v>0.25</v>
          </cell>
          <cell r="Y2680">
            <v>-0.04</v>
          </cell>
          <cell r="AB2680">
            <v>0.25</v>
          </cell>
          <cell r="AC2680">
            <v>0.25</v>
          </cell>
          <cell r="AD2680">
            <v>0.25</v>
          </cell>
          <cell r="AE2680">
            <v>0.25</v>
          </cell>
          <cell r="AF2680">
            <v>0.25</v>
          </cell>
          <cell r="AG2680">
            <v>0.25</v>
          </cell>
          <cell r="AH2680">
            <v>0.25</v>
          </cell>
          <cell r="AI2680">
            <v>0.25</v>
          </cell>
          <cell r="AJ2680">
            <v>0.25</v>
          </cell>
          <cell r="AK2680">
            <v>0.25</v>
          </cell>
          <cell r="AL2680">
            <v>0.25</v>
          </cell>
          <cell r="AM2680">
            <v>0.25</v>
          </cell>
          <cell r="AN2680">
            <v>0.25</v>
          </cell>
          <cell r="AO2680">
            <v>0.25</v>
          </cell>
          <cell r="AP2680">
            <v>0.25</v>
          </cell>
          <cell r="AQ2680">
            <v>0.25</v>
          </cell>
          <cell r="AR2680">
            <v>0.25</v>
          </cell>
          <cell r="AS2680">
            <v>0.25</v>
          </cell>
          <cell r="AT2680">
            <v>-0.04</v>
          </cell>
          <cell r="AU2680">
            <v>0.87</v>
          </cell>
          <cell r="AV2680">
            <v>20</v>
          </cell>
          <cell r="AZ2680">
            <v>0.25</v>
          </cell>
          <cell r="BA2680">
            <v>0.25</v>
          </cell>
        </row>
        <row r="2681">
          <cell r="A2681" t="str">
            <v>2BL INFISSI</v>
          </cell>
          <cell r="B2681" t="str">
            <v>21/12/22 RIVENDITORI ACQUASTOP. GLI HO PROPOSTO DI PASSARE QUI. DICE CHE A GENNAIO VIENE. 02/02/23 HANNO PRESO NUOVI ACCORDI COMMERCIALI CON AZIENDA CON CUI COLLABORANO</v>
          </cell>
          <cell r="D2681" t="str">
            <v>PIAZZA PREMI NOBEL, 2</v>
          </cell>
          <cell r="E2681" t="str">
            <v>48015</v>
          </cell>
          <cell r="F2681" t="str">
            <v>PINARELLA DI CERVIA</v>
          </cell>
          <cell r="G2681" t="str">
            <v>RA</v>
          </cell>
          <cell r="H2681" t="str">
            <v>ITALIA</v>
          </cell>
          <cell r="M2681" t="str">
            <v>UFFICIO ACQUISTI</v>
          </cell>
          <cell r="N2681" t="str">
            <v>0544 1889409</v>
          </cell>
          <cell r="P2681" t="str">
            <v>info@duebielleinfissi.com</v>
          </cell>
          <cell r="R2681" t="str">
            <v>BONIFICO BANCARIO, ALLA DATA DELLA NOSTRA CONFERMA D'ORDINE</v>
          </cell>
          <cell r="X2681">
            <v>0.25</v>
          </cell>
          <cell r="Y2681">
            <v>-0.04</v>
          </cell>
          <cell r="AB2681">
            <v>0.25</v>
          </cell>
          <cell r="AC2681">
            <v>0.25</v>
          </cell>
          <cell r="AD2681">
            <v>0.25</v>
          </cell>
          <cell r="AE2681">
            <v>0.25</v>
          </cell>
          <cell r="AF2681">
            <v>0.25</v>
          </cell>
          <cell r="AG2681">
            <v>0.25</v>
          </cell>
          <cell r="AH2681">
            <v>0.25</v>
          </cell>
          <cell r="AI2681">
            <v>0.25</v>
          </cell>
          <cell r="AJ2681">
            <v>0.25</v>
          </cell>
          <cell r="AK2681">
            <v>0.25</v>
          </cell>
          <cell r="AL2681">
            <v>0.25</v>
          </cell>
          <cell r="AM2681">
            <v>0.25</v>
          </cell>
          <cell r="AN2681">
            <v>0.25</v>
          </cell>
          <cell r="AO2681">
            <v>0.25</v>
          </cell>
          <cell r="AP2681">
            <v>0.25</v>
          </cell>
          <cell r="AQ2681">
            <v>0.25</v>
          </cell>
          <cell r="AR2681">
            <v>0.25</v>
          </cell>
          <cell r="AS2681">
            <v>0.25</v>
          </cell>
          <cell r="AT2681">
            <v>-0.04</v>
          </cell>
          <cell r="AU2681">
            <v>0.87</v>
          </cell>
          <cell r="AV2681">
            <v>20</v>
          </cell>
          <cell r="AZ2681">
            <v>0.25</v>
          </cell>
          <cell r="BA2681">
            <v>0.25</v>
          </cell>
        </row>
        <row r="2682">
          <cell r="A2682" t="str">
            <v>ARTEM SERRAMENTI &amp; DESIGN</v>
          </cell>
          <cell r="B2682" t="str">
            <v>21/12/22 MANDATA MAIL</v>
          </cell>
          <cell r="D2682" t="str">
            <v>VIA LOCCHI, 2</v>
          </cell>
          <cell r="E2682" t="str">
            <v>37124</v>
          </cell>
          <cell r="F2682" t="str">
            <v>VERONA</v>
          </cell>
          <cell r="G2682" t="str">
            <v>VR</v>
          </cell>
          <cell r="H2682" t="str">
            <v>ITALIA</v>
          </cell>
          <cell r="M2682" t="str">
            <v>UFFICIO ACQUISTI</v>
          </cell>
          <cell r="N2682" t="str">
            <v>045 4936700</v>
          </cell>
          <cell r="P2682" t="str">
            <v>info@artemserramenti.it</v>
          </cell>
          <cell r="R2682" t="str">
            <v>BONIFICO BANCARIO, ALLA DATA DELLA NOSTRA CONFERMA D'ORDINE</v>
          </cell>
          <cell r="X2682">
            <v>0.25</v>
          </cell>
          <cell r="Y2682">
            <v>-0.04</v>
          </cell>
          <cell r="AB2682">
            <v>0.25</v>
          </cell>
          <cell r="AC2682">
            <v>0.25</v>
          </cell>
          <cell r="AD2682">
            <v>0.25</v>
          </cell>
          <cell r="AE2682">
            <v>0.25</v>
          </cell>
          <cell r="AF2682">
            <v>0.25</v>
          </cell>
          <cell r="AG2682">
            <v>0.25</v>
          </cell>
          <cell r="AH2682">
            <v>0.25</v>
          </cell>
          <cell r="AI2682">
            <v>0.25</v>
          </cell>
          <cell r="AJ2682">
            <v>0.25</v>
          </cell>
          <cell r="AK2682">
            <v>0.25</v>
          </cell>
          <cell r="AL2682">
            <v>0.25</v>
          </cell>
          <cell r="AM2682">
            <v>0.25</v>
          </cell>
          <cell r="AN2682">
            <v>0.25</v>
          </cell>
          <cell r="AO2682">
            <v>0.25</v>
          </cell>
          <cell r="AP2682">
            <v>0.25</v>
          </cell>
          <cell r="AQ2682">
            <v>0.25</v>
          </cell>
          <cell r="AR2682">
            <v>0.25</v>
          </cell>
          <cell r="AS2682">
            <v>0.25</v>
          </cell>
          <cell r="AT2682">
            <v>-0.04</v>
          </cell>
          <cell r="AU2682">
            <v>0.87</v>
          </cell>
          <cell r="AV2682">
            <v>20</v>
          </cell>
          <cell r="AZ2682">
            <v>0.25</v>
          </cell>
          <cell r="BA2682">
            <v>0.25</v>
          </cell>
        </row>
        <row r="2683">
          <cell r="A2683" t="str">
            <v>ABITARE EGROUP</v>
          </cell>
          <cell r="B2683" t="str">
            <v>21/12/22 NON HANNO INTERESSE IN QUESTO MOMENTO. MANDATA MAIL</v>
          </cell>
          <cell r="F2683" t="str">
            <v>BUSSOLEGNO</v>
          </cell>
          <cell r="G2683" t="str">
            <v>VR</v>
          </cell>
          <cell r="H2683" t="str">
            <v>ITALIA</v>
          </cell>
          <cell r="M2683" t="str">
            <v>UFFICIO ACQUISTI</v>
          </cell>
          <cell r="N2683" t="str">
            <v>045 4685735</v>
          </cell>
          <cell r="P2683" t="str">
            <v>info@abitare-egroup.com</v>
          </cell>
          <cell r="R2683" t="str">
            <v>BONIFICO BANCARIO, ALLA DATA DELLA NOSTRA CONFERMA D'ORDINE</v>
          </cell>
          <cell r="X2683">
            <v>0.25</v>
          </cell>
          <cell r="Y2683">
            <v>-0.04</v>
          </cell>
          <cell r="AB2683">
            <v>0.25</v>
          </cell>
          <cell r="AC2683">
            <v>0.25</v>
          </cell>
          <cell r="AD2683">
            <v>0.25</v>
          </cell>
          <cell r="AE2683">
            <v>0.25</v>
          </cell>
          <cell r="AF2683">
            <v>0.25</v>
          </cell>
          <cell r="AG2683">
            <v>0.25</v>
          </cell>
          <cell r="AH2683">
            <v>0.25</v>
          </cell>
          <cell r="AI2683">
            <v>0.25</v>
          </cell>
          <cell r="AJ2683">
            <v>0.25</v>
          </cell>
          <cell r="AK2683">
            <v>0.25</v>
          </cell>
          <cell r="AL2683">
            <v>0.25</v>
          </cell>
          <cell r="AM2683">
            <v>0.25</v>
          </cell>
          <cell r="AN2683">
            <v>0.25</v>
          </cell>
          <cell r="AO2683">
            <v>0.25</v>
          </cell>
          <cell r="AP2683">
            <v>0.25</v>
          </cell>
          <cell r="AQ2683">
            <v>0.25</v>
          </cell>
          <cell r="AR2683">
            <v>0.25</v>
          </cell>
          <cell r="AS2683">
            <v>0.25</v>
          </cell>
          <cell r="AT2683">
            <v>-0.04</v>
          </cell>
          <cell r="AU2683">
            <v>0.87</v>
          </cell>
          <cell r="AV2683">
            <v>20</v>
          </cell>
          <cell r="AZ2683">
            <v>0.25</v>
          </cell>
          <cell r="BA2683">
            <v>0.25</v>
          </cell>
        </row>
        <row r="2684">
          <cell r="A2684" t="str">
            <v>D.E.G. ONALI</v>
          </cell>
          <cell r="B2684" t="str">
            <v>21/12/22 PARLATO CON EZIO MA IL REFERENTE PARATIE E' IL FRATELLO LUCA. TRATTANO TRITONE. HANNO PARECCHIE RICHIESTE. 09/02/23 BISOGNA STARGLI DIETRO. SEMBRA INTERESSATO E SA CHE TRITONE NON E' BUONO, ME LO HA CONFERMATO PARLANDOMI DEI GANCETTI POCO FUNZIONALI</v>
          </cell>
          <cell r="F2684" t="str">
            <v>TERRALBA</v>
          </cell>
          <cell r="G2684" t="str">
            <v>OR</v>
          </cell>
          <cell r="H2684" t="str">
            <v>ITALIA</v>
          </cell>
          <cell r="M2684" t="str">
            <v>UFFICIO ACQUISTI</v>
          </cell>
          <cell r="O2684" t="str">
            <v>LUCA 348 3966783 - EZIO 329 6124493</v>
          </cell>
          <cell r="P2684" t="str">
            <v>degonali@deg-onali.com</v>
          </cell>
          <cell r="R2684" t="str">
            <v>BONIFICO BANCARIO, ALLA DATA DELLA NOSTRA CONFERMA D'ORDINE</v>
          </cell>
          <cell r="X2684">
            <v>0.25</v>
          </cell>
          <cell r="Y2684">
            <v>-0.04</v>
          </cell>
          <cell r="AB2684">
            <v>0.25</v>
          </cell>
          <cell r="AC2684">
            <v>0.25</v>
          </cell>
          <cell r="AD2684">
            <v>0.25</v>
          </cell>
          <cell r="AE2684">
            <v>0.25</v>
          </cell>
          <cell r="AF2684">
            <v>0.25</v>
          </cell>
          <cell r="AG2684">
            <v>0.25</v>
          </cell>
          <cell r="AH2684">
            <v>0.25</v>
          </cell>
          <cell r="AI2684">
            <v>0.25</v>
          </cell>
          <cell r="AJ2684">
            <v>0.25</v>
          </cell>
          <cell r="AK2684">
            <v>0.25</v>
          </cell>
          <cell r="AL2684">
            <v>0.25</v>
          </cell>
          <cell r="AM2684">
            <v>0.25</v>
          </cell>
          <cell r="AN2684">
            <v>0.25</v>
          </cell>
          <cell r="AO2684">
            <v>0.25</v>
          </cell>
          <cell r="AP2684">
            <v>0.25</v>
          </cell>
          <cell r="AQ2684">
            <v>0.25</v>
          </cell>
          <cell r="AR2684">
            <v>0.25</v>
          </cell>
          <cell r="AS2684">
            <v>0.25</v>
          </cell>
          <cell r="AT2684">
            <v>-0.04</v>
          </cell>
          <cell r="AU2684">
            <v>0.87</v>
          </cell>
          <cell r="AV2684">
            <v>20</v>
          </cell>
          <cell r="AZ2684">
            <v>0.25</v>
          </cell>
          <cell r="BA2684">
            <v>0.25</v>
          </cell>
        </row>
        <row r="2685">
          <cell r="A2685" t="str">
            <v>CDA AREZZO FERRAMENTA</v>
          </cell>
          <cell r="B2685" t="str">
            <v>21/12/22 TRITONE. MANDATA MAIL</v>
          </cell>
          <cell r="F2685" t="str">
            <v>AREZZO</v>
          </cell>
          <cell r="G2685" t="str">
            <v>AR</v>
          </cell>
          <cell r="H2685" t="str">
            <v>ITALIA</v>
          </cell>
          <cell r="M2685" t="str">
            <v>UFFICIO ACQUISTI</v>
          </cell>
          <cell r="N2685" t="str">
            <v>0575 26744</v>
          </cell>
          <cell r="P2685" t="str">
            <v>info@cdaarezzo.it</v>
          </cell>
          <cell r="R2685" t="str">
            <v>BONIFICO BANCARIO, ALLA DATA DELLA NOSTRA CONFERMA D'ORDINE</v>
          </cell>
          <cell r="X2685">
            <v>0.25</v>
          </cell>
          <cell r="Y2685">
            <v>-0.04</v>
          </cell>
          <cell r="AB2685">
            <v>0.25</v>
          </cell>
          <cell r="AC2685">
            <v>0.25</v>
          </cell>
          <cell r="AD2685">
            <v>0.25</v>
          </cell>
          <cell r="AE2685">
            <v>0.25</v>
          </cell>
          <cell r="AF2685">
            <v>0.25</v>
          </cell>
          <cell r="AG2685">
            <v>0.25</v>
          </cell>
          <cell r="AH2685">
            <v>0.25</v>
          </cell>
          <cell r="AI2685">
            <v>0.25</v>
          </cell>
          <cell r="AJ2685">
            <v>0.25</v>
          </cell>
          <cell r="AK2685">
            <v>0.25</v>
          </cell>
          <cell r="AL2685">
            <v>0.25</v>
          </cell>
          <cell r="AM2685">
            <v>0.25</v>
          </cell>
          <cell r="AN2685">
            <v>0.25</v>
          </cell>
          <cell r="AO2685">
            <v>0.25</v>
          </cell>
          <cell r="AP2685">
            <v>0.25</v>
          </cell>
          <cell r="AQ2685">
            <v>0.25</v>
          </cell>
          <cell r="AR2685">
            <v>0.25</v>
          </cell>
          <cell r="AS2685">
            <v>0.25</v>
          </cell>
          <cell r="AT2685">
            <v>-0.04</v>
          </cell>
          <cell r="AU2685">
            <v>0.87</v>
          </cell>
          <cell r="AV2685">
            <v>20</v>
          </cell>
          <cell r="AZ2685">
            <v>0.25</v>
          </cell>
          <cell r="BA2685">
            <v>0.25</v>
          </cell>
        </row>
        <row r="2686">
          <cell r="A2686" t="str">
            <v>FIMAT</v>
          </cell>
          <cell r="B2686" t="str">
            <v>21/12/22 OBERATI DI LAVORO. TRATTANO TRITONE PERCHE' LORO FORNITORE LE VENDE. CHIAMARE NUOVO ANNO 02/02/23 SEMPRE OBERATI. CHIAMANO LORO IN CASO DI BISOGNO</v>
          </cell>
          <cell r="F2686" t="str">
            <v>CITERNA</v>
          </cell>
          <cell r="G2686" t="str">
            <v>PG</v>
          </cell>
          <cell r="H2686" t="str">
            <v>ITALIA</v>
          </cell>
          <cell r="M2686" t="str">
            <v>UFFICIO ACQUISTI</v>
          </cell>
          <cell r="N2686" t="str">
            <v>075 8593013</v>
          </cell>
          <cell r="P2686" t="str">
            <v>anna@fimat-infissi.it</v>
          </cell>
          <cell r="R2686" t="str">
            <v>BONIFICO BANCARIO, ALLA DATA DELLA NOSTRA CONFERMA D'ORDINE</v>
          </cell>
          <cell r="X2686">
            <v>0.25</v>
          </cell>
          <cell r="Y2686">
            <v>-0.04</v>
          </cell>
          <cell r="AB2686">
            <v>0.25</v>
          </cell>
          <cell r="AC2686">
            <v>0.25</v>
          </cell>
          <cell r="AD2686">
            <v>0.25</v>
          </cell>
          <cell r="AE2686">
            <v>0.25</v>
          </cell>
          <cell r="AF2686">
            <v>0.25</v>
          </cell>
          <cell r="AG2686">
            <v>0.25</v>
          </cell>
          <cell r="AH2686">
            <v>0.25</v>
          </cell>
          <cell r="AI2686">
            <v>0.25</v>
          </cell>
          <cell r="AJ2686">
            <v>0.25</v>
          </cell>
          <cell r="AK2686">
            <v>0.25</v>
          </cell>
          <cell r="AL2686">
            <v>0.25</v>
          </cell>
          <cell r="AM2686">
            <v>0.25</v>
          </cell>
          <cell r="AN2686">
            <v>0.25</v>
          </cell>
          <cell r="AO2686">
            <v>0.25</v>
          </cell>
          <cell r="AP2686">
            <v>0.25</v>
          </cell>
          <cell r="AQ2686">
            <v>0.25</v>
          </cell>
          <cell r="AR2686">
            <v>0.25</v>
          </cell>
          <cell r="AS2686">
            <v>0.25</v>
          </cell>
          <cell r="AT2686">
            <v>-0.04</v>
          </cell>
          <cell r="AU2686">
            <v>0.87</v>
          </cell>
          <cell r="AV2686">
            <v>20</v>
          </cell>
          <cell r="AZ2686">
            <v>0.25</v>
          </cell>
          <cell r="BA2686">
            <v>0.25</v>
          </cell>
        </row>
        <row r="2687">
          <cell r="A2687" t="str">
            <v>SIGILLO SERRAMENTI</v>
          </cell>
          <cell r="B2687" t="str">
            <v>21/12/22 TRATTANO PARATIE. DICONO CHE SONO GIA' A POSTO E NON FANNO PARLARE</v>
          </cell>
          <cell r="F2687" t="str">
            <v>MIRA</v>
          </cell>
          <cell r="G2687" t="str">
            <v>VE</v>
          </cell>
          <cell r="H2687" t="str">
            <v>ITALIA</v>
          </cell>
          <cell r="M2687" t="str">
            <v>UFFICIO ACQUISTI</v>
          </cell>
          <cell r="O2687" t="str">
            <v>347 0784221</v>
          </cell>
          <cell r="P2687" t="str">
            <v>info@sigilloserramenti.it</v>
          </cell>
          <cell r="R2687" t="str">
            <v>BONIFICO BANCARIO, ALLA DATA DELLA NOSTRA CONFERMA D'ORDINE</v>
          </cell>
          <cell r="X2687">
            <v>0.25</v>
          </cell>
          <cell r="Y2687">
            <v>-0.04</v>
          </cell>
          <cell r="AB2687">
            <v>0.25</v>
          </cell>
          <cell r="AC2687">
            <v>0.25</v>
          </cell>
          <cell r="AD2687">
            <v>0.25</v>
          </cell>
          <cell r="AE2687">
            <v>0.25</v>
          </cell>
          <cell r="AF2687">
            <v>0.25</v>
          </cell>
          <cell r="AG2687">
            <v>0.25</v>
          </cell>
          <cell r="AH2687">
            <v>0.25</v>
          </cell>
          <cell r="AI2687">
            <v>0.25</v>
          </cell>
          <cell r="AJ2687">
            <v>0.25</v>
          </cell>
          <cell r="AK2687">
            <v>0.25</v>
          </cell>
          <cell r="AL2687">
            <v>0.25</v>
          </cell>
          <cell r="AM2687">
            <v>0.25</v>
          </cell>
          <cell r="AN2687">
            <v>0.25</v>
          </cell>
          <cell r="AO2687">
            <v>0.25</v>
          </cell>
          <cell r="AP2687">
            <v>0.25</v>
          </cell>
          <cell r="AQ2687">
            <v>0.25</v>
          </cell>
          <cell r="AR2687">
            <v>0.25</v>
          </cell>
          <cell r="AS2687">
            <v>0.25</v>
          </cell>
          <cell r="AT2687">
            <v>-0.04</v>
          </cell>
          <cell r="AU2687">
            <v>0.87</v>
          </cell>
          <cell r="AV2687">
            <v>20</v>
          </cell>
          <cell r="AZ2687">
            <v>0.25</v>
          </cell>
          <cell r="BA2687">
            <v>0.25</v>
          </cell>
        </row>
        <row r="2688">
          <cell r="A2688" t="str">
            <v>GRUPPO STEA</v>
          </cell>
          <cell r="B2688" t="str">
            <v>21/12/22 MANDATA MAIL</v>
          </cell>
          <cell r="F2688" t="str">
            <v>BRENDOLA</v>
          </cell>
          <cell r="G2688" t="str">
            <v>VI</v>
          </cell>
          <cell r="H2688" t="str">
            <v>ITALIA</v>
          </cell>
          <cell r="M2688" t="str">
            <v>UFFICIO ACQUISTI</v>
          </cell>
          <cell r="N2688" t="str">
            <v>0444 914381</v>
          </cell>
          <cell r="P2688" t="str">
            <v>info@gruppostea.it</v>
          </cell>
          <cell r="R2688" t="str">
            <v>BONIFICO BANCARIO, ALLA DATA DELLA NOSTRA CONFERMA D'ORDINE</v>
          </cell>
          <cell r="X2688">
            <v>0.25</v>
          </cell>
          <cell r="Y2688">
            <v>-0.04</v>
          </cell>
          <cell r="AB2688">
            <v>0.25</v>
          </cell>
          <cell r="AC2688">
            <v>0.25</v>
          </cell>
          <cell r="AD2688">
            <v>0.25</v>
          </cell>
          <cell r="AE2688">
            <v>0.25</v>
          </cell>
          <cell r="AF2688">
            <v>0.25</v>
          </cell>
          <cell r="AG2688">
            <v>0.25</v>
          </cell>
          <cell r="AH2688">
            <v>0.25</v>
          </cell>
          <cell r="AI2688">
            <v>0.25</v>
          </cell>
          <cell r="AJ2688">
            <v>0.25</v>
          </cell>
          <cell r="AK2688">
            <v>0.25</v>
          </cell>
          <cell r="AL2688">
            <v>0.25</v>
          </cell>
          <cell r="AM2688">
            <v>0.25</v>
          </cell>
          <cell r="AN2688">
            <v>0.25</v>
          </cell>
          <cell r="AO2688">
            <v>0.25</v>
          </cell>
          <cell r="AP2688">
            <v>0.25</v>
          </cell>
          <cell r="AQ2688">
            <v>0.25</v>
          </cell>
          <cell r="AR2688">
            <v>0.25</v>
          </cell>
          <cell r="AS2688">
            <v>0.25</v>
          </cell>
          <cell r="AT2688">
            <v>-0.04</v>
          </cell>
          <cell r="AU2688">
            <v>0.87</v>
          </cell>
          <cell r="AV2688">
            <v>20</v>
          </cell>
          <cell r="AZ2688">
            <v>0.25</v>
          </cell>
          <cell r="BA2688">
            <v>0.25</v>
          </cell>
        </row>
        <row r="2689">
          <cell r="A2689" t="str">
            <v>PLASTECINCA</v>
          </cell>
          <cell r="B2689" t="str">
            <v>20/12/22 MANDATA MAIL</v>
          </cell>
          <cell r="F2689" t="str">
            <v>GRONTARDO</v>
          </cell>
          <cell r="G2689" t="str">
            <v>CR</v>
          </cell>
          <cell r="H2689" t="str">
            <v>ITALIA</v>
          </cell>
          <cell r="M2689" t="str">
            <v>UFFICIO ACQUISTI</v>
          </cell>
          <cell r="N2689" t="str">
            <v>0372 89891</v>
          </cell>
          <cell r="P2689" t="str">
            <v>plastecnica1@virgilio.it</v>
          </cell>
          <cell r="R2689" t="str">
            <v>BONIFICO BANCARIO, ALLA DATA DELLA NOSTRA CONFERMA D'ORDINE</v>
          </cell>
          <cell r="X2689">
            <v>0.25</v>
          </cell>
          <cell r="Y2689">
            <v>-0.04</v>
          </cell>
          <cell r="AB2689">
            <v>0.25</v>
          </cell>
          <cell r="AC2689">
            <v>0.25</v>
          </cell>
          <cell r="AD2689">
            <v>0.25</v>
          </cell>
          <cell r="AE2689">
            <v>0.25</v>
          </cell>
          <cell r="AF2689">
            <v>0.25</v>
          </cell>
          <cell r="AG2689">
            <v>0.25</v>
          </cell>
          <cell r="AH2689">
            <v>0.25</v>
          </cell>
          <cell r="AI2689">
            <v>0.25</v>
          </cell>
          <cell r="AJ2689">
            <v>0.25</v>
          </cell>
          <cell r="AK2689">
            <v>0.25</v>
          </cell>
          <cell r="AL2689">
            <v>0.25</v>
          </cell>
          <cell r="AM2689">
            <v>0.25</v>
          </cell>
          <cell r="AN2689">
            <v>0.25</v>
          </cell>
          <cell r="AO2689">
            <v>0.25</v>
          </cell>
          <cell r="AP2689">
            <v>0.25</v>
          </cell>
          <cell r="AQ2689">
            <v>0.25</v>
          </cell>
          <cell r="AR2689">
            <v>0.25</v>
          </cell>
          <cell r="AS2689">
            <v>0.25</v>
          </cell>
          <cell r="AT2689">
            <v>-0.04</v>
          </cell>
          <cell r="AU2689">
            <v>0.87</v>
          </cell>
          <cell r="AV2689">
            <v>20</v>
          </cell>
          <cell r="AZ2689">
            <v>0.25</v>
          </cell>
          <cell r="BA2689">
            <v>0.25</v>
          </cell>
        </row>
        <row r="2690">
          <cell r="A2690" t="str">
            <v>DOC SERVICE</v>
          </cell>
          <cell r="B2690" t="str">
            <v>20/12/22 MANDATA MAIL</v>
          </cell>
          <cell r="F2690" t="str">
            <v>CINISELLO BALSAMO</v>
          </cell>
          <cell r="G2690" t="str">
            <v>MI</v>
          </cell>
          <cell r="H2690" t="str">
            <v>ITALIA</v>
          </cell>
          <cell r="M2690" t="str">
            <v>UFFICIO ACQUISTI</v>
          </cell>
          <cell r="P2690" t="str">
            <v>info@docsicurezza.it</v>
          </cell>
          <cell r="R2690" t="str">
            <v>BONIFICO BANCARIO, ALLA DATA DELLA NOSTRA CONFERMA D'ORDINE</v>
          </cell>
          <cell r="X2690">
            <v>0.25</v>
          </cell>
          <cell r="Y2690">
            <v>-0.04</v>
          </cell>
          <cell r="AB2690">
            <v>0.25</v>
          </cell>
          <cell r="AC2690">
            <v>0.25</v>
          </cell>
          <cell r="AD2690">
            <v>0.25</v>
          </cell>
          <cell r="AE2690">
            <v>0.25</v>
          </cell>
          <cell r="AF2690">
            <v>0.25</v>
          </cell>
          <cell r="AG2690">
            <v>0.25</v>
          </cell>
          <cell r="AH2690">
            <v>0.25</v>
          </cell>
          <cell r="AI2690">
            <v>0.25</v>
          </cell>
          <cell r="AJ2690">
            <v>0.25</v>
          </cell>
          <cell r="AK2690">
            <v>0.25</v>
          </cell>
          <cell r="AL2690">
            <v>0.25</v>
          </cell>
          <cell r="AM2690">
            <v>0.25</v>
          </cell>
          <cell r="AN2690">
            <v>0.25</v>
          </cell>
          <cell r="AO2690">
            <v>0.25</v>
          </cell>
          <cell r="AP2690">
            <v>0.25</v>
          </cell>
          <cell r="AQ2690">
            <v>0.25</v>
          </cell>
          <cell r="AR2690">
            <v>0.25</v>
          </cell>
          <cell r="AS2690">
            <v>0.25</v>
          </cell>
          <cell r="AT2690">
            <v>-0.04</v>
          </cell>
          <cell r="AU2690">
            <v>0.87</v>
          </cell>
          <cell r="AV2690">
            <v>20</v>
          </cell>
          <cell r="AZ2690">
            <v>0.25</v>
          </cell>
          <cell r="BA2690">
            <v>0.25</v>
          </cell>
        </row>
        <row r="2691">
          <cell r="A2691" t="str">
            <v>FERRAMENTA GIUSTI</v>
          </cell>
          <cell r="B2691" t="str">
            <v>20/12/22 VENDONO TRITONE SUL WEB. MANDATA MAIL 07/02/2023 SPIEGATE DIFFERENZE. CI TENGONO IN CONSIDERAZIONE</v>
          </cell>
          <cell r="F2691" t="str">
            <v>LEGNAGO</v>
          </cell>
          <cell r="G2691" t="str">
            <v>VR</v>
          </cell>
          <cell r="H2691" t="str">
            <v>ITALIA</v>
          </cell>
          <cell r="M2691" t="str">
            <v>UFFICIO ACQUISTI</v>
          </cell>
          <cell r="N2691" t="str">
            <v>0442 20695</v>
          </cell>
          <cell r="P2691" t="str">
            <v>vendite@ferramentagiusti.com</v>
          </cell>
          <cell r="R2691" t="str">
            <v>BONIFICO BANCARIO, ALLA DATA DELLA NOSTRA CONFERMA D'ORDINE</v>
          </cell>
          <cell r="X2691">
            <v>0.25</v>
          </cell>
          <cell r="Y2691">
            <v>-0.04</v>
          </cell>
          <cell r="AB2691">
            <v>0.25</v>
          </cell>
          <cell r="AC2691">
            <v>0.25</v>
          </cell>
          <cell r="AD2691">
            <v>0.25</v>
          </cell>
          <cell r="AE2691">
            <v>0.25</v>
          </cell>
          <cell r="AF2691">
            <v>0.25</v>
          </cell>
          <cell r="AG2691">
            <v>0.25</v>
          </cell>
          <cell r="AH2691">
            <v>0.25</v>
          </cell>
          <cell r="AI2691">
            <v>0.25</v>
          </cell>
          <cell r="AJ2691">
            <v>0.25</v>
          </cell>
          <cell r="AK2691">
            <v>0.25</v>
          </cell>
          <cell r="AL2691">
            <v>0.25</v>
          </cell>
          <cell r="AM2691">
            <v>0.25</v>
          </cell>
          <cell r="AN2691">
            <v>0.25</v>
          </cell>
          <cell r="AO2691">
            <v>0.25</v>
          </cell>
          <cell r="AP2691">
            <v>0.25</v>
          </cell>
          <cell r="AQ2691">
            <v>0.25</v>
          </cell>
          <cell r="AR2691">
            <v>0.25</v>
          </cell>
          <cell r="AS2691">
            <v>0.25</v>
          </cell>
          <cell r="AT2691">
            <v>-0.04</v>
          </cell>
          <cell r="AU2691">
            <v>0.87</v>
          </cell>
          <cell r="AV2691">
            <v>20</v>
          </cell>
          <cell r="AZ2691">
            <v>0.25</v>
          </cell>
          <cell r="BA2691">
            <v>0.25</v>
          </cell>
        </row>
        <row r="2692">
          <cell r="A2692" t="str">
            <v>MARCO FIORETTI</v>
          </cell>
          <cell r="B2692" t="str">
            <v>20/12/22 TRATTANO ACQUASTOP. MANDATA MAIL</v>
          </cell>
          <cell r="F2692" t="str">
            <v>CERNUSCO SUL NAVIGLIO</v>
          </cell>
          <cell r="G2692" t="str">
            <v>MI</v>
          </cell>
          <cell r="H2692" t="str">
            <v>ITALIA</v>
          </cell>
          <cell r="M2692" t="str">
            <v>UFFICIO ACQUISTI</v>
          </cell>
          <cell r="N2692" t="str">
            <v>02 92104794</v>
          </cell>
          <cell r="P2692" t="str">
            <v>marco.fioretti@marcofioretti.it</v>
          </cell>
          <cell r="R2692" t="str">
            <v>BONIFICO BANCARIO, ALLA DATA DELLA NOSTRA CONFERMA D'ORDINE</v>
          </cell>
          <cell r="X2692">
            <v>0.25</v>
          </cell>
          <cell r="Y2692">
            <v>-0.04</v>
          </cell>
          <cell r="AB2692">
            <v>0.25</v>
          </cell>
          <cell r="AC2692">
            <v>0.25</v>
          </cell>
          <cell r="AD2692">
            <v>0.25</v>
          </cell>
          <cell r="AE2692">
            <v>0.25</v>
          </cell>
          <cell r="AF2692">
            <v>0.25</v>
          </cell>
          <cell r="AG2692">
            <v>0.25</v>
          </cell>
          <cell r="AH2692">
            <v>0.25</v>
          </cell>
          <cell r="AI2692">
            <v>0.25</v>
          </cell>
          <cell r="AJ2692">
            <v>0.25</v>
          </cell>
          <cell r="AK2692">
            <v>0.25</v>
          </cell>
          <cell r="AL2692">
            <v>0.25</v>
          </cell>
          <cell r="AM2692">
            <v>0.25</v>
          </cell>
          <cell r="AN2692">
            <v>0.25</v>
          </cell>
          <cell r="AO2692">
            <v>0.25</v>
          </cell>
          <cell r="AP2692">
            <v>0.25</v>
          </cell>
          <cell r="AQ2692">
            <v>0.25</v>
          </cell>
          <cell r="AR2692">
            <v>0.25</v>
          </cell>
          <cell r="AS2692">
            <v>0.25</v>
          </cell>
          <cell r="AT2692">
            <v>-0.04</v>
          </cell>
          <cell r="AU2692">
            <v>0.87</v>
          </cell>
          <cell r="AV2692">
            <v>20</v>
          </cell>
          <cell r="AZ2692">
            <v>0.25</v>
          </cell>
          <cell r="BA2692">
            <v>0.25</v>
          </cell>
        </row>
        <row r="2693">
          <cell r="A2693" t="str">
            <v>CLAST</v>
          </cell>
          <cell r="B2693" t="str">
            <v>20/12/22 TRATTANO ACQUASTOP. MANDATA MAIL. QUANDO RICHIAMO CHIEDERE DEL SIG. OGLIARI, TITOLARE</v>
          </cell>
          <cell r="F2693" t="str">
            <v>TRESCORE CREMASCO</v>
          </cell>
          <cell r="G2693" t="str">
            <v>CR</v>
          </cell>
          <cell r="H2693" t="str">
            <v>ITALIA</v>
          </cell>
          <cell r="M2693" t="str">
            <v>UFFICIO ACQUISTI</v>
          </cell>
          <cell r="O2693" t="str">
            <v>335 7833448</v>
          </cell>
          <cell r="P2693" t="str">
            <v>info@clastsrl.com</v>
          </cell>
          <cell r="R2693" t="str">
            <v>BONIFICO BANCARIO, ALLA DATA DELLA NOSTRA CONFERMA D'ORDINE</v>
          </cell>
          <cell r="X2693">
            <v>0.25</v>
          </cell>
          <cell r="Y2693">
            <v>-0.04</v>
          </cell>
          <cell r="AB2693">
            <v>0.25</v>
          </cell>
          <cell r="AC2693">
            <v>0.25</v>
          </cell>
          <cell r="AD2693">
            <v>0.25</v>
          </cell>
          <cell r="AE2693">
            <v>0.25</v>
          </cell>
          <cell r="AF2693">
            <v>0.25</v>
          </cell>
          <cell r="AG2693">
            <v>0.25</v>
          </cell>
          <cell r="AH2693">
            <v>0.25</v>
          </cell>
          <cell r="AI2693">
            <v>0.25</v>
          </cell>
          <cell r="AJ2693">
            <v>0.25</v>
          </cell>
          <cell r="AK2693">
            <v>0.25</v>
          </cell>
          <cell r="AL2693">
            <v>0.25</v>
          </cell>
          <cell r="AM2693">
            <v>0.25</v>
          </cell>
          <cell r="AN2693">
            <v>0.25</v>
          </cell>
          <cell r="AO2693">
            <v>0.25</v>
          </cell>
          <cell r="AP2693">
            <v>0.25</v>
          </cell>
          <cell r="AQ2693">
            <v>0.25</v>
          </cell>
          <cell r="AR2693">
            <v>0.25</v>
          </cell>
          <cell r="AS2693">
            <v>0.25</v>
          </cell>
          <cell r="AT2693">
            <v>-0.04</v>
          </cell>
          <cell r="AU2693">
            <v>0.87</v>
          </cell>
          <cell r="AV2693">
            <v>20</v>
          </cell>
          <cell r="AZ2693">
            <v>0.25</v>
          </cell>
          <cell r="BA2693">
            <v>0.25</v>
          </cell>
        </row>
        <row r="2694">
          <cell r="A2694" t="str">
            <v>FERRAMENTA VENETA</v>
          </cell>
          <cell r="B2694" t="str">
            <v>22/12/22 TRATTANO TRITONE E NON VOGLO CAMBIARE. A PARLATO DI QUALCHE VINCOLO CON FORNITORI. DICE CHE CI CONOSCE, CHE HA NOSTRO RIFERIMENTO E GLI PIACCIONO I NOSTRI PRODOTTI MA VUOLE RIMANERE CON TRITONE</v>
          </cell>
          <cell r="D2694" t="str">
            <v>VIA MONTE AMIATA, 1</v>
          </cell>
          <cell r="E2694" t="str">
            <v>37057</v>
          </cell>
          <cell r="F2694" t="str">
            <v>S. GIOVANNI LUPATOTO</v>
          </cell>
          <cell r="G2694" t="str">
            <v>VR</v>
          </cell>
          <cell r="H2694" t="str">
            <v>ITALIA</v>
          </cell>
          <cell r="M2694" t="str">
            <v>UFFICIO ACQUISTI</v>
          </cell>
          <cell r="N2694" t="str">
            <v>045 8266555</v>
          </cell>
          <cell r="P2694" t="str">
            <v>alessio.martinelli@serramentaveneta.it</v>
          </cell>
          <cell r="R2694" t="str">
            <v>BONIFICO BANCARIO, ALLA DATA DELLA NOSTRA CONFERMA D'ORDINE</v>
          </cell>
          <cell r="X2694">
            <v>0.25</v>
          </cell>
          <cell r="Y2694">
            <v>-0.04</v>
          </cell>
          <cell r="AB2694">
            <v>0.25</v>
          </cell>
          <cell r="AC2694">
            <v>0.25</v>
          </cell>
          <cell r="AD2694">
            <v>0.25</v>
          </cell>
          <cell r="AE2694">
            <v>0.25</v>
          </cell>
          <cell r="AF2694">
            <v>0.25</v>
          </cell>
          <cell r="AG2694">
            <v>0.25</v>
          </cell>
          <cell r="AH2694">
            <v>0.25</v>
          </cell>
          <cell r="AI2694">
            <v>0.25</v>
          </cell>
          <cell r="AJ2694">
            <v>0.25</v>
          </cell>
          <cell r="AK2694">
            <v>0.25</v>
          </cell>
          <cell r="AL2694">
            <v>0.25</v>
          </cell>
          <cell r="AM2694">
            <v>0.25</v>
          </cell>
          <cell r="AN2694">
            <v>0.25</v>
          </cell>
          <cell r="AO2694">
            <v>0.25</v>
          </cell>
          <cell r="AP2694">
            <v>0.25</v>
          </cell>
          <cell r="AQ2694">
            <v>0.25</v>
          </cell>
          <cell r="AR2694">
            <v>0.25</v>
          </cell>
          <cell r="AS2694">
            <v>0.25</v>
          </cell>
          <cell r="AT2694">
            <v>-0.04</v>
          </cell>
          <cell r="AU2694">
            <v>0.87</v>
          </cell>
          <cell r="AV2694">
            <v>20</v>
          </cell>
          <cell r="AZ2694">
            <v>0.25</v>
          </cell>
          <cell r="BA2694">
            <v>0.25</v>
          </cell>
        </row>
        <row r="2695">
          <cell r="A2695" t="str">
            <v>SANDRI &amp; SANDRI</v>
          </cell>
          <cell r="B2695" t="str">
            <v>22/12/22 SEMBRA INTERESSATO. MANDATA MAIL</v>
          </cell>
          <cell r="F2695" t="str">
            <v>CALDOGNO</v>
          </cell>
          <cell r="G2695" t="str">
            <v>VI</v>
          </cell>
          <cell r="H2695" t="str">
            <v>ITALIA</v>
          </cell>
          <cell r="M2695" t="str">
            <v>UFFICIO ACQUISTI</v>
          </cell>
          <cell r="N2695" t="str">
            <v>0444 585095</v>
          </cell>
          <cell r="P2695" t="str">
            <v>sandriferrgarden@gmail.com</v>
          </cell>
          <cell r="R2695" t="str">
            <v>BONIFICO BANCARIO, ALLA DATA DELLA NOSTRA CONFERMA D'ORDINE</v>
          </cell>
          <cell r="X2695">
            <v>0.25</v>
          </cell>
          <cell r="Y2695">
            <v>-0.04</v>
          </cell>
          <cell r="AB2695">
            <v>0.25</v>
          </cell>
          <cell r="AC2695">
            <v>0.25</v>
          </cell>
          <cell r="AD2695">
            <v>0.25</v>
          </cell>
          <cell r="AE2695">
            <v>0.25</v>
          </cell>
          <cell r="AF2695">
            <v>0.25</v>
          </cell>
          <cell r="AG2695">
            <v>0.25</v>
          </cell>
          <cell r="AH2695">
            <v>0.25</v>
          </cell>
          <cell r="AI2695">
            <v>0.25</v>
          </cell>
          <cell r="AJ2695">
            <v>0.25</v>
          </cell>
          <cell r="AK2695">
            <v>0.25</v>
          </cell>
          <cell r="AL2695">
            <v>0.25</v>
          </cell>
          <cell r="AM2695">
            <v>0.25</v>
          </cell>
          <cell r="AN2695">
            <v>0.25</v>
          </cell>
          <cell r="AO2695">
            <v>0.25</v>
          </cell>
          <cell r="AP2695">
            <v>0.25</v>
          </cell>
          <cell r="AQ2695">
            <v>0.25</v>
          </cell>
          <cell r="AR2695">
            <v>0.25</v>
          </cell>
          <cell r="AS2695">
            <v>0.25</v>
          </cell>
          <cell r="AT2695">
            <v>-0.04</v>
          </cell>
          <cell r="AU2695">
            <v>0.87</v>
          </cell>
          <cell r="AV2695">
            <v>20</v>
          </cell>
          <cell r="AZ2695">
            <v>0.25</v>
          </cell>
          <cell r="BA2695">
            <v>0.25</v>
          </cell>
        </row>
        <row r="2696">
          <cell r="A2696" t="str">
            <v>BETA AUTOMATION 2.0 SRL</v>
          </cell>
          <cell r="B2696" t="str">
            <v>22/12/22 DICE CHE GLI ABBIAMO SEMPRE PROPOSTO APPUNTAMENTI NELLO STESSO GIORNO DELLA POTENZIALE VISITA E LA COSA NON E' STATA GRADITA. AGGIUNGE ANCHE CHE HA SAPUTO CHE ABBIAMO ALTRI RIVENDITORI A SENIGALLIA QUINDI NON SE NE FA NULLA</v>
          </cell>
          <cell r="F2696" t="str">
            <v>FANO</v>
          </cell>
          <cell r="G2696" t="str">
            <v>PU</v>
          </cell>
          <cell r="H2696" t="str">
            <v>ITALIA</v>
          </cell>
          <cell r="M2696" t="str">
            <v>UFFICIO ACQUISTI</v>
          </cell>
          <cell r="N2696" t="str">
            <v>0721 854565</v>
          </cell>
          <cell r="P2696" t="str">
            <v>amministrazione@betautomation.it</v>
          </cell>
          <cell r="R2696" t="str">
            <v>BONIFICO BANCARIO, ALLA DATA DELLA NOSTRA CONFERMA D'ORDINE</v>
          </cell>
          <cell r="X2696">
            <v>0.25</v>
          </cell>
          <cell r="Y2696">
            <v>-0.04</v>
          </cell>
          <cell r="AB2696">
            <v>0.25</v>
          </cell>
          <cell r="AC2696">
            <v>0.25</v>
          </cell>
          <cell r="AD2696">
            <v>0.25</v>
          </cell>
          <cell r="AE2696">
            <v>0.25</v>
          </cell>
          <cell r="AF2696">
            <v>0.25</v>
          </cell>
          <cell r="AG2696">
            <v>0.25</v>
          </cell>
          <cell r="AH2696">
            <v>0.25</v>
          </cell>
          <cell r="AI2696">
            <v>0.25</v>
          </cell>
          <cell r="AJ2696">
            <v>0.25</v>
          </cell>
          <cell r="AK2696">
            <v>0.25</v>
          </cell>
          <cell r="AL2696">
            <v>0.25</v>
          </cell>
          <cell r="AM2696">
            <v>0.25</v>
          </cell>
          <cell r="AN2696">
            <v>0.25</v>
          </cell>
          <cell r="AO2696">
            <v>0.25</v>
          </cell>
          <cell r="AP2696">
            <v>0.25</v>
          </cell>
          <cell r="AQ2696">
            <v>0.25</v>
          </cell>
          <cell r="AR2696">
            <v>0.25</v>
          </cell>
          <cell r="AS2696">
            <v>0.25</v>
          </cell>
          <cell r="AT2696">
            <v>-0.04</v>
          </cell>
          <cell r="AU2696">
            <v>0.87</v>
          </cell>
          <cell r="AV2696">
            <v>20</v>
          </cell>
          <cell r="AZ2696">
            <v>0.25</v>
          </cell>
          <cell r="BA2696">
            <v>0.25</v>
          </cell>
        </row>
        <row r="2697">
          <cell r="A2697" t="str">
            <v>CALESTANI SRL</v>
          </cell>
          <cell r="B2697" t="str">
            <v>RIVENDITORE ACQUASTOP 05/12 NON RISPONDE 14/12 non risp nessuno 21/03 usano A.S. Dice di mandare mail e ci sentiamo con il nuovo anno. 18/04 no risp</v>
          </cell>
          <cell r="F2697" t="str">
            <v>PARMA</v>
          </cell>
          <cell r="G2697" t="str">
            <v>PR</v>
          </cell>
          <cell r="H2697" t="str">
            <v>ITALIA</v>
          </cell>
          <cell r="M2697" t="str">
            <v>UFFICIO ACQUISTI</v>
          </cell>
          <cell r="N2697" t="str">
            <v>0521 671136</v>
          </cell>
          <cell r="O2697" t="str">
            <v>340 4208374</v>
          </cell>
          <cell r="P2697" t="str">
            <v>info@calestani.com</v>
          </cell>
          <cell r="R2697" t="str">
            <v>BONIFICO BANCARIO, ALLA DATA DELLA NOSTRA CONFERMA D'ORDINE</v>
          </cell>
          <cell r="X2697">
            <v>0.25</v>
          </cell>
          <cell r="Y2697">
            <v>-0.04</v>
          </cell>
          <cell r="AB2697">
            <v>0.25</v>
          </cell>
          <cell r="AC2697">
            <v>0.25</v>
          </cell>
          <cell r="AD2697">
            <v>0.25</v>
          </cell>
          <cell r="AE2697">
            <v>0.25</v>
          </cell>
          <cell r="AF2697">
            <v>0.25</v>
          </cell>
          <cell r="AG2697">
            <v>0.25</v>
          </cell>
          <cell r="AH2697">
            <v>0.25</v>
          </cell>
          <cell r="AI2697">
            <v>0.25</v>
          </cell>
          <cell r="AJ2697">
            <v>0.25</v>
          </cell>
          <cell r="AK2697">
            <v>0.25</v>
          </cell>
          <cell r="AL2697">
            <v>0.25</v>
          </cell>
          <cell r="AM2697">
            <v>0.25</v>
          </cell>
          <cell r="AN2697">
            <v>0.25</v>
          </cell>
          <cell r="AO2697">
            <v>0.25</v>
          </cell>
          <cell r="AP2697">
            <v>0.25</v>
          </cell>
          <cell r="AQ2697">
            <v>0.25</v>
          </cell>
          <cell r="AR2697">
            <v>0.25</v>
          </cell>
          <cell r="AS2697">
            <v>0.25</v>
          </cell>
          <cell r="AT2697">
            <v>-0.04</v>
          </cell>
          <cell r="AU2697">
            <v>0.87</v>
          </cell>
          <cell r="AV2697">
            <v>20</v>
          </cell>
          <cell r="AZ2697">
            <v>0.25</v>
          </cell>
          <cell r="BA2697">
            <v>0.25</v>
          </cell>
        </row>
        <row r="2698">
          <cell r="A2698" t="str">
            <v>VITAGGIO INFISSI SRL</v>
          </cell>
          <cell r="D2698" t="str">
            <v>VIA PORTELLA DELLA GINESTRA, SNC</v>
          </cell>
          <cell r="E2698" t="str">
            <v>91031</v>
          </cell>
          <cell r="F2698" t="str">
            <v>MISILISCEMI</v>
          </cell>
          <cell r="G2698" t="str">
            <v>TP</v>
          </cell>
          <cell r="H2698" t="str">
            <v>ITALIA</v>
          </cell>
          <cell r="J2698" t="str">
            <v>02712270814</v>
          </cell>
          <cell r="K2698" t="str">
            <v>X2PH38J</v>
          </cell>
          <cell r="M2698" t="str">
            <v>UFFICIO ACQUISTI</v>
          </cell>
          <cell r="N2698" t="str">
            <v>0923 1810281</v>
          </cell>
          <cell r="O2698" t="str">
            <v>320 0251235</v>
          </cell>
          <cell r="P2698" t="str">
            <v>vitaggioinfissi@gmail.com</v>
          </cell>
          <cell r="R2698" t="str">
            <v>BONIFICO BANCARIO, ALLA DATA DELLA NOSTRA CONFERMA D'ORDINE</v>
          </cell>
          <cell r="X2698">
            <v>0.25</v>
          </cell>
          <cell r="Y2698">
            <v>-0.04</v>
          </cell>
          <cell r="AB2698">
            <v>0.25</v>
          </cell>
          <cell r="AC2698">
            <v>0.25</v>
          </cell>
          <cell r="AD2698">
            <v>0.25</v>
          </cell>
          <cell r="AE2698">
            <v>0.25</v>
          </cell>
          <cell r="AF2698">
            <v>0.25</v>
          </cell>
          <cell r="AG2698">
            <v>0.25</v>
          </cell>
          <cell r="AH2698">
            <v>0.25</v>
          </cell>
          <cell r="AI2698">
            <v>0.25</v>
          </cell>
          <cell r="AJ2698">
            <v>0.25</v>
          </cell>
          <cell r="AK2698">
            <v>0.25</v>
          </cell>
          <cell r="AL2698">
            <v>0.25</v>
          </cell>
          <cell r="AM2698">
            <v>0.25</v>
          </cell>
          <cell r="AN2698">
            <v>0.25</v>
          </cell>
          <cell r="AO2698">
            <v>0.25</v>
          </cell>
          <cell r="AP2698">
            <v>0.25</v>
          </cell>
          <cell r="AQ2698">
            <v>0.25</v>
          </cell>
          <cell r="AR2698">
            <v>0.25</v>
          </cell>
          <cell r="AS2698">
            <v>0.25</v>
          </cell>
          <cell r="AT2698">
            <v>-0.04</v>
          </cell>
          <cell r="AU2698">
            <v>0.87</v>
          </cell>
          <cell r="AV2698">
            <v>20</v>
          </cell>
          <cell r="AZ2698">
            <v>0.25</v>
          </cell>
          <cell r="BA2698">
            <v>0.25</v>
          </cell>
        </row>
        <row r="2699">
          <cell r="A2699" t="str">
            <v>BELT INFISSI</v>
          </cell>
          <cell r="B2699" t="str">
            <v>22/12 MANDATA MAIL</v>
          </cell>
          <cell r="F2699" t="str">
            <v>CASTELBELLINO</v>
          </cell>
          <cell r="G2699" t="str">
            <v>AN</v>
          </cell>
          <cell r="H2699" t="str">
            <v>ITALIA</v>
          </cell>
          <cell r="M2699" t="str">
            <v>UFFICIO ACQUISTI</v>
          </cell>
          <cell r="O2699" t="str">
            <v>333 5301577</v>
          </cell>
          <cell r="P2699" t="str">
            <v>beltinfissi@gmail.com</v>
          </cell>
          <cell r="R2699" t="str">
            <v>BONIFICO BANCARIO, ALLA DATA DELLA NOSTRA CONFERMA D'ORDINE</v>
          </cell>
          <cell r="X2699">
            <v>0.25</v>
          </cell>
          <cell r="Y2699">
            <v>-0.04</v>
          </cell>
          <cell r="AB2699">
            <v>0.25</v>
          </cell>
          <cell r="AC2699">
            <v>0.25</v>
          </cell>
          <cell r="AD2699">
            <v>0.25</v>
          </cell>
          <cell r="AE2699">
            <v>0.25</v>
          </cell>
          <cell r="AF2699">
            <v>0.25</v>
          </cell>
          <cell r="AG2699">
            <v>0.25</v>
          </cell>
          <cell r="AH2699">
            <v>0.25</v>
          </cell>
          <cell r="AI2699">
            <v>0.25</v>
          </cell>
          <cell r="AJ2699">
            <v>0.25</v>
          </cell>
          <cell r="AK2699">
            <v>0.25</v>
          </cell>
          <cell r="AL2699">
            <v>0.25</v>
          </cell>
          <cell r="AM2699">
            <v>0.25</v>
          </cell>
          <cell r="AN2699">
            <v>0.25</v>
          </cell>
          <cell r="AO2699">
            <v>0.25</v>
          </cell>
          <cell r="AP2699">
            <v>0.25</v>
          </cell>
          <cell r="AQ2699">
            <v>0.25</v>
          </cell>
          <cell r="AR2699">
            <v>0.25</v>
          </cell>
          <cell r="AS2699">
            <v>0.25</v>
          </cell>
          <cell r="AT2699">
            <v>-0.04</v>
          </cell>
          <cell r="AU2699">
            <v>0.87</v>
          </cell>
          <cell r="AV2699">
            <v>20</v>
          </cell>
          <cell r="AZ2699">
            <v>0.25</v>
          </cell>
          <cell r="BA2699">
            <v>0.25</v>
          </cell>
        </row>
        <row r="2700">
          <cell r="A2700" t="str">
            <v>UBERTINI SRLS</v>
          </cell>
          <cell r="B2700" t="str">
            <v>22/12 DICE CHE NON E' INTERESSATO. GIA' PROPOSTE POCO TEMPO FA MA NON INTERESSATI A INSERIRLE NELLA LORO GAMMA PRODOTTI</v>
          </cell>
          <cell r="F2700" t="str">
            <v>CASTELPLANIO</v>
          </cell>
          <cell r="G2700" t="str">
            <v>AN</v>
          </cell>
          <cell r="H2700" t="str">
            <v>ITALIA</v>
          </cell>
          <cell r="M2700" t="str">
            <v>UFFICIO ACQUISTI</v>
          </cell>
          <cell r="N2700" t="str">
            <v>0731 813548</v>
          </cell>
          <cell r="R2700" t="str">
            <v>BONIFICO BANCARIO, ALLA DATA DELLA NOSTRA CONFERMA D'ORDINE</v>
          </cell>
          <cell r="X2700">
            <v>0.25</v>
          </cell>
          <cell r="Y2700">
            <v>-0.04</v>
          </cell>
          <cell r="AB2700">
            <v>0.25</v>
          </cell>
          <cell r="AC2700">
            <v>0.25</v>
          </cell>
          <cell r="AD2700">
            <v>0.25</v>
          </cell>
          <cell r="AE2700">
            <v>0.25</v>
          </cell>
          <cell r="AF2700">
            <v>0.25</v>
          </cell>
          <cell r="AG2700">
            <v>0.25</v>
          </cell>
          <cell r="AH2700">
            <v>0.25</v>
          </cell>
          <cell r="AI2700">
            <v>0.25</v>
          </cell>
          <cell r="AJ2700">
            <v>0.25</v>
          </cell>
          <cell r="AK2700">
            <v>0.25</v>
          </cell>
          <cell r="AL2700">
            <v>0.25</v>
          </cell>
          <cell r="AM2700">
            <v>0.25</v>
          </cell>
          <cell r="AN2700">
            <v>0.25</v>
          </cell>
          <cell r="AO2700">
            <v>0.25</v>
          </cell>
          <cell r="AP2700">
            <v>0.25</v>
          </cell>
          <cell r="AQ2700">
            <v>0.25</v>
          </cell>
          <cell r="AR2700">
            <v>0.25</v>
          </cell>
          <cell r="AS2700">
            <v>0.25</v>
          </cell>
          <cell r="AT2700">
            <v>-0.04</v>
          </cell>
          <cell r="AU2700">
            <v>0.87</v>
          </cell>
          <cell r="AV2700">
            <v>20</v>
          </cell>
          <cell r="AZ2700">
            <v>0.25</v>
          </cell>
          <cell r="BA2700">
            <v>0.25</v>
          </cell>
        </row>
        <row r="2701">
          <cell r="A2701" t="str">
            <v>EVOLUX</v>
          </cell>
          <cell r="B2701" t="str">
            <v>22/12 MANDATA MAIL. SIG. CARLETTI FEDERICO, TITOLARE</v>
          </cell>
          <cell r="F2701" t="str">
            <v>SERRA DE CONTI</v>
          </cell>
          <cell r="G2701" t="str">
            <v>AN</v>
          </cell>
          <cell r="H2701" t="str">
            <v>ITALIA</v>
          </cell>
          <cell r="M2701" t="str">
            <v>UFFICIO ACQUISTI</v>
          </cell>
          <cell r="N2701" t="str">
            <v>0731 879388</v>
          </cell>
          <cell r="P2701" t="str">
            <v>commerciale@evolux.it</v>
          </cell>
          <cell r="R2701" t="str">
            <v>BONIFICO BANCARIO, ALLA DATA DELLA NOSTRA CONFERMA D'ORDINE</v>
          </cell>
          <cell r="X2701">
            <v>0.25</v>
          </cell>
          <cell r="Y2701">
            <v>-0.04</v>
          </cell>
          <cell r="AB2701">
            <v>0.25</v>
          </cell>
          <cell r="AC2701">
            <v>0.25</v>
          </cell>
          <cell r="AD2701">
            <v>0.25</v>
          </cell>
          <cell r="AE2701">
            <v>0.25</v>
          </cell>
          <cell r="AF2701">
            <v>0.25</v>
          </cell>
          <cell r="AG2701">
            <v>0.25</v>
          </cell>
          <cell r="AH2701">
            <v>0.25</v>
          </cell>
          <cell r="AI2701">
            <v>0.25</v>
          </cell>
          <cell r="AJ2701">
            <v>0.25</v>
          </cell>
          <cell r="AK2701">
            <v>0.25</v>
          </cell>
          <cell r="AL2701">
            <v>0.25</v>
          </cell>
          <cell r="AM2701">
            <v>0.25</v>
          </cell>
          <cell r="AN2701">
            <v>0.25</v>
          </cell>
          <cell r="AO2701">
            <v>0.25</v>
          </cell>
          <cell r="AP2701">
            <v>0.25</v>
          </cell>
          <cell r="AQ2701">
            <v>0.25</v>
          </cell>
          <cell r="AR2701">
            <v>0.25</v>
          </cell>
          <cell r="AS2701">
            <v>0.25</v>
          </cell>
          <cell r="AT2701">
            <v>-0.04</v>
          </cell>
          <cell r="AU2701">
            <v>0.87</v>
          </cell>
          <cell r="AV2701">
            <v>20</v>
          </cell>
          <cell r="AZ2701">
            <v>0.25</v>
          </cell>
          <cell r="BA2701">
            <v>0.25</v>
          </cell>
        </row>
        <row r="2702">
          <cell r="A2702" t="str">
            <v>IMPRESA COROMANO ARL</v>
          </cell>
          <cell r="B2702" t="str">
            <v>22/12 GIULIA. PROPOSTO DI VENIRE IN AZIENDA. HANNO INSTALLATO SUL LUNGO MARE DI MILANO MARITTIMA ALTRE BARRIERE MA NON MI HA DETTO QUALI</v>
          </cell>
          <cell r="F2702" t="str">
            <v>FRATTA TERME</v>
          </cell>
          <cell r="G2702" t="str">
            <v>FC</v>
          </cell>
          <cell r="H2702" t="str">
            <v>ITALIA</v>
          </cell>
          <cell r="M2702" t="str">
            <v>UFFICIO ACQUISTI</v>
          </cell>
          <cell r="N2702" t="str">
            <v>0543 460992</v>
          </cell>
          <cell r="R2702" t="str">
            <v>BONIFICO BANCARIO, ALLA DATA DELLA NOSTRA CONFERMA D'ORDINE</v>
          </cell>
          <cell r="X2702">
            <v>0.25</v>
          </cell>
          <cell r="Y2702">
            <v>-0.04</v>
          </cell>
          <cell r="AB2702">
            <v>0.25</v>
          </cell>
          <cell r="AC2702">
            <v>0.25</v>
          </cell>
          <cell r="AD2702">
            <v>0.25</v>
          </cell>
          <cell r="AE2702">
            <v>0.25</v>
          </cell>
          <cell r="AF2702">
            <v>0.25</v>
          </cell>
          <cell r="AG2702">
            <v>0.25</v>
          </cell>
          <cell r="AH2702">
            <v>0.25</v>
          </cell>
          <cell r="AI2702">
            <v>0.25</v>
          </cell>
          <cell r="AJ2702">
            <v>0.25</v>
          </cell>
          <cell r="AK2702">
            <v>0.25</v>
          </cell>
          <cell r="AL2702">
            <v>0.25</v>
          </cell>
          <cell r="AM2702">
            <v>0.25</v>
          </cell>
          <cell r="AN2702">
            <v>0.25</v>
          </cell>
          <cell r="AO2702">
            <v>0.25</v>
          </cell>
          <cell r="AP2702">
            <v>0.25</v>
          </cell>
          <cell r="AQ2702">
            <v>0.25</v>
          </cell>
          <cell r="AR2702">
            <v>0.25</v>
          </cell>
          <cell r="AS2702">
            <v>0.25</v>
          </cell>
          <cell r="AT2702">
            <v>-0.04</v>
          </cell>
          <cell r="AU2702">
            <v>0.87</v>
          </cell>
          <cell r="AV2702">
            <v>20</v>
          </cell>
          <cell r="AZ2702">
            <v>0.25</v>
          </cell>
          <cell r="BA2702">
            <v>0.25</v>
          </cell>
        </row>
        <row r="2703">
          <cell r="A2703" t="str">
            <v>FERRAMENTA E COLORIFICIO MDC</v>
          </cell>
          <cell r="B2703" t="str">
            <v>10/01 SIG. IURI. INTERESSATO. MANDATA MAIL. HA VISTO PUBBLICITA' DA UN SUO COLLEGA A 20 KM</v>
          </cell>
          <cell r="H2703" t="str">
            <v>ITALIA</v>
          </cell>
          <cell r="M2703" t="str">
            <v>UFFICIO ACQUISTI</v>
          </cell>
          <cell r="O2703" t="str">
            <v>335 5453058</v>
          </cell>
          <cell r="P2703" t="str">
            <v>mdcsrl@libero.it</v>
          </cell>
          <cell r="R2703" t="str">
            <v>BONIFICO BANCARIO, ALLA DATA DELLA NOSTRA CONFERMA D'ORDINE</v>
          </cell>
          <cell r="X2703">
            <v>0.25</v>
          </cell>
          <cell r="Y2703">
            <v>-0.04</v>
          </cell>
          <cell r="AB2703">
            <v>0.25</v>
          </cell>
          <cell r="AC2703">
            <v>0.25</v>
          </cell>
          <cell r="AD2703">
            <v>0.25</v>
          </cell>
          <cell r="AE2703">
            <v>0.25</v>
          </cell>
          <cell r="AF2703">
            <v>0.25</v>
          </cell>
          <cell r="AG2703">
            <v>0.25</v>
          </cell>
          <cell r="AH2703">
            <v>0.25</v>
          </cell>
          <cell r="AI2703">
            <v>0.25</v>
          </cell>
          <cell r="AJ2703">
            <v>0.25</v>
          </cell>
          <cell r="AK2703">
            <v>0.25</v>
          </cell>
          <cell r="AL2703">
            <v>0.25</v>
          </cell>
          <cell r="AM2703">
            <v>0.25</v>
          </cell>
          <cell r="AN2703">
            <v>0.25</v>
          </cell>
          <cell r="AO2703">
            <v>0.25</v>
          </cell>
          <cell r="AP2703">
            <v>0.25</v>
          </cell>
          <cell r="AQ2703">
            <v>0.25</v>
          </cell>
          <cell r="AR2703">
            <v>0.25</v>
          </cell>
          <cell r="AS2703">
            <v>0.25</v>
          </cell>
          <cell r="AT2703">
            <v>-0.04</v>
          </cell>
          <cell r="AU2703">
            <v>0.87</v>
          </cell>
          <cell r="AV2703">
            <v>20</v>
          </cell>
          <cell r="AZ2703">
            <v>0.25</v>
          </cell>
          <cell r="BA2703">
            <v>0.25</v>
          </cell>
        </row>
        <row r="2704">
          <cell r="A2704" t="str">
            <v>FAR SERRAMENTI</v>
          </cell>
          <cell r="B2704" t="str">
            <v>12/01/23 MANDATE PROPOSTE CAMPIONE E LISTINO</v>
          </cell>
          <cell r="D2704" t="str">
            <v>VIALE PORTO TORRES, 60/C</v>
          </cell>
          <cell r="E2704" t="str">
            <v>07100</v>
          </cell>
          <cell r="F2704" t="str">
            <v>SASSARI</v>
          </cell>
          <cell r="G2704" t="str">
            <v>SS</v>
          </cell>
          <cell r="H2704" t="str">
            <v>ITALIA</v>
          </cell>
          <cell r="J2704">
            <v>2336260902</v>
          </cell>
          <cell r="M2704" t="str">
            <v>UFFICIO ACQUISTI</v>
          </cell>
          <cell r="N2704" t="str">
            <v>079 295847</v>
          </cell>
          <cell r="O2704" t="str">
            <v>335 1212009</v>
          </cell>
          <cell r="P2704" t="str">
            <v>farserramenti@hotmail.it</v>
          </cell>
          <cell r="R2704" t="str">
            <v>BONIFICO BANCARIO, ALLA DATA DELLA NOSTRA CONFERMA D'ORDINE</v>
          </cell>
          <cell r="X2704">
            <v>0.25</v>
          </cell>
          <cell r="Y2704">
            <v>-0.04</v>
          </cell>
          <cell r="AB2704">
            <v>0.25</v>
          </cell>
          <cell r="AC2704">
            <v>0.25</v>
          </cell>
          <cell r="AD2704">
            <v>0.25</v>
          </cell>
          <cell r="AE2704">
            <v>0.25</v>
          </cell>
          <cell r="AF2704">
            <v>0.25</v>
          </cell>
          <cell r="AG2704">
            <v>0.25</v>
          </cell>
          <cell r="AH2704">
            <v>0.25</v>
          </cell>
          <cell r="AI2704">
            <v>0.25</v>
          </cell>
          <cell r="AJ2704">
            <v>0.25</v>
          </cell>
          <cell r="AK2704">
            <v>0.25</v>
          </cell>
          <cell r="AL2704">
            <v>0.25</v>
          </cell>
          <cell r="AM2704">
            <v>0.25</v>
          </cell>
          <cell r="AN2704">
            <v>0.25</v>
          </cell>
          <cell r="AO2704">
            <v>0.25</v>
          </cell>
          <cell r="AP2704">
            <v>0.25</v>
          </cell>
          <cell r="AQ2704">
            <v>0.25</v>
          </cell>
          <cell r="AR2704">
            <v>0.25</v>
          </cell>
          <cell r="AS2704">
            <v>0.25</v>
          </cell>
          <cell r="AT2704">
            <v>-0.04</v>
          </cell>
          <cell r="AU2704">
            <v>0.87</v>
          </cell>
          <cell r="AV2704">
            <v>20</v>
          </cell>
          <cell r="AZ2704">
            <v>0.25</v>
          </cell>
          <cell r="BA2704">
            <v>0.25</v>
          </cell>
        </row>
        <row r="2705">
          <cell r="A2705" t="str">
            <v>MASETTI SRL</v>
          </cell>
          <cell r="B2705" t="str">
            <v>12/01/2022 RICHIAMATO. DICE CHE IL TITOLARE NON SEMBRA INTERESSATO MA CHE VUOLE PROVARE A RIPROPORRE IL PRODOTTO E HA TROVARE UN PUNTO NELLO SHOWROOM DOVE METTERLO. MANDO PROPOSTE CAMPIONI. RICONTATTARE DOPO APRILE PER VEDERE SE HANNO AMPLIATO SHOWROOM E SONO DISPOSTI A ESPORRE PRODOTTO. LUI DICE CHE VORREBBE BARRIERA A GRANDEZZA NATURALE E NON CAMPIONE. 06/03/23 VISITA MARCO. VUOLE ESCLUSIVA MA NON SEMBRA CONVINTO. RIBADISCE CHE NE PARLERA' CON SIG. MASETTI. MA NON DOVREBBE AVERLO GIA' FATTO TEMPO FA???</v>
          </cell>
          <cell r="D2705" t="str">
            <v>C.DA VALLEFORNO, SN</v>
          </cell>
          <cell r="E2705" t="str">
            <v>97015</v>
          </cell>
          <cell r="F2705" t="str">
            <v>ISPICA</v>
          </cell>
          <cell r="G2705" t="str">
            <v>RG</v>
          </cell>
          <cell r="H2705" t="str">
            <v>ITALIA</v>
          </cell>
          <cell r="J2705">
            <v>1566980882</v>
          </cell>
          <cell r="M2705" t="str">
            <v>UFFICIO ACQUISTI</v>
          </cell>
          <cell r="N2705" t="str">
            <v>0932 951276</v>
          </cell>
          <cell r="O2705" t="str">
            <v>340 4024334</v>
          </cell>
          <cell r="P2705" t="str">
            <v>info@infissi-masetti.it</v>
          </cell>
          <cell r="R2705" t="str">
            <v>BONIFICO BANCARIO, ALLA DATA DELLA NOSTRA CONFERMA D'ORDINE</v>
          </cell>
          <cell r="X2705">
            <v>0.25</v>
          </cell>
          <cell r="Y2705">
            <v>-0.04</v>
          </cell>
          <cell r="AB2705">
            <v>0.25</v>
          </cell>
          <cell r="AC2705">
            <v>0.25</v>
          </cell>
          <cell r="AD2705">
            <v>0.25</v>
          </cell>
          <cell r="AE2705">
            <v>0.25</v>
          </cell>
          <cell r="AF2705">
            <v>0.25</v>
          </cell>
          <cell r="AG2705">
            <v>0.25</v>
          </cell>
          <cell r="AH2705">
            <v>0.25</v>
          </cell>
          <cell r="AI2705">
            <v>0.25</v>
          </cell>
          <cell r="AJ2705">
            <v>0.25</v>
          </cell>
          <cell r="AK2705">
            <v>0.25</v>
          </cell>
          <cell r="AL2705">
            <v>0.25</v>
          </cell>
          <cell r="AM2705">
            <v>0.25</v>
          </cell>
          <cell r="AN2705">
            <v>0.25</v>
          </cell>
          <cell r="AO2705">
            <v>0.25</v>
          </cell>
          <cell r="AP2705">
            <v>0.25</v>
          </cell>
          <cell r="AQ2705">
            <v>0.25</v>
          </cell>
          <cell r="AR2705">
            <v>0.25</v>
          </cell>
          <cell r="AS2705">
            <v>0.25</v>
          </cell>
          <cell r="AT2705">
            <v>-0.04</v>
          </cell>
          <cell r="AU2705">
            <v>0.87</v>
          </cell>
          <cell r="AV2705">
            <v>20</v>
          </cell>
          <cell r="AZ2705">
            <v>0.25</v>
          </cell>
          <cell r="BA2705">
            <v>0.25</v>
          </cell>
        </row>
        <row r="2706">
          <cell r="A2706" t="str">
            <v>IMPRESA COROMANO SRL</v>
          </cell>
          <cell r="B2706" t="str">
            <v>09/01 MANDATA MAIL E PROPOSTO DI VENIRE IN AZIENDA. HANNO UN LAVORO DA FARE O FINIRE A MILANO MARITTIMA - 16/01 MOLTO PRESA, NON HA AVUTO TEMPO DI VISIONARE MAIL. DICE CHE MI RICHIAMA LEI… MESSO SU CALENDAR</v>
          </cell>
          <cell r="D2706" t="str">
            <v>VIA MELDOLA, 1316</v>
          </cell>
          <cell r="E2706" t="str">
            <v>47032</v>
          </cell>
          <cell r="F2706" t="str">
            <v>FRATTA TERME</v>
          </cell>
          <cell r="G2706" t="str">
            <v>FC</v>
          </cell>
          <cell r="H2706" t="str">
            <v>ITALIA</v>
          </cell>
          <cell r="M2706" t="str">
            <v>UFFICIO ACQUISTI</v>
          </cell>
          <cell r="N2706" t="str">
            <v>0543 460992</v>
          </cell>
          <cell r="P2706" t="str">
            <v>giulia@coromano.it</v>
          </cell>
          <cell r="R2706" t="str">
            <v>BONIFICO BANCARIO, ALLA DATA DELLA NOSTRA CONFERMA D'ORDINE</v>
          </cell>
          <cell r="X2706">
            <v>0.25</v>
          </cell>
          <cell r="Y2706">
            <v>-0.04</v>
          </cell>
          <cell r="AB2706">
            <v>0.25</v>
          </cell>
          <cell r="AC2706">
            <v>0.25</v>
          </cell>
          <cell r="AD2706">
            <v>0.25</v>
          </cell>
          <cell r="AE2706">
            <v>0.25</v>
          </cell>
          <cell r="AF2706">
            <v>0.25</v>
          </cell>
          <cell r="AG2706">
            <v>0.25</v>
          </cell>
          <cell r="AH2706">
            <v>0.25</v>
          </cell>
          <cell r="AI2706">
            <v>0.25</v>
          </cell>
          <cell r="AJ2706">
            <v>0.25</v>
          </cell>
          <cell r="AK2706">
            <v>0.25</v>
          </cell>
          <cell r="AL2706">
            <v>0.25</v>
          </cell>
          <cell r="AM2706">
            <v>0.25</v>
          </cell>
          <cell r="AN2706">
            <v>0.25</v>
          </cell>
          <cell r="AO2706">
            <v>0.25</v>
          </cell>
          <cell r="AP2706">
            <v>0.25</v>
          </cell>
          <cell r="AQ2706">
            <v>0.25</v>
          </cell>
          <cell r="AR2706">
            <v>0.25</v>
          </cell>
          <cell r="AS2706">
            <v>0.25</v>
          </cell>
          <cell r="AT2706">
            <v>-0.04</v>
          </cell>
          <cell r="AU2706">
            <v>0.87</v>
          </cell>
          <cell r="AV2706">
            <v>20</v>
          </cell>
          <cell r="AZ2706">
            <v>0.25</v>
          </cell>
          <cell r="BA2706">
            <v>0.25</v>
          </cell>
        </row>
        <row r="2707">
          <cell r="A2707" t="str">
            <v>FERUTEC SRL</v>
          </cell>
          <cell r="B2707" t="str">
            <v>LA PIU' GRANDE AZIENDA DISTRIBUTRICE IN TUTTA LA LIGURIA. HA UN REPARTO APPOSTA PER LA DISTRIBUZIONE DI PRODOTTI ALTRUI. IL 99% NELLA REGIONE COMPRA DA LORO</v>
          </cell>
          <cell r="D2707" t="str">
            <v>VIA GEIRATO, 112</v>
          </cell>
          <cell r="E2707" t="str">
            <v>16138</v>
          </cell>
          <cell r="F2707" t="str">
            <v>GENOVA</v>
          </cell>
          <cell r="G2707" t="str">
            <v>GE</v>
          </cell>
          <cell r="H2707" t="str">
            <v>ITALIA</v>
          </cell>
          <cell r="M2707" t="str">
            <v>UFFICIO ACQUISTI</v>
          </cell>
          <cell r="R2707" t="str">
            <v>BONIFICO BANCARIO, ALLA DATA DELLA NOSTRA CONFERMA D'ORDINE</v>
          </cell>
          <cell r="X2707">
            <v>0.25</v>
          </cell>
          <cell r="Y2707">
            <v>-0.04</v>
          </cell>
          <cell r="AB2707">
            <v>0.25</v>
          </cell>
          <cell r="AC2707">
            <v>0.25</v>
          </cell>
          <cell r="AD2707">
            <v>0.25</v>
          </cell>
          <cell r="AE2707">
            <v>0.25</v>
          </cell>
          <cell r="AF2707">
            <v>0.25</v>
          </cell>
          <cell r="AG2707">
            <v>0.25</v>
          </cell>
          <cell r="AH2707">
            <v>0.25</v>
          </cell>
          <cell r="AI2707">
            <v>0.25</v>
          </cell>
          <cell r="AJ2707">
            <v>0.25</v>
          </cell>
          <cell r="AK2707">
            <v>0.25</v>
          </cell>
          <cell r="AL2707">
            <v>0.25</v>
          </cell>
          <cell r="AM2707">
            <v>0.25</v>
          </cell>
          <cell r="AN2707">
            <v>0.25</v>
          </cell>
          <cell r="AO2707">
            <v>0.25</v>
          </cell>
          <cell r="AP2707">
            <v>0.25</v>
          </cell>
          <cell r="AQ2707">
            <v>0.25</v>
          </cell>
          <cell r="AR2707">
            <v>0.25</v>
          </cell>
          <cell r="AS2707">
            <v>0.25</v>
          </cell>
          <cell r="AT2707">
            <v>-0.04</v>
          </cell>
          <cell r="AU2707">
            <v>0.87</v>
          </cell>
          <cell r="AV2707">
            <v>20</v>
          </cell>
          <cell r="AZ2707">
            <v>0.25</v>
          </cell>
          <cell r="BA2707">
            <v>0.25</v>
          </cell>
        </row>
        <row r="2708">
          <cell r="A2708" t="str">
            <v>DINATALE PORTE E INFISSI</v>
          </cell>
          <cell r="B2708" t="str">
            <v>12/01 DICE CHE VUOLE PROPOSTA PER CAMPIONI MA NON MANDA DATI AZIENDA. RICHIESTI MA NULLA. ATTENDERE 30/01/23 SOLLECITATO MA NULLA. IO NON CHIEDO PIU' 08/03 VISITA MARCO. MANDATA PROPOSTA MODERNA. LAVORA CON TECNICI E IMPRESE EDILI DI LIVELLO MEDIO ALTO</v>
          </cell>
          <cell r="D2708" t="str">
            <v>VIA ANITA, 41</v>
          </cell>
          <cell r="E2708" t="str">
            <v>96018</v>
          </cell>
          <cell r="F2708" t="str">
            <v>PACHINO</v>
          </cell>
          <cell r="G2708" t="str">
            <v>SR</v>
          </cell>
          <cell r="H2708" t="str">
            <v>ITALIA</v>
          </cell>
          <cell r="J2708" t="str">
            <v>01065770891</v>
          </cell>
          <cell r="M2708" t="str">
            <v>UFFICIO ACQUISTI</v>
          </cell>
          <cell r="N2708" t="str">
            <v>0931 846584</v>
          </cell>
          <cell r="O2708" t="str">
            <v>335 6685096</v>
          </cell>
          <cell r="P2708" t="str">
            <v>nicola@dinatale.it</v>
          </cell>
          <cell r="R2708" t="str">
            <v>BONIFICO BANCARIO, ALLA DATA DELLA NOSTRA CONFERMA D'ORDINE</v>
          </cell>
          <cell r="X2708">
            <v>0.25</v>
          </cell>
          <cell r="Y2708">
            <v>-0.04</v>
          </cell>
          <cell r="AB2708">
            <v>0.25</v>
          </cell>
          <cell r="AC2708">
            <v>0.25</v>
          </cell>
          <cell r="AD2708">
            <v>0.25</v>
          </cell>
          <cell r="AE2708">
            <v>0.25</v>
          </cell>
          <cell r="AF2708">
            <v>0.25</v>
          </cell>
          <cell r="AG2708">
            <v>0.25</v>
          </cell>
          <cell r="AH2708">
            <v>0.25</v>
          </cell>
          <cell r="AI2708">
            <v>0.25</v>
          </cell>
          <cell r="AJ2708">
            <v>0.25</v>
          </cell>
          <cell r="AK2708">
            <v>0.25</v>
          </cell>
          <cell r="AL2708">
            <v>0.25</v>
          </cell>
          <cell r="AM2708">
            <v>0.25</v>
          </cell>
          <cell r="AN2708">
            <v>0.25</v>
          </cell>
          <cell r="AO2708">
            <v>0.25</v>
          </cell>
          <cell r="AP2708">
            <v>0.25</v>
          </cell>
          <cell r="AQ2708">
            <v>0.25</v>
          </cell>
          <cell r="AR2708">
            <v>0.25</v>
          </cell>
          <cell r="AS2708">
            <v>0.25</v>
          </cell>
          <cell r="AT2708">
            <v>-0.04</v>
          </cell>
          <cell r="AU2708">
            <v>0.87</v>
          </cell>
          <cell r="AV2708">
            <v>20</v>
          </cell>
          <cell r="AZ2708">
            <v>0.25</v>
          </cell>
          <cell r="BA2708">
            <v>0.25</v>
          </cell>
        </row>
        <row r="2709">
          <cell r="A2709" t="str">
            <v>ABA DI CASSIN M E C SNC</v>
          </cell>
          <cell r="D2709" t="str">
            <v>VIA MONTELLO, 51B</v>
          </cell>
          <cell r="E2709" t="str">
            <v>33170</v>
          </cell>
          <cell r="F2709" t="str">
            <v>PORDENONE</v>
          </cell>
          <cell r="G2709" t="str">
            <v>PN</v>
          </cell>
          <cell r="H2709" t="str">
            <v>ITALIA</v>
          </cell>
          <cell r="J2709" t="str">
            <v>01215530930 </v>
          </cell>
          <cell r="M2709" t="str">
            <v>UFFICIO ACQUISTI</v>
          </cell>
          <cell r="O2709" t="str">
            <v>347 3549379</v>
          </cell>
          <cell r="P2709" t="str">
            <v>info@abarappresentanze.it</v>
          </cell>
          <cell r="R2709" t="str">
            <v>BONIFICO BANCARIO, ALLA DATA DELLA NOSTRA CONFERMA D'ORDINE</v>
          </cell>
          <cell r="X2709">
            <v>0.25</v>
          </cell>
          <cell r="Y2709">
            <v>-0.04</v>
          </cell>
          <cell r="AB2709">
            <v>0.25</v>
          </cell>
          <cell r="AC2709">
            <v>0.25</v>
          </cell>
          <cell r="AD2709">
            <v>0.25</v>
          </cell>
          <cell r="AE2709">
            <v>0.25</v>
          </cell>
          <cell r="AF2709">
            <v>0.25</v>
          </cell>
          <cell r="AG2709">
            <v>0.25</v>
          </cell>
          <cell r="AH2709">
            <v>0.25</v>
          </cell>
          <cell r="AI2709">
            <v>0.25</v>
          </cell>
          <cell r="AJ2709">
            <v>0.25</v>
          </cell>
          <cell r="AK2709">
            <v>0.25</v>
          </cell>
          <cell r="AL2709">
            <v>0.25</v>
          </cell>
          <cell r="AM2709">
            <v>0.25</v>
          </cell>
          <cell r="AN2709">
            <v>0.25</v>
          </cell>
          <cell r="AO2709">
            <v>0.25</v>
          </cell>
          <cell r="AP2709">
            <v>0.25</v>
          </cell>
          <cell r="AQ2709">
            <v>0.25</v>
          </cell>
          <cell r="AR2709">
            <v>0.25</v>
          </cell>
          <cell r="AS2709">
            <v>0.25</v>
          </cell>
          <cell r="AT2709">
            <v>-0.04</v>
          </cell>
          <cell r="AU2709">
            <v>0.87</v>
          </cell>
          <cell r="AV2709">
            <v>20</v>
          </cell>
          <cell r="AZ2709">
            <v>0.25</v>
          </cell>
          <cell r="BA2709">
            <v>0.25</v>
          </cell>
        </row>
        <row r="2710">
          <cell r="A2710" t="str">
            <v>SCIENTIA SRL</v>
          </cell>
          <cell r="D2710" t="str">
            <v>VIA ALDO SPALLICCI, 14</v>
          </cell>
          <cell r="E2710" t="str">
            <v>47121</v>
          </cell>
          <cell r="F2710" t="str">
            <v>FORLI</v>
          </cell>
          <cell r="G2710" t="str">
            <v>FC</v>
          </cell>
          <cell r="H2710" t="str">
            <v>ITALIA</v>
          </cell>
          <cell r="J2710" t="str">
            <v>03771390402</v>
          </cell>
          <cell r="M2710" t="str">
            <v>UFFICIO ACQUISTI</v>
          </cell>
          <cell r="N2710" t="str">
            <v>0543 546995</v>
          </cell>
          <cell r="O2710" t="str">
            <v>340 4174683 SIG. MUSTI GIOVANNI</v>
          </cell>
          <cell r="P2710" t="str">
            <v>musti@scientiasrl.it</v>
          </cell>
          <cell r="R2710" t="str">
            <v>BONIFICO BANCARIO, ALLA DATA DELLA NOSTRA CONFERMA D'ORDINE</v>
          </cell>
          <cell r="X2710">
            <v>0.25</v>
          </cell>
          <cell r="Y2710">
            <v>-0.04</v>
          </cell>
          <cell r="AB2710">
            <v>0.25</v>
          </cell>
          <cell r="AC2710">
            <v>0.25</v>
          </cell>
          <cell r="AD2710">
            <v>0.25</v>
          </cell>
          <cell r="AE2710">
            <v>0.25</v>
          </cell>
          <cell r="AF2710">
            <v>0.25</v>
          </cell>
          <cell r="AG2710">
            <v>0.25</v>
          </cell>
          <cell r="AH2710">
            <v>0.25</v>
          </cell>
          <cell r="AI2710">
            <v>0.25</v>
          </cell>
          <cell r="AJ2710">
            <v>0.25</v>
          </cell>
          <cell r="AK2710">
            <v>0.25</v>
          </cell>
          <cell r="AL2710">
            <v>0.25</v>
          </cell>
          <cell r="AM2710">
            <v>0.25</v>
          </cell>
          <cell r="AN2710">
            <v>0.25</v>
          </cell>
          <cell r="AO2710">
            <v>0.25</v>
          </cell>
          <cell r="AP2710">
            <v>0.25</v>
          </cell>
          <cell r="AQ2710">
            <v>0.25</v>
          </cell>
          <cell r="AR2710">
            <v>0.25</v>
          </cell>
          <cell r="AS2710">
            <v>0.25</v>
          </cell>
          <cell r="AT2710">
            <v>-0.04</v>
          </cell>
          <cell r="AU2710">
            <v>0.87</v>
          </cell>
          <cell r="AV2710">
            <v>20</v>
          </cell>
          <cell r="AZ2710">
            <v>0.25</v>
          </cell>
          <cell r="BA2710">
            <v>0.25</v>
          </cell>
        </row>
        <row r="2711">
          <cell r="A2711" t="str">
            <v>TECNOWOOD SRL</v>
          </cell>
          <cell r="B2711" t="str">
            <v>CI HA CONTATTATO LUI TRAMITE IL SITO - AP 24/01/2023</v>
          </cell>
          <cell r="D2711" t="str">
            <v>VIA CORINALDESE, 92/2</v>
          </cell>
          <cell r="E2711" t="str">
            <v>60013</v>
          </cell>
          <cell r="F2711" t="str">
            <v>CORINALDO</v>
          </cell>
          <cell r="G2711" t="str">
            <v>AN</v>
          </cell>
          <cell r="H2711" t="str">
            <v>ITALIA</v>
          </cell>
          <cell r="J2711" t="str">
            <v>02434970428</v>
          </cell>
          <cell r="K2711" t="str">
            <v>DXEBYTP</v>
          </cell>
          <cell r="M2711" t="str">
            <v>UFFICIO ACQUISTI</v>
          </cell>
          <cell r="N2711" t="str">
            <v>071 7924 740</v>
          </cell>
          <cell r="P2711" t="str">
            <v>amministrazione@tecnowooditalia.com</v>
          </cell>
          <cell r="R2711" t="str">
            <v>BONIFICO BANCARIO, ALLA DATA DELLA NOSTRA CONFERMA D'ORDINE</v>
          </cell>
          <cell r="X2711">
            <v>0.25</v>
          </cell>
          <cell r="Y2711">
            <v>-0.04</v>
          </cell>
          <cell r="AB2711">
            <v>0.25</v>
          </cell>
          <cell r="AC2711">
            <v>0.25</v>
          </cell>
          <cell r="AD2711">
            <v>0.25</v>
          </cell>
          <cell r="AE2711">
            <v>0.25</v>
          </cell>
          <cell r="AF2711">
            <v>0.25</v>
          </cell>
          <cell r="AG2711">
            <v>0.25</v>
          </cell>
          <cell r="AH2711">
            <v>0.25</v>
          </cell>
          <cell r="AI2711">
            <v>0.25</v>
          </cell>
          <cell r="AJ2711">
            <v>0.25</v>
          </cell>
          <cell r="AK2711">
            <v>0.25</v>
          </cell>
          <cell r="AL2711">
            <v>0.25</v>
          </cell>
          <cell r="AM2711">
            <v>0.25</v>
          </cell>
          <cell r="AN2711">
            <v>0.25</v>
          </cell>
          <cell r="AO2711">
            <v>0.25</v>
          </cell>
          <cell r="AP2711">
            <v>0.25</v>
          </cell>
          <cell r="AQ2711">
            <v>0.25</v>
          </cell>
          <cell r="AR2711">
            <v>0.25</v>
          </cell>
          <cell r="AS2711">
            <v>0.25</v>
          </cell>
          <cell r="AT2711">
            <v>-0.04</v>
          </cell>
          <cell r="AU2711">
            <v>0.87</v>
          </cell>
          <cell r="AV2711">
            <v>20</v>
          </cell>
          <cell r="AZ2711">
            <v>0.25</v>
          </cell>
          <cell r="BA2711">
            <v>0.25</v>
          </cell>
          <cell r="BF2711" t="str">
            <v>CLICK RAPID con espositore 13/02/2023</v>
          </cell>
        </row>
        <row r="2712">
          <cell r="A2712" t="str">
            <v>LUCIO MASTRANDREA</v>
          </cell>
          <cell r="B2712" t="str">
            <v>25/01/23 VUOLE PROPOSTE CAMPIONE E VISITA QUANDO POSSIBILE</v>
          </cell>
          <cell r="D2712" t="str">
            <v>VIA MASCAGNI PIETRO</v>
          </cell>
          <cell r="E2712" t="str">
            <v>84047</v>
          </cell>
          <cell r="F2712" t="str">
            <v>CAPACCIO</v>
          </cell>
          <cell r="G2712" t="str">
            <v>SA</v>
          </cell>
          <cell r="H2712" t="str">
            <v>ITALIA</v>
          </cell>
          <cell r="J2712" t="str">
            <v>02690070657 </v>
          </cell>
          <cell r="M2712" t="str">
            <v>UFFICIO ACQUISTI</v>
          </cell>
          <cell r="N2712" t="str">
            <v>0828 871116</v>
          </cell>
          <cell r="O2712" t="str">
            <v>338 9229822</v>
          </cell>
          <cell r="P2712" t="str">
            <v>info@mastrandreainfissi.it</v>
          </cell>
          <cell r="R2712" t="str">
            <v>BONIFICO BANCARIO, ALLA DATA DELLA NOSTRA CONFERMA D'ORDINE</v>
          </cell>
          <cell r="X2712">
            <v>0.25</v>
          </cell>
          <cell r="Y2712">
            <v>-0.04</v>
          </cell>
          <cell r="AB2712">
            <v>0.25</v>
          </cell>
          <cell r="AC2712">
            <v>0.25</v>
          </cell>
          <cell r="AD2712">
            <v>0.25</v>
          </cell>
          <cell r="AE2712">
            <v>0.25</v>
          </cell>
          <cell r="AF2712">
            <v>0.25</v>
          </cell>
          <cell r="AG2712">
            <v>0.25</v>
          </cell>
          <cell r="AH2712">
            <v>0.25</v>
          </cell>
          <cell r="AI2712">
            <v>0.25</v>
          </cell>
          <cell r="AJ2712">
            <v>0.25</v>
          </cell>
          <cell r="AK2712">
            <v>0.25</v>
          </cell>
          <cell r="AL2712">
            <v>0.25</v>
          </cell>
          <cell r="AM2712">
            <v>0.25</v>
          </cell>
          <cell r="AN2712">
            <v>0.25</v>
          </cell>
          <cell r="AO2712">
            <v>0.25</v>
          </cell>
          <cell r="AP2712">
            <v>0.25</v>
          </cell>
          <cell r="AQ2712">
            <v>0.25</v>
          </cell>
          <cell r="AR2712">
            <v>0.25</v>
          </cell>
          <cell r="AS2712">
            <v>0.25</v>
          </cell>
          <cell r="AT2712">
            <v>-0.04</v>
          </cell>
          <cell r="AU2712">
            <v>0.87</v>
          </cell>
          <cell r="AV2712">
            <v>20</v>
          </cell>
          <cell r="AZ2712">
            <v>0.25</v>
          </cell>
          <cell r="BA2712">
            <v>0.25</v>
          </cell>
        </row>
        <row r="2713">
          <cell r="A2713" t="str">
            <v>CO.S.METAL SNC DI SOARDO DORIANO</v>
          </cell>
          <cell r="D2713" t="str">
            <v>VIA CASTIONS, 67</v>
          </cell>
          <cell r="E2713" t="str">
            <v>33055</v>
          </cell>
          <cell r="F2713" t="str">
            <v>MUZZANA DEL TURGNANO</v>
          </cell>
          <cell r="G2713" t="str">
            <v>UD</v>
          </cell>
          <cell r="H2713" t="str">
            <v>ITALIA</v>
          </cell>
          <cell r="J2713" t="str">
            <v>01011720305</v>
          </cell>
          <cell r="M2713" t="str">
            <v>UFFICIO ACQUISTI</v>
          </cell>
          <cell r="N2713" t="str">
            <v>0431 69377</v>
          </cell>
          <cell r="P2713" t="str">
            <v>commerciale@cosmetalfriuli.it</v>
          </cell>
          <cell r="R2713" t="str">
            <v>BONIFICO BANCARIO, ALLA DATA DELLA NOSTRA CONFERMA D'ORDINE</v>
          </cell>
          <cell r="X2713">
            <v>0.25</v>
          </cell>
          <cell r="Y2713">
            <v>-0.04</v>
          </cell>
          <cell r="AB2713">
            <v>0.25</v>
          </cell>
          <cell r="AC2713">
            <v>0.25</v>
          </cell>
          <cell r="AD2713">
            <v>0.25</v>
          </cell>
          <cell r="AE2713">
            <v>0.25</v>
          </cell>
          <cell r="AF2713">
            <v>0.25</v>
          </cell>
          <cell r="AG2713">
            <v>0.25</v>
          </cell>
          <cell r="AH2713">
            <v>0.25</v>
          </cell>
          <cell r="AI2713">
            <v>0.25</v>
          </cell>
          <cell r="AJ2713">
            <v>0.25</v>
          </cell>
          <cell r="AK2713">
            <v>0.25</v>
          </cell>
          <cell r="AL2713">
            <v>0.25</v>
          </cell>
          <cell r="AM2713">
            <v>0.25</v>
          </cell>
          <cell r="AN2713">
            <v>0.25</v>
          </cell>
          <cell r="AO2713">
            <v>0.25</v>
          </cell>
          <cell r="AP2713">
            <v>0.25</v>
          </cell>
          <cell r="AQ2713">
            <v>0.25</v>
          </cell>
          <cell r="AR2713">
            <v>0.25</v>
          </cell>
          <cell r="AS2713">
            <v>0.25</v>
          </cell>
          <cell r="AT2713">
            <v>-0.04</v>
          </cell>
          <cell r="AU2713">
            <v>0.87</v>
          </cell>
          <cell r="AV2713">
            <v>20</v>
          </cell>
          <cell r="AZ2713">
            <v>0.25</v>
          </cell>
          <cell r="BA2713">
            <v>0.25</v>
          </cell>
        </row>
        <row r="2714">
          <cell r="A2714" t="str">
            <v>EUROPORTE DI INGARAO SEBASTIANO</v>
          </cell>
          <cell r="B2714" t="str">
            <v>27/01/23 MANDATA PROPOSTA ACQUISTO CAMPIONI</v>
          </cell>
          <cell r="D2714" t="str">
            <v>VIA Q. SELLA. 93</v>
          </cell>
          <cell r="E2714" t="str">
            <v>96018 </v>
          </cell>
          <cell r="F2714" t="str">
            <v>PACHINO</v>
          </cell>
          <cell r="G2714" t="str">
            <v>SR</v>
          </cell>
          <cell r="H2714" t="str">
            <v>ITALIA</v>
          </cell>
          <cell r="J2714" t="str">
            <v>01377068089</v>
          </cell>
          <cell r="M2714" t="str">
            <v>UFFICIO ACQUISTI</v>
          </cell>
          <cell r="N2714" t="str">
            <v>0931 1817122</v>
          </cell>
          <cell r="P2714" t="str">
            <v>europorte@outlook.it</v>
          </cell>
          <cell r="R2714" t="str">
            <v>BONIFICO BANCARIO, ALLA DATA DELLA NOSTRA CONFERMA D'ORDINE</v>
          </cell>
          <cell r="X2714">
            <v>0.25</v>
          </cell>
          <cell r="Y2714">
            <v>-0.04</v>
          </cell>
          <cell r="AB2714">
            <v>0.25</v>
          </cell>
          <cell r="AC2714">
            <v>0.25</v>
          </cell>
          <cell r="AD2714">
            <v>0.25</v>
          </cell>
          <cell r="AE2714">
            <v>0.25</v>
          </cell>
          <cell r="AF2714">
            <v>0.25</v>
          </cell>
          <cell r="AG2714">
            <v>0.25</v>
          </cell>
          <cell r="AH2714">
            <v>0.25</v>
          </cell>
          <cell r="AI2714">
            <v>0.25</v>
          </cell>
          <cell r="AJ2714">
            <v>0.25</v>
          </cell>
          <cell r="AK2714">
            <v>0.25</v>
          </cell>
          <cell r="AL2714">
            <v>0.25</v>
          </cell>
          <cell r="AM2714">
            <v>0.25</v>
          </cell>
          <cell r="AN2714">
            <v>0.25</v>
          </cell>
          <cell r="AO2714">
            <v>0.25</v>
          </cell>
          <cell r="AP2714">
            <v>0.25</v>
          </cell>
          <cell r="AQ2714">
            <v>0.25</v>
          </cell>
          <cell r="AR2714">
            <v>0.25</v>
          </cell>
          <cell r="AS2714">
            <v>0.25</v>
          </cell>
          <cell r="AT2714">
            <v>-0.04</v>
          </cell>
          <cell r="AU2714">
            <v>0.87</v>
          </cell>
          <cell r="AV2714">
            <v>20</v>
          </cell>
          <cell r="AZ2714">
            <v>0.25</v>
          </cell>
          <cell r="BA2714">
            <v>0.25</v>
          </cell>
          <cell r="BF2714" t="str">
            <v xml:space="preserve"> CLICK RAPID con espositore 13/02/2023</v>
          </cell>
        </row>
        <row r="2715">
          <cell r="A2715" t="str">
            <v>INFISSI FARACE</v>
          </cell>
          <cell r="B2715" t="str">
            <v>25/11/2022 INTERESSATO. MANDATO MATERIALE. 10/01/23 DICE CHE HA PROVATO A PROPORLO SENZA RISULTATO ALCUNO. SE AVESSE QUALCHE RICHIESTA SI FA SENTIRE LUI</v>
          </cell>
          <cell r="F2715" t="str">
            <v>PRAIA A MARE</v>
          </cell>
          <cell r="G2715" t="str">
            <v>CS</v>
          </cell>
          <cell r="H2715" t="str">
            <v>ITALIA</v>
          </cell>
          <cell r="M2715" t="str">
            <v>UFFICIO ACQUISTI</v>
          </cell>
          <cell r="O2715" t="str">
            <v>338 8768938</v>
          </cell>
          <cell r="P2715" t="str">
            <v>infissifaracetonino@libero.it</v>
          </cell>
          <cell r="R2715" t="str">
            <v>BONIFICO BANCARIO, ALLA DATA DELLA NOSTRA CONFERMA D'ORDINE</v>
          </cell>
          <cell r="X2715">
            <v>0.25</v>
          </cell>
          <cell r="Y2715">
            <v>-0.04</v>
          </cell>
          <cell r="AB2715">
            <v>0.25</v>
          </cell>
          <cell r="AC2715">
            <v>0.25</v>
          </cell>
          <cell r="AD2715">
            <v>0.25</v>
          </cell>
          <cell r="AE2715">
            <v>0.25</v>
          </cell>
          <cell r="AF2715">
            <v>0.25</v>
          </cell>
          <cell r="AG2715">
            <v>0.25</v>
          </cell>
          <cell r="AH2715">
            <v>0.25</v>
          </cell>
          <cell r="AI2715">
            <v>0.25</v>
          </cell>
          <cell r="AJ2715">
            <v>0.25</v>
          </cell>
          <cell r="AK2715">
            <v>0.25</v>
          </cell>
          <cell r="AL2715">
            <v>0.25</v>
          </cell>
          <cell r="AM2715">
            <v>0.25</v>
          </cell>
          <cell r="AN2715">
            <v>0.25</v>
          </cell>
          <cell r="AO2715">
            <v>0.25</v>
          </cell>
          <cell r="AP2715">
            <v>0.25</v>
          </cell>
          <cell r="AQ2715">
            <v>0.25</v>
          </cell>
          <cell r="AR2715">
            <v>0.25</v>
          </cell>
          <cell r="AS2715">
            <v>0.25</v>
          </cell>
          <cell r="AT2715">
            <v>-0.04</v>
          </cell>
          <cell r="AU2715">
            <v>0.87</v>
          </cell>
          <cell r="AV2715">
            <v>20</v>
          </cell>
          <cell r="AZ2715">
            <v>0.25</v>
          </cell>
          <cell r="BA2715">
            <v>0.25</v>
          </cell>
        </row>
        <row r="2716">
          <cell r="A2716" t="str">
            <v>BOTTEGA DI FALEGNAMERIA - FILIZONA GIOVANNI SRL</v>
          </cell>
          <cell r="B2716" t="str">
            <v>29/11/23 NON HA RICHIESTE MA E' INTERESSATO. MANDATE MAIL</v>
          </cell>
          <cell r="F2716" t="str">
            <v>TORRACA</v>
          </cell>
          <cell r="G2716" t="str">
            <v>SA</v>
          </cell>
          <cell r="H2716" t="str">
            <v>ITALIA</v>
          </cell>
          <cell r="M2716" t="str">
            <v>UFFICIO ACQUISTI</v>
          </cell>
          <cell r="O2716" t="str">
            <v>338 2886507</v>
          </cell>
          <cell r="P2716" t="str">
            <v>giovannifilizola@gmail.com</v>
          </cell>
          <cell r="R2716" t="str">
            <v>BONIFICO BANCARIO, ALLA DATA DELLA NOSTRA CONFERMA D'ORDINE</v>
          </cell>
          <cell r="X2716">
            <v>0.25</v>
          </cell>
          <cell r="Y2716">
            <v>-0.04</v>
          </cell>
          <cell r="AB2716">
            <v>0.25</v>
          </cell>
          <cell r="AC2716">
            <v>0.25</v>
          </cell>
          <cell r="AD2716">
            <v>0.25</v>
          </cell>
          <cell r="AE2716">
            <v>0.25</v>
          </cell>
          <cell r="AF2716">
            <v>0.25</v>
          </cell>
          <cell r="AG2716">
            <v>0.25</v>
          </cell>
          <cell r="AH2716">
            <v>0.25</v>
          </cell>
          <cell r="AI2716">
            <v>0.25</v>
          </cell>
          <cell r="AJ2716">
            <v>0.25</v>
          </cell>
          <cell r="AK2716">
            <v>0.25</v>
          </cell>
          <cell r="AL2716">
            <v>0.25</v>
          </cell>
          <cell r="AM2716">
            <v>0.25</v>
          </cell>
          <cell r="AN2716">
            <v>0.25</v>
          </cell>
          <cell r="AO2716">
            <v>0.25</v>
          </cell>
          <cell r="AP2716">
            <v>0.25</v>
          </cell>
          <cell r="AQ2716">
            <v>0.25</v>
          </cell>
          <cell r="AR2716">
            <v>0.25</v>
          </cell>
          <cell r="AS2716">
            <v>0.25</v>
          </cell>
          <cell r="AT2716">
            <v>-0.04</v>
          </cell>
          <cell r="AU2716">
            <v>0.87</v>
          </cell>
          <cell r="AV2716">
            <v>20</v>
          </cell>
          <cell r="AZ2716">
            <v>0.25</v>
          </cell>
          <cell r="BA2716">
            <v>0.25</v>
          </cell>
        </row>
        <row r="2717">
          <cell r="A2717" t="str">
            <v>LATTANZIO AUTOMAZIONI</v>
          </cell>
          <cell r="B2717" t="str">
            <v>21/04/23 VISITA RIZZOLI. TOP DEL TOP! HA MOLTE RICHIESTE. VUOLE LA CLICK. SE INIZIA, SECONDO RIZZOLI, DIVENTERA' UNO DEI NOSTRI MIGLIORI RIVENDITORI.</v>
          </cell>
          <cell r="D2717" t="str">
            <v>VIA MODESTO DELLA PORTA, 2</v>
          </cell>
          <cell r="E2717">
            <v>65015</v>
          </cell>
          <cell r="F2717" t="str">
            <v>MONTESILVANO</v>
          </cell>
          <cell r="G2717" t="str">
            <v>PE</v>
          </cell>
          <cell r="H2717" t="str">
            <v>ITALIA</v>
          </cell>
          <cell r="J2717" t="str">
            <v>01779900685</v>
          </cell>
          <cell r="K2717" t="str">
            <v>T04ZHR3</v>
          </cell>
          <cell r="M2717" t="str">
            <v>SIG. LATTANZIO</v>
          </cell>
          <cell r="N2717" t="str">
            <v>085 4681918</v>
          </cell>
          <cell r="O2717" t="str">
            <v>329 2778874</v>
          </cell>
          <cell r="P2717" t="str">
            <v>info@automazionilattanzio.it</v>
          </cell>
          <cell r="R2717" t="str">
            <v>BONIFICO BANCARIO, ALLA DATA DELLA NOSTRA CONFERMA D'ORDINE</v>
          </cell>
          <cell r="X2717">
            <v>0.25</v>
          </cell>
          <cell r="Y2717">
            <v>-0.04</v>
          </cell>
          <cell r="AB2717">
            <v>0.25</v>
          </cell>
          <cell r="AC2717">
            <v>0.25</v>
          </cell>
          <cell r="AD2717">
            <v>0.25</v>
          </cell>
          <cell r="AE2717">
            <v>0.25</v>
          </cell>
          <cell r="AF2717">
            <v>0.25</v>
          </cell>
          <cell r="AG2717">
            <v>0.25</v>
          </cell>
          <cell r="AH2717">
            <v>0.25</v>
          </cell>
          <cell r="AI2717">
            <v>0.25</v>
          </cell>
          <cell r="AJ2717">
            <v>0.25</v>
          </cell>
          <cell r="AK2717">
            <v>0.25</v>
          </cell>
          <cell r="AL2717">
            <v>0.25</v>
          </cell>
          <cell r="AM2717">
            <v>0.25</v>
          </cell>
          <cell r="AN2717">
            <v>0.25</v>
          </cell>
          <cell r="AO2717">
            <v>0.25</v>
          </cell>
          <cell r="AP2717">
            <v>0.25</v>
          </cell>
          <cell r="AQ2717">
            <v>0.25</v>
          </cell>
          <cell r="AR2717">
            <v>0.25</v>
          </cell>
          <cell r="AS2717">
            <v>0.25</v>
          </cell>
          <cell r="AT2717">
            <v>-0.04</v>
          </cell>
          <cell r="AU2717">
            <v>0.92</v>
          </cell>
          <cell r="AV2717">
            <v>20</v>
          </cell>
          <cell r="AZ2717">
            <v>0.25</v>
          </cell>
          <cell r="BA2717">
            <v>0.25</v>
          </cell>
        </row>
        <row r="2718">
          <cell r="A2718" t="str">
            <v>VASTA SERRAMENTI</v>
          </cell>
          <cell r="B2718" t="str">
            <v>24/11 MOLTO INTERESSATI. MANDATA DOCUMENTAZIONE. DA ALLORA NON HANNO PIU' RISPOSTO</v>
          </cell>
          <cell r="F2718" t="str">
            <v>SAPRI</v>
          </cell>
          <cell r="G2718" t="str">
            <v>SA</v>
          </cell>
          <cell r="H2718" t="str">
            <v>ITALIA</v>
          </cell>
          <cell r="M2718" t="str">
            <v>UFFICIO ACQUISTI</v>
          </cell>
          <cell r="O2718" t="str">
            <v>351 9091120</v>
          </cell>
          <cell r="P2718" t="str">
            <v>vastaserramenti@gmail.com</v>
          </cell>
          <cell r="R2718" t="str">
            <v>BONIFICO BANCARIO, ALLA DATA DELLA NOSTRA CONFERMA D'ORDINE</v>
          </cell>
          <cell r="X2718">
            <v>0.25</v>
          </cell>
          <cell r="Y2718">
            <v>-0.04</v>
          </cell>
          <cell r="AB2718">
            <v>0.25</v>
          </cell>
          <cell r="AC2718">
            <v>0.25</v>
          </cell>
          <cell r="AD2718">
            <v>0.25</v>
          </cell>
          <cell r="AE2718">
            <v>0.25</v>
          </cell>
          <cell r="AF2718">
            <v>0.25</v>
          </cell>
          <cell r="AG2718">
            <v>0.25</v>
          </cell>
          <cell r="AH2718">
            <v>0.25</v>
          </cell>
          <cell r="AI2718">
            <v>0.25</v>
          </cell>
          <cell r="AJ2718">
            <v>0.25</v>
          </cell>
          <cell r="AK2718">
            <v>0.25</v>
          </cell>
          <cell r="AL2718">
            <v>0.25</v>
          </cell>
          <cell r="AM2718">
            <v>0.25</v>
          </cell>
          <cell r="AN2718">
            <v>0.25</v>
          </cell>
          <cell r="AO2718">
            <v>0.25</v>
          </cell>
          <cell r="AP2718">
            <v>0.25</v>
          </cell>
          <cell r="AQ2718">
            <v>0.25</v>
          </cell>
          <cell r="AR2718">
            <v>0.25</v>
          </cell>
          <cell r="AS2718">
            <v>0.25</v>
          </cell>
          <cell r="AT2718">
            <v>-0.04</v>
          </cell>
          <cell r="AU2718">
            <v>0.87</v>
          </cell>
          <cell r="AV2718">
            <v>20</v>
          </cell>
          <cell r="AZ2718">
            <v>0.25</v>
          </cell>
          <cell r="BA2718">
            <v>0.25</v>
          </cell>
        </row>
        <row r="2719">
          <cell r="A2719" t="str">
            <v>PORTE E INFISSI EURO METAL</v>
          </cell>
          <cell r="B2719" t="str">
            <v>29/11/22 MANDATA MAIL. CHIEDERE DI IMMA O DI LUIGI</v>
          </cell>
          <cell r="F2719" t="str">
            <v>GIUGLIANO IN CAMPANIA</v>
          </cell>
          <cell r="G2719" t="str">
            <v>NA</v>
          </cell>
          <cell r="H2719" t="str">
            <v>ITALIA</v>
          </cell>
          <cell r="M2719" t="str">
            <v>UFFICIO ACQUISTI</v>
          </cell>
          <cell r="N2719" t="str">
            <v>081 19367033</v>
          </cell>
          <cell r="P2719" t="str">
            <v>alberto@eurometallamiere.it</v>
          </cell>
          <cell r="R2719" t="str">
            <v>BONIFICO BANCARIO, ALLA DATA DELLA NOSTRA CONFERMA D'ORDINE</v>
          </cell>
          <cell r="X2719">
            <v>0.25</v>
          </cell>
          <cell r="Y2719">
            <v>-0.04</v>
          </cell>
          <cell r="AB2719">
            <v>0.25</v>
          </cell>
          <cell r="AC2719">
            <v>0.25</v>
          </cell>
          <cell r="AD2719">
            <v>0.25</v>
          </cell>
          <cell r="AE2719">
            <v>0.25</v>
          </cell>
          <cell r="AF2719">
            <v>0.25</v>
          </cell>
          <cell r="AG2719">
            <v>0.25</v>
          </cell>
          <cell r="AH2719">
            <v>0.25</v>
          </cell>
          <cell r="AI2719">
            <v>0.25</v>
          </cell>
          <cell r="AJ2719">
            <v>0.25</v>
          </cell>
          <cell r="AK2719">
            <v>0.25</v>
          </cell>
          <cell r="AL2719">
            <v>0.25</v>
          </cell>
          <cell r="AM2719">
            <v>0.25</v>
          </cell>
          <cell r="AN2719">
            <v>0.25</v>
          </cell>
          <cell r="AO2719">
            <v>0.25</v>
          </cell>
          <cell r="AP2719">
            <v>0.25</v>
          </cell>
          <cell r="AQ2719">
            <v>0.25</v>
          </cell>
          <cell r="AR2719">
            <v>0.25</v>
          </cell>
          <cell r="AS2719">
            <v>0.25</v>
          </cell>
          <cell r="AT2719">
            <v>-0.04</v>
          </cell>
          <cell r="AU2719">
            <v>0.87</v>
          </cell>
          <cell r="AV2719">
            <v>20</v>
          </cell>
          <cell r="AZ2719">
            <v>0.25</v>
          </cell>
          <cell r="BA2719">
            <v>0.25</v>
          </cell>
        </row>
        <row r="2720">
          <cell r="A2720" t="str">
            <v>FERART SNC</v>
          </cell>
          <cell r="B2720" t="str">
            <v>29/11/22 MANDATA MAIL. 16/01/23 NON ANCORA VISIONATO MAIL. RISPONDE LEI QUANDO CHI SE NE OCCUPA AVRà LETTO</v>
          </cell>
          <cell r="F2720" t="str">
            <v>TORRACA</v>
          </cell>
          <cell r="G2720" t="str">
            <v>SA</v>
          </cell>
          <cell r="H2720" t="str">
            <v>ITALIA</v>
          </cell>
          <cell r="M2720" t="str">
            <v>UFFICIO ACQUISTI</v>
          </cell>
          <cell r="N2720" t="str">
            <v>0973 398320</v>
          </cell>
          <cell r="P2720" t="str">
            <v>ferart2015@gmail.com</v>
          </cell>
          <cell r="R2720" t="str">
            <v>BONIFICO BANCARIO, ALLA DATA DELLA NOSTRA CONFERMA D'ORDINE</v>
          </cell>
          <cell r="X2720">
            <v>0.25</v>
          </cell>
          <cell r="Y2720">
            <v>-0.04</v>
          </cell>
          <cell r="AB2720">
            <v>0.25</v>
          </cell>
          <cell r="AC2720">
            <v>0.25</v>
          </cell>
          <cell r="AD2720">
            <v>0.25</v>
          </cell>
          <cell r="AE2720">
            <v>0.25</v>
          </cell>
          <cell r="AF2720">
            <v>0.25</v>
          </cell>
          <cell r="AG2720">
            <v>0.25</v>
          </cell>
          <cell r="AH2720">
            <v>0.25</v>
          </cell>
          <cell r="AI2720">
            <v>0.25</v>
          </cell>
          <cell r="AJ2720">
            <v>0.25</v>
          </cell>
          <cell r="AK2720">
            <v>0.25</v>
          </cell>
          <cell r="AL2720">
            <v>0.25</v>
          </cell>
          <cell r="AM2720">
            <v>0.25</v>
          </cell>
          <cell r="AN2720">
            <v>0.25</v>
          </cell>
          <cell r="AO2720">
            <v>0.25</v>
          </cell>
          <cell r="AP2720">
            <v>0.25</v>
          </cell>
          <cell r="AQ2720">
            <v>0.25</v>
          </cell>
          <cell r="AR2720">
            <v>0.25</v>
          </cell>
          <cell r="AS2720">
            <v>0.25</v>
          </cell>
          <cell r="AT2720">
            <v>-0.04</v>
          </cell>
          <cell r="AU2720">
            <v>0.87</v>
          </cell>
          <cell r="AV2720">
            <v>20</v>
          </cell>
          <cell r="AZ2720">
            <v>0.25</v>
          </cell>
          <cell r="BA2720">
            <v>0.25</v>
          </cell>
        </row>
        <row r="2721">
          <cell r="A2721" t="str">
            <v>VIPET PORTE E FINESTRE</v>
          </cell>
          <cell r="B2721" t="str">
            <v>29/11/22 MANDATA MAIL. INTERESSATO 16/01/23 NON ANCORA VISIONATA MAIL. RICHIAMARE PIU' AVANTI</v>
          </cell>
          <cell r="F2721" t="str">
            <v>POLICASTRO BUSSENTINO</v>
          </cell>
          <cell r="G2721" t="str">
            <v>SA</v>
          </cell>
          <cell r="H2721" t="str">
            <v>ITALIA</v>
          </cell>
          <cell r="M2721" t="str">
            <v>UFFICIO ACQUISTI</v>
          </cell>
          <cell r="N2721" t="str">
            <v>0974 984366</v>
          </cell>
          <cell r="O2721" t="str">
            <v>331 8895339</v>
          </cell>
          <cell r="P2721" t="str">
            <v>vipetserramenti@gmail.com</v>
          </cell>
          <cell r="R2721" t="str">
            <v>BONIFICO BANCARIO, ALLA DATA DELLA NOSTRA CONFERMA D'ORDINE</v>
          </cell>
          <cell r="X2721">
            <v>0.25</v>
          </cell>
          <cell r="Y2721">
            <v>-0.04</v>
          </cell>
          <cell r="AB2721">
            <v>0.25</v>
          </cell>
          <cell r="AC2721">
            <v>0.25</v>
          </cell>
          <cell r="AD2721">
            <v>0.25</v>
          </cell>
          <cell r="AE2721">
            <v>0.25</v>
          </cell>
          <cell r="AF2721">
            <v>0.25</v>
          </cell>
          <cell r="AG2721">
            <v>0.25</v>
          </cell>
          <cell r="AH2721">
            <v>0.25</v>
          </cell>
          <cell r="AI2721">
            <v>0.25</v>
          </cell>
          <cell r="AJ2721">
            <v>0.25</v>
          </cell>
          <cell r="AK2721">
            <v>0.25</v>
          </cell>
          <cell r="AL2721">
            <v>0.25</v>
          </cell>
          <cell r="AM2721">
            <v>0.25</v>
          </cell>
          <cell r="AN2721">
            <v>0.25</v>
          </cell>
          <cell r="AO2721">
            <v>0.25</v>
          </cell>
          <cell r="AP2721">
            <v>0.25</v>
          </cell>
          <cell r="AQ2721">
            <v>0.25</v>
          </cell>
          <cell r="AR2721">
            <v>0.25</v>
          </cell>
          <cell r="AS2721">
            <v>0.25</v>
          </cell>
          <cell r="AT2721">
            <v>-0.04</v>
          </cell>
          <cell r="AU2721">
            <v>0.87</v>
          </cell>
          <cell r="AV2721">
            <v>20</v>
          </cell>
          <cell r="AZ2721">
            <v>0.25</v>
          </cell>
          <cell r="BA2721">
            <v>0.25</v>
          </cell>
        </row>
        <row r="2722">
          <cell r="A2722" t="str">
            <v>MR INFISSI DI RUBBERA PIETRO</v>
          </cell>
          <cell r="B2722" t="str">
            <v>TRATTANO ACQUASTOP, MA INTERESSATI. 17/01/23 DICE CHE NON HA RICHIESTE. LE PROPONE SEMPRE, SOPRATTUTTO NEI CANTIERI, MA NESSUNO SEMBRA INTERESSATO</v>
          </cell>
          <cell r="F2722" t="str">
            <v>ISPICA</v>
          </cell>
          <cell r="G2722" t="str">
            <v>RG</v>
          </cell>
          <cell r="H2722" t="str">
            <v>ITALIA</v>
          </cell>
          <cell r="M2722" t="str">
            <v>UFFICIO ACQUISTI</v>
          </cell>
          <cell r="N2722" t="str">
            <v>0932 959573</v>
          </cell>
          <cell r="P2722" t="str">
            <v>info.mrinfissi@gmail.com</v>
          </cell>
          <cell r="R2722" t="str">
            <v>BONIFICO BANCARIO, ALLA DATA DELLA NOSTRA CONFERMA D'ORDINE</v>
          </cell>
          <cell r="X2722">
            <v>0.25</v>
          </cell>
          <cell r="Y2722">
            <v>-0.04</v>
          </cell>
          <cell r="AB2722">
            <v>0.25</v>
          </cell>
          <cell r="AC2722">
            <v>0.25</v>
          </cell>
          <cell r="AD2722">
            <v>0.25</v>
          </cell>
          <cell r="AE2722">
            <v>0.25</v>
          </cell>
          <cell r="AF2722">
            <v>0.25</v>
          </cell>
          <cell r="AG2722">
            <v>0.25</v>
          </cell>
          <cell r="AH2722">
            <v>0.25</v>
          </cell>
          <cell r="AI2722">
            <v>0.25</v>
          </cell>
          <cell r="AJ2722">
            <v>0.25</v>
          </cell>
          <cell r="AK2722">
            <v>0.25</v>
          </cell>
          <cell r="AL2722">
            <v>0.25</v>
          </cell>
          <cell r="AM2722">
            <v>0.25</v>
          </cell>
          <cell r="AN2722">
            <v>0.25</v>
          </cell>
          <cell r="AO2722">
            <v>0.25</v>
          </cell>
          <cell r="AP2722">
            <v>0.25</v>
          </cell>
          <cell r="AQ2722">
            <v>0.25</v>
          </cell>
          <cell r="AR2722">
            <v>0.25</v>
          </cell>
          <cell r="AS2722">
            <v>0.25</v>
          </cell>
          <cell r="AT2722">
            <v>-0.04</v>
          </cell>
          <cell r="AU2722">
            <v>0.87</v>
          </cell>
          <cell r="AV2722">
            <v>20</v>
          </cell>
          <cell r="AZ2722">
            <v>0.25</v>
          </cell>
          <cell r="BA2722">
            <v>0.25</v>
          </cell>
        </row>
        <row r="2723">
          <cell r="A2723" t="str">
            <v>RS INFISSI DI SCHEMBRI ROSARIO &amp; C. SNC</v>
          </cell>
          <cell r="B2723" t="str">
            <v>11/01/23 MANDATA MAIL. PROVA A PROPORLO E POI VEDIAMO. RICHIAMARE VERSO MARZO 06/03/23 Visitato da Marco E MANDATE PROPOSTE CLICK E MODERNA</v>
          </cell>
          <cell r="D2723" t="str">
            <v>S.P. PACHINO-NOTO KM. 0,500</v>
          </cell>
          <cell r="E2723" t="str">
            <v>96018</v>
          </cell>
          <cell r="F2723" t="str">
            <v>PACHINO</v>
          </cell>
          <cell r="G2723" t="str">
            <v>SR</v>
          </cell>
          <cell r="H2723" t="str">
            <v>ITALIA</v>
          </cell>
          <cell r="J2723" t="str">
            <v>00762140895</v>
          </cell>
          <cell r="M2723" t="str">
            <v>UFFICIO ACQUISTI</v>
          </cell>
          <cell r="N2723" t="str">
            <v>0931 801955</v>
          </cell>
          <cell r="O2723" t="str">
            <v>338 7232658</v>
          </cell>
          <cell r="P2723" t="str">
            <v>infissi.rs@gmail.com</v>
          </cell>
          <cell r="R2723" t="str">
            <v>BONIFICO BANCARIO, ALLA DATA DELLA NOSTRA CONFERMA D'ORDINE</v>
          </cell>
          <cell r="X2723">
            <v>0.25</v>
          </cell>
          <cell r="Y2723">
            <v>-0.04</v>
          </cell>
          <cell r="AB2723">
            <v>0.25</v>
          </cell>
          <cell r="AC2723">
            <v>0.25</v>
          </cell>
          <cell r="AD2723">
            <v>0.25</v>
          </cell>
          <cell r="AE2723">
            <v>0.25</v>
          </cell>
          <cell r="AF2723">
            <v>0.25</v>
          </cell>
          <cell r="AG2723">
            <v>0.25</v>
          </cell>
          <cell r="AH2723">
            <v>0.25</v>
          </cell>
          <cell r="AI2723">
            <v>0.25</v>
          </cell>
          <cell r="AJ2723">
            <v>0.25</v>
          </cell>
          <cell r="AK2723">
            <v>0.25</v>
          </cell>
          <cell r="AL2723">
            <v>0.25</v>
          </cell>
          <cell r="AM2723">
            <v>0.25</v>
          </cell>
          <cell r="AN2723">
            <v>0.25</v>
          </cell>
          <cell r="AO2723">
            <v>0.25</v>
          </cell>
          <cell r="AP2723">
            <v>0.25</v>
          </cell>
          <cell r="AQ2723">
            <v>0.25</v>
          </cell>
          <cell r="AR2723">
            <v>0.25</v>
          </cell>
          <cell r="AS2723">
            <v>0.25</v>
          </cell>
          <cell r="AT2723">
            <v>-0.04</v>
          </cell>
          <cell r="AU2723">
            <v>0.87</v>
          </cell>
          <cell r="AV2723">
            <v>20</v>
          </cell>
          <cell r="AZ2723">
            <v>0.25</v>
          </cell>
          <cell r="BA2723">
            <v>0.25</v>
          </cell>
        </row>
        <row r="2724">
          <cell r="A2724" t="str">
            <v>INFISSI A TAGLIO TERMICO E RINGHIERE IN ALLUMINIO</v>
          </cell>
          <cell r="B2724" t="str">
            <v>21/11/22 HANNO RICHIESTE. MANDATA MAIL - RICHIAMATI MOLTE VOLTE MA SENZA RISULTATO ALCUNO. CHIAMARE DI POMERIGGIO AL NUMERO 0932 951903 06/03/23 VISITA MARCO. INTERESSATI MA… COME PROCEDERE?</v>
          </cell>
          <cell r="D2724" t="str">
            <v>STATALE 115</v>
          </cell>
          <cell r="E2724" t="str">
            <v>97014</v>
          </cell>
          <cell r="F2724" t="str">
            <v>ISPICA</v>
          </cell>
          <cell r="G2724" t="str">
            <v>RG</v>
          </cell>
          <cell r="H2724" t="str">
            <v>ITALIA</v>
          </cell>
          <cell r="M2724" t="str">
            <v>UFFICIO ACQUISTI</v>
          </cell>
          <cell r="N2724" t="str">
            <v>0932 951903 - 0932 950316</v>
          </cell>
          <cell r="P2724" t="str">
            <v>fratellimonica@gmail.com</v>
          </cell>
          <cell r="R2724" t="str">
            <v>BONIFICO BANCARIO, ALLA DATA DELLA NOSTRA CONFERMA D'ORDINE</v>
          </cell>
          <cell r="X2724">
            <v>0.25</v>
          </cell>
          <cell r="Y2724">
            <v>-0.04</v>
          </cell>
          <cell r="AB2724">
            <v>0.25</v>
          </cell>
          <cell r="AC2724">
            <v>0.25</v>
          </cell>
          <cell r="AD2724">
            <v>0.25</v>
          </cell>
          <cell r="AE2724">
            <v>0.25</v>
          </cell>
          <cell r="AF2724">
            <v>0.25</v>
          </cell>
          <cell r="AG2724">
            <v>0.25</v>
          </cell>
          <cell r="AH2724">
            <v>0.25</v>
          </cell>
          <cell r="AI2724">
            <v>0.25</v>
          </cell>
          <cell r="AJ2724">
            <v>0.25</v>
          </cell>
          <cell r="AK2724">
            <v>0.25</v>
          </cell>
          <cell r="AL2724">
            <v>0.25</v>
          </cell>
          <cell r="AM2724">
            <v>0.25</v>
          </cell>
          <cell r="AN2724">
            <v>0.25</v>
          </cell>
          <cell r="AO2724">
            <v>0.25</v>
          </cell>
          <cell r="AP2724">
            <v>0.25</v>
          </cell>
          <cell r="AQ2724">
            <v>0.25</v>
          </cell>
          <cell r="AR2724">
            <v>0.25</v>
          </cell>
          <cell r="AS2724">
            <v>0.25</v>
          </cell>
          <cell r="AT2724">
            <v>-0.04</v>
          </cell>
          <cell r="AU2724">
            <v>0.87</v>
          </cell>
          <cell r="AV2724">
            <v>20</v>
          </cell>
          <cell r="AZ2724">
            <v>0.25</v>
          </cell>
          <cell r="BA2724">
            <v>0.25</v>
          </cell>
        </row>
        <row r="2725">
          <cell r="A2725" t="str">
            <v>ARTINFERRO DI RUNZA CARMELO</v>
          </cell>
          <cell r="B2725" t="str">
            <v>17/01/23 INTERESSATI. APRONO UN NUOVO SHOWROOM. RICHIAMARE FINE GENNAIO 06/03/23 VISITA MARCO. DICE DI AVERE UN CAPANNONE (SECONDO MARCO NO). SI PENSA ABBIA INSTALLATO BARRIERE PRESE DA CAMMISULI. MANDATA PROPOSTA CAMPIONI</v>
          </cell>
          <cell r="D2725" t="str">
            <v>VIA SANT'ALESSANDRA, 107</v>
          </cell>
          <cell r="E2725" t="str">
            <v>96019</v>
          </cell>
          <cell r="F2725" t="str">
            <v>ROSOLINI</v>
          </cell>
          <cell r="G2725" t="str">
            <v>SR</v>
          </cell>
          <cell r="H2725" t="str">
            <v>ITALIA</v>
          </cell>
          <cell r="J2725" t="str">
            <v>01498500899</v>
          </cell>
          <cell r="M2725" t="str">
            <v>UFFICIO ACQUISTI</v>
          </cell>
          <cell r="O2725" t="str">
            <v>338 6911836</v>
          </cell>
          <cell r="P2725" t="str">
            <v>runza.artinferro@gmail.com</v>
          </cell>
          <cell r="R2725" t="str">
            <v>BONIFICO BANCARIO, ALLA DATA DELLA NOSTRA CONFERMA D'ORDINE</v>
          </cell>
          <cell r="X2725">
            <v>0.25</v>
          </cell>
          <cell r="Y2725">
            <v>-0.04</v>
          </cell>
          <cell r="AB2725">
            <v>0.25</v>
          </cell>
          <cell r="AC2725">
            <v>0.25</v>
          </cell>
          <cell r="AD2725">
            <v>0.25</v>
          </cell>
          <cell r="AE2725">
            <v>0.25</v>
          </cell>
          <cell r="AF2725">
            <v>0.25</v>
          </cell>
          <cell r="AG2725">
            <v>0.25</v>
          </cell>
          <cell r="AH2725">
            <v>0.25</v>
          </cell>
          <cell r="AI2725">
            <v>0.25</v>
          </cell>
          <cell r="AJ2725">
            <v>0.25</v>
          </cell>
          <cell r="AK2725">
            <v>0.25</v>
          </cell>
          <cell r="AL2725">
            <v>0.25</v>
          </cell>
          <cell r="AM2725">
            <v>0.25</v>
          </cell>
          <cell r="AN2725">
            <v>0.25</v>
          </cell>
          <cell r="AO2725">
            <v>0.25</v>
          </cell>
          <cell r="AP2725">
            <v>0.25</v>
          </cell>
          <cell r="AQ2725">
            <v>0.25</v>
          </cell>
          <cell r="AR2725">
            <v>0.25</v>
          </cell>
          <cell r="AS2725">
            <v>0.25</v>
          </cell>
          <cell r="AT2725">
            <v>-0.04</v>
          </cell>
          <cell r="AU2725">
            <v>0.87</v>
          </cell>
          <cell r="AV2725">
            <v>20</v>
          </cell>
          <cell r="AZ2725">
            <v>0.25</v>
          </cell>
          <cell r="BA2725">
            <v>0.25</v>
          </cell>
        </row>
        <row r="2726">
          <cell r="A2726" t="str">
            <v>FALEGNAMERIA LATINO</v>
          </cell>
          <cell r="B2726" t="str">
            <v>28/11/22 MANDATA MAIL</v>
          </cell>
          <cell r="F2726" t="str">
            <v>ROSOLINI</v>
          </cell>
          <cell r="G2726" t="str">
            <v>SR</v>
          </cell>
          <cell r="H2726" t="str">
            <v>ITALIA</v>
          </cell>
          <cell r="M2726" t="str">
            <v>UFFICIO ACQUISTI</v>
          </cell>
          <cell r="O2726" t="str">
            <v xml:space="preserve">339 3776387 </v>
          </cell>
          <cell r="P2726" t="str">
            <v>falegnamerialatino@gmail.com</v>
          </cell>
          <cell r="R2726" t="str">
            <v>BONIFICO BANCARIO, ALLA DATA DELLA NOSTRA CONFERMA D'ORDINE</v>
          </cell>
          <cell r="X2726">
            <v>0.25</v>
          </cell>
          <cell r="Y2726">
            <v>-0.04</v>
          </cell>
          <cell r="AB2726">
            <v>0.25</v>
          </cell>
          <cell r="AC2726">
            <v>0.25</v>
          </cell>
          <cell r="AD2726">
            <v>0.25</v>
          </cell>
          <cell r="AE2726">
            <v>0.25</v>
          </cell>
          <cell r="AF2726">
            <v>0.25</v>
          </cell>
          <cell r="AG2726">
            <v>0.25</v>
          </cell>
          <cell r="AH2726">
            <v>0.25</v>
          </cell>
          <cell r="AI2726">
            <v>0.25</v>
          </cell>
          <cell r="AJ2726">
            <v>0.25</v>
          </cell>
          <cell r="AK2726">
            <v>0.25</v>
          </cell>
          <cell r="AL2726">
            <v>0.25</v>
          </cell>
          <cell r="AM2726">
            <v>0.25</v>
          </cell>
          <cell r="AN2726">
            <v>0.25</v>
          </cell>
          <cell r="AO2726">
            <v>0.25</v>
          </cell>
          <cell r="AP2726">
            <v>0.25</v>
          </cell>
          <cell r="AQ2726">
            <v>0.25</v>
          </cell>
          <cell r="AR2726">
            <v>0.25</v>
          </cell>
          <cell r="AS2726">
            <v>0.25</v>
          </cell>
          <cell r="AT2726">
            <v>-0.04</v>
          </cell>
          <cell r="AU2726">
            <v>0.87</v>
          </cell>
          <cell r="AV2726">
            <v>20</v>
          </cell>
          <cell r="AZ2726">
            <v>0.25</v>
          </cell>
          <cell r="BA2726">
            <v>0.25</v>
          </cell>
        </row>
        <row r="2727">
          <cell r="A2727" t="str">
            <v>GURRIERI ROSARIO</v>
          </cell>
          <cell r="B2727" t="str">
            <v>13/01/23 MANDATA MAIL. SEMBRANO INTERESSATO 06/03/23 VISITA MARCO MA MANDATO VIA DICENDO CHE NON ERA INTERESSATO. CHIAMARE E CAPIRE</v>
          </cell>
          <cell r="D2727" t="str">
            <v>VIA CASSAR SCALIA PAOLO, 135</v>
          </cell>
          <cell r="E2727" t="str">
            <v>69018</v>
          </cell>
          <cell r="F2727" t="str">
            <v>PACHINO</v>
          </cell>
          <cell r="G2727" t="str">
            <v>SR</v>
          </cell>
          <cell r="H2727" t="str">
            <v>ITALIA</v>
          </cell>
          <cell r="M2727" t="str">
            <v>UFFICIO ACQUISTI</v>
          </cell>
          <cell r="N2727" t="str">
            <v>0931 846344</v>
          </cell>
          <cell r="O2727" t="str">
            <v>347 9521975</v>
          </cell>
          <cell r="P2727" t="str">
            <v>dittagurrieri@gmail.com</v>
          </cell>
          <cell r="R2727" t="str">
            <v>BONIFICO BANCARIO, ALLA DATA DELLA NOSTRA CONFERMA D'ORDINE</v>
          </cell>
          <cell r="X2727">
            <v>0.25</v>
          </cell>
          <cell r="Y2727">
            <v>-0.04</v>
          </cell>
          <cell r="AB2727">
            <v>0.25</v>
          </cell>
          <cell r="AC2727">
            <v>0.25</v>
          </cell>
          <cell r="AD2727">
            <v>0.25</v>
          </cell>
          <cell r="AE2727">
            <v>0.25</v>
          </cell>
          <cell r="AF2727">
            <v>0.25</v>
          </cell>
          <cell r="AG2727">
            <v>0.25</v>
          </cell>
          <cell r="AH2727">
            <v>0.25</v>
          </cell>
          <cell r="AI2727">
            <v>0.25</v>
          </cell>
          <cell r="AJ2727">
            <v>0.25</v>
          </cell>
          <cell r="AK2727">
            <v>0.25</v>
          </cell>
          <cell r="AL2727">
            <v>0.25</v>
          </cell>
          <cell r="AM2727">
            <v>0.25</v>
          </cell>
          <cell r="AN2727">
            <v>0.25</v>
          </cell>
          <cell r="AO2727">
            <v>0.25</v>
          </cell>
          <cell r="AP2727">
            <v>0.25</v>
          </cell>
          <cell r="AQ2727">
            <v>0.25</v>
          </cell>
          <cell r="AR2727">
            <v>0.25</v>
          </cell>
          <cell r="AS2727">
            <v>0.25</v>
          </cell>
          <cell r="AT2727">
            <v>-0.04</v>
          </cell>
          <cell r="AU2727">
            <v>0.87</v>
          </cell>
          <cell r="AV2727">
            <v>20</v>
          </cell>
          <cell r="AZ2727">
            <v>0.25</v>
          </cell>
          <cell r="BA2727">
            <v>0.25</v>
          </cell>
        </row>
        <row r="2728">
          <cell r="A2728" t="str">
            <v>FALEGNAMERIA DI SCARSO ANTONINO</v>
          </cell>
          <cell r="B2728" t="str">
            <v>28/11/22 MANDATA MAIL</v>
          </cell>
          <cell r="F2728" t="str">
            <v>ISPICA</v>
          </cell>
          <cell r="G2728" t="str">
            <v>RG</v>
          </cell>
          <cell r="H2728" t="str">
            <v>ITALIA</v>
          </cell>
          <cell r="M2728" t="str">
            <v>UFFICIO ACQUISTI</v>
          </cell>
          <cell r="P2728" t="str">
            <v>ninosca@live.it</v>
          </cell>
          <cell r="R2728" t="str">
            <v>BONIFICO BANCARIO, ALLA DATA DELLA NOSTRA CONFERMA D'ORDINE</v>
          </cell>
          <cell r="X2728">
            <v>0.25</v>
          </cell>
          <cell r="Y2728">
            <v>-0.04</v>
          </cell>
          <cell r="AB2728">
            <v>0.25</v>
          </cell>
          <cell r="AC2728">
            <v>0.25</v>
          </cell>
          <cell r="AD2728">
            <v>0.25</v>
          </cell>
          <cell r="AE2728">
            <v>0.25</v>
          </cell>
          <cell r="AF2728">
            <v>0.25</v>
          </cell>
          <cell r="AG2728">
            <v>0.25</v>
          </cell>
          <cell r="AH2728">
            <v>0.25</v>
          </cell>
          <cell r="AI2728">
            <v>0.25</v>
          </cell>
          <cell r="AJ2728">
            <v>0.25</v>
          </cell>
          <cell r="AK2728">
            <v>0.25</v>
          </cell>
          <cell r="AL2728">
            <v>0.25</v>
          </cell>
          <cell r="AM2728">
            <v>0.25</v>
          </cell>
          <cell r="AN2728">
            <v>0.25</v>
          </cell>
          <cell r="AO2728">
            <v>0.25</v>
          </cell>
          <cell r="AP2728">
            <v>0.25</v>
          </cell>
          <cell r="AQ2728">
            <v>0.25</v>
          </cell>
          <cell r="AR2728">
            <v>0.25</v>
          </cell>
          <cell r="AS2728">
            <v>0.25</v>
          </cell>
          <cell r="AT2728">
            <v>-0.04</v>
          </cell>
          <cell r="AU2728">
            <v>0.87</v>
          </cell>
          <cell r="AV2728">
            <v>20</v>
          </cell>
          <cell r="AZ2728">
            <v>0.25</v>
          </cell>
          <cell r="BA2728">
            <v>0.25</v>
          </cell>
        </row>
        <row r="2729">
          <cell r="A2729" t="str">
            <v>DONZELLO SRL</v>
          </cell>
          <cell r="B2729" t="str">
            <v>13/01/23 NON CONOSCE PRODOTTO E DICE CHE LO USEREBBERO POCO LI. RICHIAMARE</v>
          </cell>
          <cell r="F2729" t="str">
            <v>ISPICA</v>
          </cell>
          <cell r="G2729" t="str">
            <v>RG</v>
          </cell>
          <cell r="H2729" t="str">
            <v>ITALIA</v>
          </cell>
          <cell r="M2729" t="str">
            <v>UFFICIO ACQUISTI</v>
          </cell>
          <cell r="N2729" t="str">
            <v>0932 950166</v>
          </cell>
          <cell r="P2729" t="str">
            <v>donzello52@gmail.com</v>
          </cell>
          <cell r="R2729" t="str">
            <v>BONIFICO BANCARIO, ALLA DATA DELLA NOSTRA CONFERMA D'ORDINE</v>
          </cell>
          <cell r="X2729">
            <v>0.25</v>
          </cell>
          <cell r="Y2729">
            <v>-0.04</v>
          </cell>
          <cell r="AB2729">
            <v>0.25</v>
          </cell>
          <cell r="AC2729">
            <v>0.25</v>
          </cell>
          <cell r="AD2729">
            <v>0.25</v>
          </cell>
          <cell r="AE2729">
            <v>0.25</v>
          </cell>
          <cell r="AF2729">
            <v>0.25</v>
          </cell>
          <cell r="AG2729">
            <v>0.25</v>
          </cell>
          <cell r="AH2729">
            <v>0.25</v>
          </cell>
          <cell r="AI2729">
            <v>0.25</v>
          </cell>
          <cell r="AJ2729">
            <v>0.25</v>
          </cell>
          <cell r="AK2729">
            <v>0.25</v>
          </cell>
          <cell r="AL2729">
            <v>0.25</v>
          </cell>
          <cell r="AM2729">
            <v>0.25</v>
          </cell>
          <cell r="AN2729">
            <v>0.25</v>
          </cell>
          <cell r="AO2729">
            <v>0.25</v>
          </cell>
          <cell r="AP2729">
            <v>0.25</v>
          </cell>
          <cell r="AQ2729">
            <v>0.25</v>
          </cell>
          <cell r="AR2729">
            <v>0.25</v>
          </cell>
          <cell r="AS2729">
            <v>0.25</v>
          </cell>
          <cell r="AT2729">
            <v>-0.04</v>
          </cell>
          <cell r="AU2729">
            <v>0.87</v>
          </cell>
          <cell r="AV2729">
            <v>20</v>
          </cell>
          <cell r="AZ2729">
            <v>0.25</v>
          </cell>
          <cell r="BA2729">
            <v>0.25</v>
          </cell>
        </row>
        <row r="2730">
          <cell r="A2730" t="str">
            <v>DECO INFISSI DI DE CONTE ANTONIO</v>
          </cell>
          <cell r="B2730" t="str">
            <v>16/01/23 MANDATA MAIL. VOGLIONO VISITA</v>
          </cell>
          <cell r="F2730" t="str">
            <v>ROCCADASPIDE</v>
          </cell>
          <cell r="G2730" t="str">
            <v>SA</v>
          </cell>
          <cell r="H2730" t="str">
            <v>ITALIA</v>
          </cell>
          <cell r="M2730" t="str">
            <v>UFFICIO ACQUISTI</v>
          </cell>
          <cell r="O2730" t="str">
            <v>392 9709635</v>
          </cell>
          <cell r="P2730" t="str">
            <v>info@decoinfissi.it</v>
          </cell>
          <cell r="R2730" t="str">
            <v>BONIFICO BANCARIO, ALLA DATA DELLA NOSTRA CONFERMA D'ORDINE</v>
          </cell>
          <cell r="X2730">
            <v>0.25</v>
          </cell>
          <cell r="Y2730">
            <v>-0.04</v>
          </cell>
          <cell r="AB2730">
            <v>0.25</v>
          </cell>
          <cell r="AC2730">
            <v>0.25</v>
          </cell>
          <cell r="AD2730">
            <v>0.25</v>
          </cell>
          <cell r="AE2730">
            <v>0.25</v>
          </cell>
          <cell r="AF2730">
            <v>0.25</v>
          </cell>
          <cell r="AG2730">
            <v>0.25</v>
          </cell>
          <cell r="AH2730">
            <v>0.25</v>
          </cell>
          <cell r="AI2730">
            <v>0.25</v>
          </cell>
          <cell r="AJ2730">
            <v>0.25</v>
          </cell>
          <cell r="AK2730">
            <v>0.25</v>
          </cell>
          <cell r="AL2730">
            <v>0.25</v>
          </cell>
          <cell r="AM2730">
            <v>0.25</v>
          </cell>
          <cell r="AN2730">
            <v>0.25</v>
          </cell>
          <cell r="AO2730">
            <v>0.25</v>
          </cell>
          <cell r="AP2730">
            <v>0.25</v>
          </cell>
          <cell r="AQ2730">
            <v>0.25</v>
          </cell>
          <cell r="AR2730">
            <v>0.25</v>
          </cell>
          <cell r="AS2730">
            <v>0.25</v>
          </cell>
          <cell r="AT2730">
            <v>-0.04</v>
          </cell>
          <cell r="AU2730">
            <v>0.87</v>
          </cell>
          <cell r="AV2730">
            <v>20</v>
          </cell>
          <cell r="AZ2730">
            <v>0.25</v>
          </cell>
          <cell r="BA2730">
            <v>0.25</v>
          </cell>
        </row>
        <row r="2731">
          <cell r="A2731" t="str">
            <v>COA SERRAMENTI SRL</v>
          </cell>
          <cell r="B2731" t="str">
            <v>16/01/23 RICHIAMARE A META' FEBBRAIO. E' A MILANO PER FINIRE UN LAVORO LUNGO</v>
          </cell>
          <cell r="F2731" t="str">
            <v>PONTE BARIZZO</v>
          </cell>
          <cell r="G2731" t="str">
            <v>SA</v>
          </cell>
          <cell r="H2731" t="str">
            <v>ITALIA</v>
          </cell>
          <cell r="M2731" t="str">
            <v>UFFICIO ACQUISTI</v>
          </cell>
          <cell r="O2731" t="str">
            <v>331 7339776</v>
          </cell>
          <cell r="P2731" t="str">
            <v>coaserrametni@gmail.com</v>
          </cell>
          <cell r="R2731" t="str">
            <v>BONIFICO BANCARIO, ALLA DATA DELLA NOSTRA CONFERMA D'ORDINE</v>
          </cell>
          <cell r="X2731">
            <v>0.25</v>
          </cell>
          <cell r="Y2731">
            <v>-0.04</v>
          </cell>
          <cell r="AB2731">
            <v>0.25</v>
          </cell>
          <cell r="AC2731">
            <v>0.25</v>
          </cell>
          <cell r="AD2731">
            <v>0.25</v>
          </cell>
          <cell r="AE2731">
            <v>0.25</v>
          </cell>
          <cell r="AF2731">
            <v>0.25</v>
          </cell>
          <cell r="AG2731">
            <v>0.25</v>
          </cell>
          <cell r="AH2731">
            <v>0.25</v>
          </cell>
          <cell r="AI2731">
            <v>0.25</v>
          </cell>
          <cell r="AJ2731">
            <v>0.25</v>
          </cell>
          <cell r="AK2731">
            <v>0.25</v>
          </cell>
          <cell r="AL2731">
            <v>0.25</v>
          </cell>
          <cell r="AM2731">
            <v>0.25</v>
          </cell>
          <cell r="AN2731">
            <v>0.25</v>
          </cell>
          <cell r="AO2731">
            <v>0.25</v>
          </cell>
          <cell r="AP2731">
            <v>0.25</v>
          </cell>
          <cell r="AQ2731">
            <v>0.25</v>
          </cell>
          <cell r="AR2731">
            <v>0.25</v>
          </cell>
          <cell r="AS2731">
            <v>0.25</v>
          </cell>
          <cell r="AT2731">
            <v>-0.04</v>
          </cell>
          <cell r="AU2731">
            <v>0.87</v>
          </cell>
          <cell r="AV2731">
            <v>20</v>
          </cell>
          <cell r="AZ2731">
            <v>0.25</v>
          </cell>
          <cell r="BA2731">
            <v>0.25</v>
          </cell>
        </row>
        <row r="2732">
          <cell r="A2732" t="str">
            <v>PANZALDOMUS SNC</v>
          </cell>
          <cell r="B2732" t="str">
            <v>25/11/22 INTERESSATO - RICHIAMATO DIVERSE VOLTE MA MAI RIUSCITA A PARLARE</v>
          </cell>
          <cell r="F2732" t="str">
            <v>CONTRONE</v>
          </cell>
          <cell r="G2732" t="str">
            <v>SA</v>
          </cell>
          <cell r="H2732" t="str">
            <v>ITALIA</v>
          </cell>
          <cell r="M2732" t="str">
            <v>UFFICIO ACQUISTI</v>
          </cell>
          <cell r="N2732" t="str">
            <v>0828 772210</v>
          </cell>
          <cell r="P2732" t="str">
            <v>donato@panzaldomus.it</v>
          </cell>
          <cell r="R2732" t="str">
            <v>BONIFICO BANCARIO, ALLA DATA DELLA NOSTRA CONFERMA D'ORDINE</v>
          </cell>
          <cell r="X2732">
            <v>0.25</v>
          </cell>
          <cell r="Y2732">
            <v>-0.04</v>
          </cell>
          <cell r="AB2732">
            <v>0.25</v>
          </cell>
          <cell r="AC2732">
            <v>0.25</v>
          </cell>
          <cell r="AD2732">
            <v>0.25</v>
          </cell>
          <cell r="AE2732">
            <v>0.25</v>
          </cell>
          <cell r="AF2732">
            <v>0.25</v>
          </cell>
          <cell r="AG2732">
            <v>0.25</v>
          </cell>
          <cell r="AH2732">
            <v>0.25</v>
          </cell>
          <cell r="AI2732">
            <v>0.25</v>
          </cell>
          <cell r="AJ2732">
            <v>0.25</v>
          </cell>
          <cell r="AK2732">
            <v>0.25</v>
          </cell>
          <cell r="AL2732">
            <v>0.25</v>
          </cell>
          <cell r="AM2732">
            <v>0.25</v>
          </cell>
          <cell r="AN2732">
            <v>0.25</v>
          </cell>
          <cell r="AO2732">
            <v>0.25</v>
          </cell>
          <cell r="AP2732">
            <v>0.25</v>
          </cell>
          <cell r="AQ2732">
            <v>0.25</v>
          </cell>
          <cell r="AR2732">
            <v>0.25</v>
          </cell>
          <cell r="AS2732">
            <v>0.25</v>
          </cell>
          <cell r="AT2732">
            <v>-0.04</v>
          </cell>
          <cell r="AU2732">
            <v>0.87</v>
          </cell>
          <cell r="AV2732">
            <v>20</v>
          </cell>
          <cell r="AZ2732">
            <v>0.25</v>
          </cell>
          <cell r="BA2732">
            <v>0.25</v>
          </cell>
        </row>
        <row r="2733">
          <cell r="A2733" t="str">
            <v>NPL INFISSI SRLS</v>
          </cell>
          <cell r="B2733" t="str">
            <v>NON INTERESSATI - MANDATA MAIL</v>
          </cell>
          <cell r="F2733" t="str">
            <v>EBOLI</v>
          </cell>
          <cell r="G2733" t="str">
            <v>SA</v>
          </cell>
          <cell r="H2733" t="str">
            <v>ITALIA</v>
          </cell>
          <cell r="M2733" t="str">
            <v>UFFICIO ACQUISTI</v>
          </cell>
          <cell r="P2733" t="str">
            <v>nplinfissisrls@gmail.com</v>
          </cell>
          <cell r="R2733" t="str">
            <v>BONIFICO BANCARIO, ALLA DATA DELLA NOSTRA CONFERMA D'ORDINE</v>
          </cell>
          <cell r="X2733">
            <v>0.25</v>
          </cell>
          <cell r="Y2733">
            <v>-0.04</v>
          </cell>
          <cell r="AB2733">
            <v>0.25</v>
          </cell>
          <cell r="AC2733">
            <v>0.25</v>
          </cell>
          <cell r="AD2733">
            <v>0.25</v>
          </cell>
          <cell r="AE2733">
            <v>0.25</v>
          </cell>
          <cell r="AF2733">
            <v>0.25</v>
          </cell>
          <cell r="AG2733">
            <v>0.25</v>
          </cell>
          <cell r="AH2733">
            <v>0.25</v>
          </cell>
          <cell r="AI2733">
            <v>0.25</v>
          </cell>
          <cell r="AJ2733">
            <v>0.25</v>
          </cell>
          <cell r="AK2733">
            <v>0.25</v>
          </cell>
          <cell r="AL2733">
            <v>0.25</v>
          </cell>
          <cell r="AM2733">
            <v>0.25</v>
          </cell>
          <cell r="AN2733">
            <v>0.25</v>
          </cell>
          <cell r="AO2733">
            <v>0.25</v>
          </cell>
          <cell r="AP2733">
            <v>0.25</v>
          </cell>
          <cell r="AQ2733">
            <v>0.25</v>
          </cell>
          <cell r="AR2733">
            <v>0.25</v>
          </cell>
          <cell r="AS2733">
            <v>0.25</v>
          </cell>
          <cell r="AT2733">
            <v>-0.04</v>
          </cell>
          <cell r="AU2733">
            <v>0.87</v>
          </cell>
          <cell r="AV2733">
            <v>20</v>
          </cell>
          <cell r="AZ2733">
            <v>0.25</v>
          </cell>
          <cell r="BA2733">
            <v>0.25</v>
          </cell>
        </row>
        <row r="2734">
          <cell r="A2734" t="str">
            <v>METALSELE SERRAMENTI</v>
          </cell>
          <cell r="B2734" t="str">
            <v>NO RICHIESTE - MANDATA MAIL</v>
          </cell>
          <cell r="F2734" t="str">
            <v>CAPACCIO PAESTUM</v>
          </cell>
          <cell r="G2734" t="str">
            <v>SA</v>
          </cell>
          <cell r="H2734" t="str">
            <v>ITALIA</v>
          </cell>
          <cell r="M2734" t="str">
            <v>UFFICIO ACQUISTI</v>
          </cell>
          <cell r="N2734" t="str">
            <v>349 6074996</v>
          </cell>
          <cell r="O2734" t="str">
            <v>351 0560988 - FRANCESCO</v>
          </cell>
          <cell r="P2734" t="str">
            <v>dacosrls21@gmail.com</v>
          </cell>
          <cell r="R2734" t="str">
            <v>BONIFICO BANCARIO, ALLA DATA DELLA NOSTRA CONFERMA D'ORDINE</v>
          </cell>
          <cell r="X2734">
            <v>0.25</v>
          </cell>
          <cell r="Y2734">
            <v>-0.04</v>
          </cell>
          <cell r="AB2734">
            <v>0.25</v>
          </cell>
          <cell r="AC2734">
            <v>0.25</v>
          </cell>
          <cell r="AD2734">
            <v>0.25</v>
          </cell>
          <cell r="AE2734">
            <v>0.25</v>
          </cell>
          <cell r="AF2734">
            <v>0.25</v>
          </cell>
          <cell r="AG2734">
            <v>0.25</v>
          </cell>
          <cell r="AH2734">
            <v>0.25</v>
          </cell>
          <cell r="AI2734">
            <v>0.25</v>
          </cell>
          <cell r="AJ2734">
            <v>0.25</v>
          </cell>
          <cell r="AK2734">
            <v>0.25</v>
          </cell>
          <cell r="AL2734">
            <v>0.25</v>
          </cell>
          <cell r="AM2734">
            <v>0.25</v>
          </cell>
          <cell r="AN2734">
            <v>0.25</v>
          </cell>
          <cell r="AO2734">
            <v>0.25</v>
          </cell>
          <cell r="AP2734">
            <v>0.25</v>
          </cell>
          <cell r="AQ2734">
            <v>0.25</v>
          </cell>
          <cell r="AR2734">
            <v>0.25</v>
          </cell>
          <cell r="AS2734">
            <v>0.25</v>
          </cell>
          <cell r="AT2734">
            <v>-0.04</v>
          </cell>
          <cell r="AU2734">
            <v>0.87</v>
          </cell>
          <cell r="AV2734">
            <v>20</v>
          </cell>
          <cell r="AZ2734">
            <v>0.25</v>
          </cell>
          <cell r="BA2734">
            <v>0.25</v>
          </cell>
        </row>
        <row r="2735">
          <cell r="A2735" t="str">
            <v>CO.ALL.FER. SNC D A. COCOZZA E F.LLI</v>
          </cell>
          <cell r="B2735" t="str">
            <v xml:space="preserve">16/01/23 CHIAMARE A FINE MESE. DICE CHE HA AVUTO PROBLEMI FAMILIARI ED è RIENTRATO A LAVORARE ADESSO. </v>
          </cell>
          <cell r="F2735" t="str">
            <v>AGROPOLI</v>
          </cell>
          <cell r="G2735" t="str">
            <v>SA</v>
          </cell>
          <cell r="H2735" t="str">
            <v>ITALIA</v>
          </cell>
          <cell r="M2735" t="str">
            <v>UFFICIO ACQUISTI</v>
          </cell>
          <cell r="N2735" t="str">
            <v>0974 823326</v>
          </cell>
          <cell r="O2735" t="str">
            <v>335 6482398</v>
          </cell>
          <cell r="P2735" t="str">
            <v>coallfersnc@gmail.com</v>
          </cell>
          <cell r="R2735" t="str">
            <v>BONIFICO BANCARIO, ALLA DATA DELLA NOSTRA CONFERMA D'ORDINE</v>
          </cell>
          <cell r="X2735">
            <v>0.25</v>
          </cell>
          <cell r="Y2735">
            <v>-0.04</v>
          </cell>
          <cell r="AB2735">
            <v>0.25</v>
          </cell>
          <cell r="AC2735">
            <v>0.25</v>
          </cell>
          <cell r="AD2735">
            <v>0.25</v>
          </cell>
          <cell r="AE2735">
            <v>0.25</v>
          </cell>
          <cell r="AF2735">
            <v>0.25</v>
          </cell>
          <cell r="AG2735">
            <v>0.25</v>
          </cell>
          <cell r="AH2735">
            <v>0.25</v>
          </cell>
          <cell r="AI2735">
            <v>0.25</v>
          </cell>
          <cell r="AJ2735">
            <v>0.25</v>
          </cell>
          <cell r="AK2735">
            <v>0.25</v>
          </cell>
          <cell r="AL2735">
            <v>0.25</v>
          </cell>
          <cell r="AM2735">
            <v>0.25</v>
          </cell>
          <cell r="AN2735">
            <v>0.25</v>
          </cell>
          <cell r="AO2735">
            <v>0.25</v>
          </cell>
          <cell r="AP2735">
            <v>0.25</v>
          </cell>
          <cell r="AQ2735">
            <v>0.25</v>
          </cell>
          <cell r="AR2735">
            <v>0.25</v>
          </cell>
          <cell r="AS2735">
            <v>0.25</v>
          </cell>
          <cell r="AT2735">
            <v>-0.04</v>
          </cell>
          <cell r="AU2735">
            <v>0.87</v>
          </cell>
          <cell r="AV2735">
            <v>20</v>
          </cell>
          <cell r="AZ2735">
            <v>0.25</v>
          </cell>
          <cell r="BA2735">
            <v>0.25</v>
          </cell>
        </row>
        <row r="2736">
          <cell r="A2736" t="str">
            <v>TECNOINFISSI DI PERRIELLO CLAUDIO</v>
          </cell>
          <cell r="B2736" t="str">
            <v>25/11/22 MANDATA MAIL</v>
          </cell>
          <cell r="G2736" t="str">
            <v>SA</v>
          </cell>
          <cell r="H2736" t="str">
            <v>ITALIA</v>
          </cell>
          <cell r="M2736" t="str">
            <v>UFFICIO ACQUISTI</v>
          </cell>
          <cell r="O2736" t="str">
            <v>338 4129266</v>
          </cell>
          <cell r="P2736" t="str">
            <v>claudioperriello@gmail.com</v>
          </cell>
          <cell r="R2736" t="str">
            <v>BONIFICO BANCARIO, ALLA DATA DELLA NOSTRA CONFERMA D'ORDINE</v>
          </cell>
          <cell r="X2736">
            <v>0.25</v>
          </cell>
          <cell r="Y2736">
            <v>-0.04</v>
          </cell>
          <cell r="AB2736">
            <v>0.25</v>
          </cell>
          <cell r="AC2736">
            <v>0.25</v>
          </cell>
          <cell r="AD2736">
            <v>0.25</v>
          </cell>
          <cell r="AE2736">
            <v>0.25</v>
          </cell>
          <cell r="AF2736">
            <v>0.25</v>
          </cell>
          <cell r="AG2736">
            <v>0.25</v>
          </cell>
          <cell r="AH2736">
            <v>0.25</v>
          </cell>
          <cell r="AI2736">
            <v>0.25</v>
          </cell>
          <cell r="AJ2736">
            <v>0.25</v>
          </cell>
          <cell r="AK2736">
            <v>0.25</v>
          </cell>
          <cell r="AL2736">
            <v>0.25</v>
          </cell>
          <cell r="AM2736">
            <v>0.25</v>
          </cell>
          <cell r="AN2736">
            <v>0.25</v>
          </cell>
          <cell r="AO2736">
            <v>0.25</v>
          </cell>
          <cell r="AP2736">
            <v>0.25</v>
          </cell>
          <cell r="AQ2736">
            <v>0.25</v>
          </cell>
          <cell r="AR2736">
            <v>0.25</v>
          </cell>
          <cell r="AS2736">
            <v>0.25</v>
          </cell>
          <cell r="AT2736">
            <v>-0.04</v>
          </cell>
          <cell r="AU2736">
            <v>0.87</v>
          </cell>
          <cell r="AV2736">
            <v>20</v>
          </cell>
          <cell r="AZ2736">
            <v>0.25</v>
          </cell>
          <cell r="BA2736">
            <v>0.25</v>
          </cell>
        </row>
        <row r="2737">
          <cell r="A2737" t="str">
            <v>ALBA INFISSI</v>
          </cell>
          <cell r="B2737" t="str">
            <v>01/12/22 MANDATA MAIL - SEMBRANO INTERESSATI</v>
          </cell>
          <cell r="G2737" t="str">
            <v>SA</v>
          </cell>
          <cell r="H2737" t="str">
            <v>ITALIA</v>
          </cell>
          <cell r="M2737" t="str">
            <v>UFFICIO ACQUISTI</v>
          </cell>
          <cell r="O2737" t="str">
            <v>371 3523501</v>
          </cell>
          <cell r="P2737" t="str">
            <v>serramenti.costrugen2020@gmail.com</v>
          </cell>
          <cell r="R2737" t="str">
            <v>BONIFICO BANCARIO, ALLA DATA DELLA NOSTRA CONFERMA D'ORDINE</v>
          </cell>
          <cell r="X2737">
            <v>0.25</v>
          </cell>
          <cell r="Y2737">
            <v>-0.04</v>
          </cell>
          <cell r="AB2737">
            <v>0.25</v>
          </cell>
          <cell r="AC2737">
            <v>0.25</v>
          </cell>
          <cell r="AD2737">
            <v>0.25</v>
          </cell>
          <cell r="AE2737">
            <v>0.25</v>
          </cell>
          <cell r="AF2737">
            <v>0.25</v>
          </cell>
          <cell r="AG2737">
            <v>0.25</v>
          </cell>
          <cell r="AH2737">
            <v>0.25</v>
          </cell>
          <cell r="AI2737">
            <v>0.25</v>
          </cell>
          <cell r="AJ2737">
            <v>0.25</v>
          </cell>
          <cell r="AK2737">
            <v>0.25</v>
          </cell>
          <cell r="AL2737">
            <v>0.25</v>
          </cell>
          <cell r="AM2737">
            <v>0.25</v>
          </cell>
          <cell r="AN2737">
            <v>0.25</v>
          </cell>
          <cell r="AO2737">
            <v>0.25</v>
          </cell>
          <cell r="AP2737">
            <v>0.25</v>
          </cell>
          <cell r="AQ2737">
            <v>0.25</v>
          </cell>
          <cell r="AR2737">
            <v>0.25</v>
          </cell>
          <cell r="AS2737">
            <v>0.25</v>
          </cell>
          <cell r="AT2737">
            <v>-0.04</v>
          </cell>
          <cell r="AU2737">
            <v>0.87</v>
          </cell>
          <cell r="AV2737">
            <v>20</v>
          </cell>
          <cell r="AZ2737">
            <v>0.25</v>
          </cell>
          <cell r="BA2737">
            <v>0.25</v>
          </cell>
        </row>
        <row r="2738">
          <cell r="A2738" t="str">
            <v>VILLECCO SRL PORTE&amp;FINESTRE</v>
          </cell>
          <cell r="B2738" t="str">
            <v>25/11/22 MANDATA MAIL - NO INTERESSATI</v>
          </cell>
          <cell r="G2738" t="str">
            <v>SA</v>
          </cell>
          <cell r="H2738" t="str">
            <v>ITALIA</v>
          </cell>
          <cell r="M2738" t="str">
            <v>UFFICIO ACQUISTI</v>
          </cell>
          <cell r="O2738" t="str">
            <v>392 7785253</v>
          </cell>
          <cell r="P2738" t="str">
            <v>info@villecco.it</v>
          </cell>
          <cell r="R2738" t="str">
            <v>BONIFICO BANCARIO, ALLA DATA DELLA NOSTRA CONFERMA D'ORDINE</v>
          </cell>
          <cell r="X2738">
            <v>0.25</v>
          </cell>
          <cell r="Y2738">
            <v>-0.04</v>
          </cell>
          <cell r="AB2738">
            <v>0.25</v>
          </cell>
          <cell r="AC2738">
            <v>0.25</v>
          </cell>
          <cell r="AD2738">
            <v>0.25</v>
          </cell>
          <cell r="AE2738">
            <v>0.25</v>
          </cell>
          <cell r="AF2738">
            <v>0.25</v>
          </cell>
          <cell r="AG2738">
            <v>0.25</v>
          </cell>
          <cell r="AH2738">
            <v>0.25</v>
          </cell>
          <cell r="AI2738">
            <v>0.25</v>
          </cell>
          <cell r="AJ2738">
            <v>0.25</v>
          </cell>
          <cell r="AK2738">
            <v>0.25</v>
          </cell>
          <cell r="AL2738">
            <v>0.25</v>
          </cell>
          <cell r="AM2738">
            <v>0.25</v>
          </cell>
          <cell r="AN2738">
            <v>0.25</v>
          </cell>
          <cell r="AO2738">
            <v>0.25</v>
          </cell>
          <cell r="AP2738">
            <v>0.25</v>
          </cell>
          <cell r="AQ2738">
            <v>0.25</v>
          </cell>
          <cell r="AR2738">
            <v>0.25</v>
          </cell>
          <cell r="AS2738">
            <v>0.25</v>
          </cell>
          <cell r="AT2738">
            <v>-0.04</v>
          </cell>
          <cell r="AU2738">
            <v>0.87</v>
          </cell>
          <cell r="AV2738">
            <v>20</v>
          </cell>
          <cell r="AZ2738">
            <v>0.25</v>
          </cell>
          <cell r="BA2738">
            <v>0.25</v>
          </cell>
        </row>
        <row r="2739">
          <cell r="A2739" t="str">
            <v xml:space="preserve">INFISSI PESCARA </v>
          </cell>
          <cell r="B2739" t="str">
            <v xml:space="preserve">27/01/23 CONOSCE E TRATTA GIA' TRITONE. VISITA MARCO - SEMBRA INTERESSATO MA CI DEVE PENSARE 22/02/23 VISITA MARCO. OTTIMO PRODOTTO! VOGLIONO FARE PUBBLICITA' PER VEDERE LA RISPOSTA E POI CASOMAI PROCEDERE. GLI HO SPIEGATO CHE NON SI PUO' UTILIZZARE MARCHIO SENZA DIVENTARE RIVENDITORE </v>
          </cell>
          <cell r="F2739" t="str">
            <v>SPOLTORE</v>
          </cell>
          <cell r="G2739" t="str">
            <v>PE</v>
          </cell>
          <cell r="H2739" t="str">
            <v>ITALIA</v>
          </cell>
          <cell r="M2739" t="str">
            <v>UFFICIO ACQUISTI</v>
          </cell>
          <cell r="O2739" t="str">
            <v>349 6186034</v>
          </cell>
          <cell r="P2739" t="str">
            <v>info@refrainfissi.it</v>
          </cell>
          <cell r="R2739" t="str">
            <v>BONIFICO BANCARIO, ALLA DATA DELLA NOSTRA CONFERMA D'ORDINE</v>
          </cell>
          <cell r="X2739">
            <v>0.25</v>
          </cell>
          <cell r="Y2739">
            <v>-0.04</v>
          </cell>
          <cell r="AB2739">
            <v>0.25</v>
          </cell>
          <cell r="AC2739">
            <v>0.25</v>
          </cell>
          <cell r="AD2739">
            <v>0.25</v>
          </cell>
          <cell r="AE2739">
            <v>0.25</v>
          </cell>
          <cell r="AF2739">
            <v>0.25</v>
          </cell>
          <cell r="AG2739">
            <v>0.25</v>
          </cell>
          <cell r="AH2739">
            <v>0.25</v>
          </cell>
          <cell r="AI2739">
            <v>0.25</v>
          </cell>
          <cell r="AJ2739">
            <v>0.25</v>
          </cell>
          <cell r="AK2739">
            <v>0.25</v>
          </cell>
          <cell r="AL2739">
            <v>0.25</v>
          </cell>
          <cell r="AM2739">
            <v>0.25</v>
          </cell>
          <cell r="AN2739">
            <v>0.25</v>
          </cell>
          <cell r="AO2739">
            <v>0.25</v>
          </cell>
          <cell r="AP2739">
            <v>0.25</v>
          </cell>
          <cell r="AQ2739">
            <v>0.25</v>
          </cell>
          <cell r="AR2739">
            <v>0.25</v>
          </cell>
          <cell r="AS2739">
            <v>0.25</v>
          </cell>
          <cell r="AT2739">
            <v>-0.04</v>
          </cell>
          <cell r="AU2739">
            <v>0.87</v>
          </cell>
          <cell r="AV2739">
            <v>20</v>
          </cell>
          <cell r="AZ2739">
            <v>0.25</v>
          </cell>
          <cell r="BA2739">
            <v>0.25</v>
          </cell>
        </row>
        <row r="2740">
          <cell r="A2740" t="str">
            <v>SURRICCHIO INFISSI</v>
          </cell>
          <cell r="B2740" t="str">
            <v>27/01/23 VISITA DA MARCO. LAVORAVA CON TRITONE ANNI FA. INTERESSATO MA POCO TEMPO DA DEDICARE</v>
          </cell>
          <cell r="D2740" t="str">
            <v>VIA PO, 10</v>
          </cell>
          <cell r="F2740" t="str">
            <v>SAN GIOVANNI TEATINO</v>
          </cell>
          <cell r="G2740" t="str">
            <v>CH</v>
          </cell>
          <cell r="H2740" t="str">
            <v>ITALIA</v>
          </cell>
          <cell r="M2740" t="str">
            <v>UFFICIO ACQUISTI</v>
          </cell>
          <cell r="O2740" t="str">
            <v>393 6629141</v>
          </cell>
          <cell r="P2740" t="str">
            <v>infissisurricchio@gmail.com</v>
          </cell>
          <cell r="R2740" t="str">
            <v>BONIFICO BANCARIO, ALLA DATA DELLA NOSTRA CONFERMA D'ORDINE</v>
          </cell>
          <cell r="X2740">
            <v>0.25</v>
          </cell>
          <cell r="Y2740">
            <v>-0.04</v>
          </cell>
          <cell r="AB2740">
            <v>0.25</v>
          </cell>
          <cell r="AC2740">
            <v>0.25</v>
          </cell>
          <cell r="AD2740">
            <v>0.25</v>
          </cell>
          <cell r="AE2740">
            <v>0.25</v>
          </cell>
          <cell r="AF2740">
            <v>0.25</v>
          </cell>
          <cell r="AG2740">
            <v>0.25</v>
          </cell>
          <cell r="AH2740">
            <v>0.25</v>
          </cell>
          <cell r="AI2740">
            <v>0.25</v>
          </cell>
          <cell r="AJ2740">
            <v>0.25</v>
          </cell>
          <cell r="AK2740">
            <v>0.25</v>
          </cell>
          <cell r="AL2740">
            <v>0.25</v>
          </cell>
          <cell r="AM2740">
            <v>0.25</v>
          </cell>
          <cell r="AN2740">
            <v>0.25</v>
          </cell>
          <cell r="AO2740">
            <v>0.25</v>
          </cell>
          <cell r="AP2740">
            <v>0.25</v>
          </cell>
          <cell r="AQ2740">
            <v>0.25</v>
          </cell>
          <cell r="AR2740">
            <v>0.25</v>
          </cell>
          <cell r="AS2740">
            <v>0.25</v>
          </cell>
          <cell r="AT2740">
            <v>-0.04</v>
          </cell>
          <cell r="AU2740">
            <v>0.87</v>
          </cell>
          <cell r="AV2740">
            <v>20</v>
          </cell>
          <cell r="AZ2740">
            <v>0.25</v>
          </cell>
          <cell r="BA2740">
            <v>0.25</v>
          </cell>
        </row>
        <row r="2741">
          <cell r="A2741" t="str">
            <v>BERNOCCHI INFISSI</v>
          </cell>
          <cell r="B2741" t="str">
            <v>27/01/23 VISITA MARCO. DA CONVINCERE. DICE CHE NELLA SUA ZONA NON C'E' NECESSITA' MA CHE IL PRODOTTO E' INTERESSANTE.  DOPO VISITA DICE CHE NON E' IL SUO CORE BUSINESS MA IN CASO DI RICHIESTE CI TIENE PRESENTI</v>
          </cell>
          <cell r="F2741" t="str">
            <v>FONDO VALLE ALENTO</v>
          </cell>
          <cell r="G2741" t="str">
            <v>CH</v>
          </cell>
          <cell r="H2741" t="str">
            <v>ITALIA</v>
          </cell>
          <cell r="M2741" t="str">
            <v>UFFICIO ACQUISTI</v>
          </cell>
          <cell r="O2741" t="str">
            <v>348 5246285</v>
          </cell>
          <cell r="P2741" t="str">
            <v>lucacoccia@bernocchiinfissi.it</v>
          </cell>
          <cell r="R2741" t="str">
            <v>BONIFICO BANCARIO, ALLA DATA DELLA NOSTRA CONFERMA D'ORDINE</v>
          </cell>
          <cell r="X2741">
            <v>0.25</v>
          </cell>
          <cell r="Y2741">
            <v>-0.04</v>
          </cell>
          <cell r="AB2741">
            <v>0.25</v>
          </cell>
          <cell r="AC2741">
            <v>0.25</v>
          </cell>
          <cell r="AD2741">
            <v>0.25</v>
          </cell>
          <cell r="AE2741">
            <v>0.25</v>
          </cell>
          <cell r="AF2741">
            <v>0.25</v>
          </cell>
          <cell r="AG2741">
            <v>0.25</v>
          </cell>
          <cell r="AH2741">
            <v>0.25</v>
          </cell>
          <cell r="AI2741">
            <v>0.25</v>
          </cell>
          <cell r="AJ2741">
            <v>0.25</v>
          </cell>
          <cell r="AK2741">
            <v>0.25</v>
          </cell>
          <cell r="AL2741">
            <v>0.25</v>
          </cell>
          <cell r="AM2741">
            <v>0.25</v>
          </cell>
          <cell r="AN2741">
            <v>0.25</v>
          </cell>
          <cell r="AO2741">
            <v>0.25</v>
          </cell>
          <cell r="AP2741">
            <v>0.25</v>
          </cell>
          <cell r="AQ2741">
            <v>0.25</v>
          </cell>
          <cell r="AR2741">
            <v>0.25</v>
          </cell>
          <cell r="AS2741">
            <v>0.25</v>
          </cell>
          <cell r="AT2741">
            <v>-0.04</v>
          </cell>
          <cell r="AU2741">
            <v>0.87</v>
          </cell>
          <cell r="AV2741">
            <v>20</v>
          </cell>
          <cell r="AZ2741">
            <v>0.25</v>
          </cell>
          <cell r="BA2741">
            <v>0.25</v>
          </cell>
        </row>
        <row r="2742">
          <cell r="A2742" t="str">
            <v>MINGUCCI</v>
          </cell>
          <cell r="B2742" t="str">
            <v>07/02/2023 POCHISSIMA RICHIESTA (DUE ALL'ANNO). SI APPOGGIANO A RIVENDITORE LOCALE. MAIL</v>
          </cell>
          <cell r="F2742" t="str">
            <v>GENOVA</v>
          </cell>
          <cell r="G2742" t="str">
            <v>GE</v>
          </cell>
          <cell r="H2742" t="str">
            <v>ITALIA</v>
          </cell>
          <cell r="M2742" t="str">
            <v>UFFICIO ACQUISTI</v>
          </cell>
          <cell r="N2742" t="str">
            <v>010 6512704</v>
          </cell>
          <cell r="P2742" t="str">
            <v>d.pinelli@mingucci.it</v>
          </cell>
          <cell r="R2742" t="str">
            <v>BONIFICO BANCARIO, ALLA DATA DELLA NOSTRA CONFERMA D'ORDINE</v>
          </cell>
          <cell r="X2742">
            <v>0.25</v>
          </cell>
          <cell r="Y2742">
            <v>-0.04</v>
          </cell>
          <cell r="AB2742">
            <v>0.25</v>
          </cell>
          <cell r="AC2742">
            <v>0.25</v>
          </cell>
          <cell r="AD2742">
            <v>0.25</v>
          </cell>
          <cell r="AE2742">
            <v>0.25</v>
          </cell>
          <cell r="AF2742">
            <v>0.25</v>
          </cell>
          <cell r="AG2742">
            <v>0.25</v>
          </cell>
          <cell r="AH2742">
            <v>0.25</v>
          </cell>
          <cell r="AI2742">
            <v>0.25</v>
          </cell>
          <cell r="AJ2742">
            <v>0.25</v>
          </cell>
          <cell r="AK2742">
            <v>0.25</v>
          </cell>
          <cell r="AL2742">
            <v>0.25</v>
          </cell>
          <cell r="AM2742">
            <v>0.25</v>
          </cell>
          <cell r="AN2742">
            <v>0.25</v>
          </cell>
          <cell r="AO2742">
            <v>0.25</v>
          </cell>
          <cell r="AP2742">
            <v>0.25</v>
          </cell>
          <cell r="AQ2742">
            <v>0.25</v>
          </cell>
          <cell r="AR2742">
            <v>0.25</v>
          </cell>
          <cell r="AS2742">
            <v>0.25</v>
          </cell>
          <cell r="AT2742">
            <v>-0.04</v>
          </cell>
          <cell r="AU2742">
            <v>0.87</v>
          </cell>
          <cell r="AV2742">
            <v>20</v>
          </cell>
          <cell r="AZ2742">
            <v>0.25</v>
          </cell>
          <cell r="BA2742">
            <v>0.25</v>
          </cell>
        </row>
        <row r="2743">
          <cell r="A2743" t="str">
            <v>SWEET HOME</v>
          </cell>
          <cell r="B2743" t="str">
            <v>07/02/2023 VORREBBE FARE PUBBLICITA' PRIMA DI ACQUISTARE CAMPIONI MA NON POSSIBILE. VEDIAMO COME PROCEDERE</v>
          </cell>
          <cell r="F2743" t="str">
            <v>CASACANDITELLA</v>
          </cell>
          <cell r="G2743" t="str">
            <v>CH</v>
          </cell>
          <cell r="H2743" t="str">
            <v>ITALIA</v>
          </cell>
          <cell r="M2743" t="str">
            <v>UFFICIO ACQUISTI</v>
          </cell>
          <cell r="O2743">
            <v>3339935476</v>
          </cell>
          <cell r="P2743" t="str">
            <v>info@sweethome.srl</v>
          </cell>
          <cell r="R2743" t="str">
            <v>BONIFICO BANCARIO, ALLA DATA DELLA NOSTRA CONFERMA D'ORDINE</v>
          </cell>
          <cell r="X2743">
            <v>0.25</v>
          </cell>
          <cell r="Y2743">
            <v>-0.04</v>
          </cell>
          <cell r="AB2743">
            <v>0.25</v>
          </cell>
          <cell r="AC2743">
            <v>0.25</v>
          </cell>
          <cell r="AD2743">
            <v>0.25</v>
          </cell>
          <cell r="AE2743">
            <v>0.25</v>
          </cell>
          <cell r="AF2743">
            <v>0.25</v>
          </cell>
          <cell r="AG2743">
            <v>0.25</v>
          </cell>
          <cell r="AH2743">
            <v>0.25</v>
          </cell>
          <cell r="AI2743">
            <v>0.25</v>
          </cell>
          <cell r="AJ2743">
            <v>0.25</v>
          </cell>
          <cell r="AK2743">
            <v>0.25</v>
          </cell>
          <cell r="AL2743">
            <v>0.25</v>
          </cell>
          <cell r="AM2743">
            <v>0.25</v>
          </cell>
          <cell r="AN2743">
            <v>0.25</v>
          </cell>
          <cell r="AO2743">
            <v>0.25</v>
          </cell>
          <cell r="AP2743">
            <v>0.25</v>
          </cell>
          <cell r="AQ2743">
            <v>0.25</v>
          </cell>
          <cell r="AR2743">
            <v>0.25</v>
          </cell>
          <cell r="AS2743">
            <v>0.25</v>
          </cell>
          <cell r="AT2743">
            <v>-0.04</v>
          </cell>
          <cell r="AU2743">
            <v>0.87</v>
          </cell>
          <cell r="AV2743">
            <v>20</v>
          </cell>
          <cell r="AZ2743">
            <v>0.25</v>
          </cell>
          <cell r="BA2743">
            <v>0.25</v>
          </cell>
        </row>
        <row r="2744">
          <cell r="A2744" t="str">
            <v>FASCETTI FERROBATTUTO</v>
          </cell>
          <cell r="B2744" t="str">
            <v>07/02/23 E' LO STESSO DI SISTEMI ANTIALLAGAMENTO. NON CHIAMARE</v>
          </cell>
          <cell r="F2744" t="str">
            <v>CALCI</v>
          </cell>
          <cell r="G2744" t="str">
            <v>PI</v>
          </cell>
          <cell r="H2744" t="str">
            <v>ITALIA</v>
          </cell>
          <cell r="M2744" t="str">
            <v>UFFICIO ACQUISTI</v>
          </cell>
          <cell r="R2744" t="str">
            <v>BONIFICO BANCARIO, ALLA DATA DELLA NOSTRA CONFERMA D'ORDINE</v>
          </cell>
          <cell r="X2744">
            <v>0.25</v>
          </cell>
          <cell r="Y2744">
            <v>-0.04</v>
          </cell>
          <cell r="AB2744">
            <v>0.25</v>
          </cell>
          <cell r="AC2744">
            <v>0.25</v>
          </cell>
          <cell r="AD2744">
            <v>0.25</v>
          </cell>
          <cell r="AE2744">
            <v>0.25</v>
          </cell>
          <cell r="AF2744">
            <v>0.25</v>
          </cell>
          <cell r="AG2744">
            <v>0.25</v>
          </cell>
          <cell r="AH2744">
            <v>0.25</v>
          </cell>
          <cell r="AI2744">
            <v>0.25</v>
          </cell>
          <cell r="AJ2744">
            <v>0.25</v>
          </cell>
          <cell r="AK2744">
            <v>0.25</v>
          </cell>
          <cell r="AL2744">
            <v>0.25</v>
          </cell>
          <cell r="AM2744">
            <v>0.25</v>
          </cell>
          <cell r="AN2744">
            <v>0.25</v>
          </cell>
          <cell r="AO2744">
            <v>0.25</v>
          </cell>
          <cell r="AP2744">
            <v>0.25</v>
          </cell>
          <cell r="AQ2744">
            <v>0.25</v>
          </cell>
          <cell r="AR2744">
            <v>0.25</v>
          </cell>
          <cell r="AS2744">
            <v>0.25</v>
          </cell>
          <cell r="AT2744">
            <v>-0.04</v>
          </cell>
          <cell r="AU2744">
            <v>0.87</v>
          </cell>
          <cell r="AV2744">
            <v>20</v>
          </cell>
          <cell r="AZ2744">
            <v>0.25</v>
          </cell>
          <cell r="BA2744">
            <v>0.25</v>
          </cell>
        </row>
        <row r="2745">
          <cell r="A2745" t="str">
            <v>ANTIFURTO E SICUREZZA</v>
          </cell>
          <cell r="B2745" t="str">
            <v>SONO SOLO INSTALLATORI</v>
          </cell>
          <cell r="F2745" t="str">
            <v>ROMA</v>
          </cell>
          <cell r="G2745" t="str">
            <v>RM</v>
          </cell>
          <cell r="H2745" t="str">
            <v>ITALIA</v>
          </cell>
          <cell r="M2745" t="str">
            <v>UFFICIO ACQUISTI</v>
          </cell>
          <cell r="R2745" t="str">
            <v>BONIFICO BANCARIO, ALLA DATA DELLA NOSTRA CONFERMA D'ORDINE</v>
          </cell>
          <cell r="X2745">
            <v>0.25</v>
          </cell>
          <cell r="Y2745">
            <v>-0.04</v>
          </cell>
          <cell r="AB2745">
            <v>0.25</v>
          </cell>
          <cell r="AC2745">
            <v>0.25</v>
          </cell>
          <cell r="AD2745">
            <v>0.25</v>
          </cell>
          <cell r="AE2745">
            <v>0.25</v>
          </cell>
          <cell r="AF2745">
            <v>0.25</v>
          </cell>
          <cell r="AG2745">
            <v>0.25</v>
          </cell>
          <cell r="AH2745">
            <v>0.25</v>
          </cell>
          <cell r="AI2745">
            <v>0.25</v>
          </cell>
          <cell r="AJ2745">
            <v>0.25</v>
          </cell>
          <cell r="AK2745">
            <v>0.25</v>
          </cell>
          <cell r="AL2745">
            <v>0.25</v>
          </cell>
          <cell r="AM2745">
            <v>0.25</v>
          </cell>
          <cell r="AN2745">
            <v>0.25</v>
          </cell>
          <cell r="AO2745">
            <v>0.25</v>
          </cell>
          <cell r="AP2745">
            <v>0.25</v>
          </cell>
          <cell r="AQ2745">
            <v>0.25</v>
          </cell>
          <cell r="AR2745">
            <v>0.25</v>
          </cell>
          <cell r="AS2745">
            <v>0.25</v>
          </cell>
          <cell r="AT2745">
            <v>-0.04</v>
          </cell>
          <cell r="AU2745">
            <v>0.87</v>
          </cell>
          <cell r="AV2745">
            <v>20</v>
          </cell>
          <cell r="AZ2745">
            <v>0.25</v>
          </cell>
          <cell r="BA2745">
            <v>0.25</v>
          </cell>
        </row>
        <row r="2746">
          <cell r="A2746" t="str">
            <v>DANINFISSI</v>
          </cell>
          <cell r="B2746" t="str">
            <v>09/02/2023 GIA' PASSATI ANNI FA. NON HANNO RICHIESTE</v>
          </cell>
          <cell r="F2746" t="str">
            <v>CADELBOSCO SOPRA</v>
          </cell>
          <cell r="G2746" t="str">
            <v>RE</v>
          </cell>
          <cell r="H2746" t="str">
            <v>ITALIA</v>
          </cell>
          <cell r="M2746" t="str">
            <v>UFFICIO ACQUISTI</v>
          </cell>
          <cell r="O2746">
            <v>3933642156</v>
          </cell>
          <cell r="P2746" t="str">
            <v>daninfissi@hotmail.it</v>
          </cell>
          <cell r="R2746" t="str">
            <v>BONIFICO BANCARIO, ALLA DATA DELLA NOSTRA CONFERMA D'ORDINE</v>
          </cell>
          <cell r="X2746">
            <v>0.25</v>
          </cell>
          <cell r="Y2746">
            <v>-0.04</v>
          </cell>
          <cell r="AB2746">
            <v>0.25</v>
          </cell>
          <cell r="AC2746">
            <v>0.25</v>
          </cell>
          <cell r="AD2746">
            <v>0.25</v>
          </cell>
          <cell r="AE2746">
            <v>0.25</v>
          </cell>
          <cell r="AF2746">
            <v>0.25</v>
          </cell>
          <cell r="AG2746">
            <v>0.25</v>
          </cell>
          <cell r="AH2746">
            <v>0.25</v>
          </cell>
          <cell r="AI2746">
            <v>0.25</v>
          </cell>
          <cell r="AJ2746">
            <v>0.25</v>
          </cell>
          <cell r="AK2746">
            <v>0.25</v>
          </cell>
          <cell r="AL2746">
            <v>0.25</v>
          </cell>
          <cell r="AM2746">
            <v>0.25</v>
          </cell>
          <cell r="AN2746">
            <v>0.25</v>
          </cell>
          <cell r="AO2746">
            <v>0.25</v>
          </cell>
          <cell r="AP2746">
            <v>0.25</v>
          </cell>
          <cell r="AQ2746">
            <v>0.25</v>
          </cell>
          <cell r="AR2746">
            <v>0.25</v>
          </cell>
          <cell r="AS2746">
            <v>0.25</v>
          </cell>
          <cell r="AT2746">
            <v>-0.04</v>
          </cell>
          <cell r="AU2746">
            <v>0.87</v>
          </cell>
          <cell r="AV2746">
            <v>20</v>
          </cell>
          <cell r="AZ2746">
            <v>0.25</v>
          </cell>
          <cell r="BA2746">
            <v>0.25</v>
          </cell>
        </row>
        <row r="2747">
          <cell r="A2747" t="str">
            <v>SERTEC</v>
          </cell>
          <cell r="B2747" t="str">
            <v>08/02/23 NON HA RICHIESTE. MANDATA MAIL</v>
          </cell>
          <cell r="F2747" t="str">
            <v>VERONA</v>
          </cell>
          <cell r="G2747" t="str">
            <v>VR</v>
          </cell>
          <cell r="H2747" t="str">
            <v>ITALIA</v>
          </cell>
          <cell r="M2747" t="str">
            <v>UFFICIO ACQUISTI</v>
          </cell>
          <cell r="O2747" t="str">
            <v>320 3167797</v>
          </cell>
          <cell r="P2747" t="str">
            <v>info@sertecinfissi.com</v>
          </cell>
          <cell r="R2747" t="str">
            <v>BONIFICO BANCARIO, ALLA DATA DELLA NOSTRA CONFERMA D'ORDINE</v>
          </cell>
          <cell r="X2747">
            <v>0.25</v>
          </cell>
          <cell r="Y2747">
            <v>-0.04</v>
          </cell>
          <cell r="AB2747">
            <v>0.25</v>
          </cell>
          <cell r="AC2747">
            <v>0.25</v>
          </cell>
          <cell r="AD2747">
            <v>0.25</v>
          </cell>
          <cell r="AE2747">
            <v>0.25</v>
          </cell>
          <cell r="AF2747">
            <v>0.25</v>
          </cell>
          <cell r="AG2747">
            <v>0.25</v>
          </cell>
          <cell r="AH2747">
            <v>0.25</v>
          </cell>
          <cell r="AI2747">
            <v>0.25</v>
          </cell>
          <cell r="AJ2747">
            <v>0.25</v>
          </cell>
          <cell r="AK2747">
            <v>0.25</v>
          </cell>
          <cell r="AL2747">
            <v>0.25</v>
          </cell>
          <cell r="AM2747">
            <v>0.25</v>
          </cell>
          <cell r="AN2747">
            <v>0.25</v>
          </cell>
          <cell r="AO2747">
            <v>0.25</v>
          </cell>
          <cell r="AP2747">
            <v>0.25</v>
          </cell>
          <cell r="AQ2747">
            <v>0.25</v>
          </cell>
          <cell r="AR2747">
            <v>0.25</v>
          </cell>
          <cell r="AS2747">
            <v>0.25</v>
          </cell>
          <cell r="AT2747">
            <v>-0.04</v>
          </cell>
          <cell r="AU2747">
            <v>0.87</v>
          </cell>
          <cell r="AV2747">
            <v>20</v>
          </cell>
          <cell r="AZ2747">
            <v>0.25</v>
          </cell>
          <cell r="BA2747">
            <v>0.25</v>
          </cell>
        </row>
        <row r="2748">
          <cell r="A2748" t="str">
            <v>MAREMMA SERRAMENTI</v>
          </cell>
          <cell r="B2748" t="str">
            <v>07/02/23 HANNO PRESSOCHE' NULLE RICHIESTE. SE HANNO BISOGNO CI  CONTATTANO LORO</v>
          </cell>
          <cell r="F2748" t="str">
            <v>GROSSETO</v>
          </cell>
          <cell r="G2748" t="str">
            <v>GR</v>
          </cell>
          <cell r="H2748" t="str">
            <v>ITALIA</v>
          </cell>
          <cell r="M2748" t="str">
            <v>UFFICIO ACQUISTI</v>
          </cell>
          <cell r="O2748" t="str">
            <v>328 4120970</v>
          </cell>
          <cell r="P2748" t="str">
            <v>maremmaserramenti@virgilio.it</v>
          </cell>
          <cell r="R2748" t="str">
            <v>BONIFICO BANCARIO, ALLA DATA DELLA NOSTRA CONFERMA D'ORDINE</v>
          </cell>
          <cell r="X2748">
            <v>0.25</v>
          </cell>
          <cell r="Y2748">
            <v>-0.04</v>
          </cell>
          <cell r="AB2748">
            <v>0.25</v>
          </cell>
          <cell r="AC2748">
            <v>0.25</v>
          </cell>
          <cell r="AD2748">
            <v>0.25</v>
          </cell>
          <cell r="AE2748">
            <v>0.25</v>
          </cell>
          <cell r="AF2748">
            <v>0.25</v>
          </cell>
          <cell r="AG2748">
            <v>0.25</v>
          </cell>
          <cell r="AH2748">
            <v>0.25</v>
          </cell>
          <cell r="AI2748">
            <v>0.25</v>
          </cell>
          <cell r="AJ2748">
            <v>0.25</v>
          </cell>
          <cell r="AK2748">
            <v>0.25</v>
          </cell>
          <cell r="AL2748">
            <v>0.25</v>
          </cell>
          <cell r="AM2748">
            <v>0.25</v>
          </cell>
          <cell r="AN2748">
            <v>0.25</v>
          </cell>
          <cell r="AO2748">
            <v>0.25</v>
          </cell>
          <cell r="AP2748">
            <v>0.25</v>
          </cell>
          <cell r="AQ2748">
            <v>0.25</v>
          </cell>
          <cell r="AR2748">
            <v>0.25</v>
          </cell>
          <cell r="AS2748">
            <v>0.25</v>
          </cell>
          <cell r="AT2748">
            <v>-0.04</v>
          </cell>
          <cell r="AU2748">
            <v>0.87</v>
          </cell>
          <cell r="AV2748">
            <v>20</v>
          </cell>
          <cell r="AZ2748">
            <v>0.25</v>
          </cell>
          <cell r="BA2748">
            <v>0.25</v>
          </cell>
        </row>
        <row r="2749">
          <cell r="A2749" t="str">
            <v>RTR SAS DI RIZZON TIZIANO</v>
          </cell>
          <cell r="B2749" t="str">
            <v>02/02/23 DICE CHE VORREBBE RIVENDERE NOSTRI PRODOTTI MA NON VUOLE COMPRARE CAMPIONE PERCHE' HA GIA' QUELLO DI UN'ALTRA AZIENDA. PROVA A VEDERE SE RIESCE A TROVARE CLIENTELA COSI'</v>
          </cell>
          <cell r="F2749" t="str">
            <v>PORTO TORRES</v>
          </cell>
          <cell r="G2749" t="str">
            <v>SS</v>
          </cell>
          <cell r="H2749" t="str">
            <v>ITALIA</v>
          </cell>
          <cell r="M2749" t="str">
            <v>UFFICIO ACQUISTI</v>
          </cell>
          <cell r="N2749" t="str">
            <v>079 514040</v>
          </cell>
          <cell r="P2749" t="str">
            <v>rtrsas@tiscali.it</v>
          </cell>
          <cell r="R2749" t="str">
            <v>BONIFICO BANCARIO, ALLA DATA DELLA NOSTRA CONFERMA D'ORDINE</v>
          </cell>
          <cell r="X2749">
            <v>0.25</v>
          </cell>
          <cell r="Y2749">
            <v>-0.04</v>
          </cell>
          <cell r="AB2749">
            <v>0.25</v>
          </cell>
          <cell r="AC2749">
            <v>0.25</v>
          </cell>
          <cell r="AD2749">
            <v>0.25</v>
          </cell>
          <cell r="AE2749">
            <v>0.25</v>
          </cell>
          <cell r="AF2749">
            <v>0.25</v>
          </cell>
          <cell r="AG2749">
            <v>0.25</v>
          </cell>
          <cell r="AH2749">
            <v>0.25</v>
          </cell>
          <cell r="AI2749">
            <v>0.25</v>
          </cell>
          <cell r="AJ2749">
            <v>0.25</v>
          </cell>
          <cell r="AK2749">
            <v>0.25</v>
          </cell>
          <cell r="AL2749">
            <v>0.25</v>
          </cell>
          <cell r="AM2749">
            <v>0.25</v>
          </cell>
          <cell r="AN2749">
            <v>0.25</v>
          </cell>
          <cell r="AO2749">
            <v>0.25</v>
          </cell>
          <cell r="AP2749">
            <v>0.25</v>
          </cell>
          <cell r="AQ2749">
            <v>0.25</v>
          </cell>
          <cell r="AR2749">
            <v>0.25</v>
          </cell>
          <cell r="AS2749">
            <v>0.25</v>
          </cell>
          <cell r="AT2749">
            <v>-0.04</v>
          </cell>
          <cell r="AU2749">
            <v>0.87</v>
          </cell>
          <cell r="AV2749">
            <v>20</v>
          </cell>
          <cell r="AZ2749">
            <v>0.25</v>
          </cell>
          <cell r="BA2749">
            <v>0.25</v>
          </cell>
        </row>
        <row r="2750">
          <cell r="A2750" t="str">
            <v>STRANO SERRAMENTI</v>
          </cell>
          <cell r="B2750" t="str">
            <v>04/11/22 PARLATO CON LA SIG.RA MARIKA. MANDATA MAIL. 16/02/23 NON SONO INTERESSATI</v>
          </cell>
          <cell r="D2750" t="str">
            <v>VIA C. BATTISTI, 236</v>
          </cell>
          <cell r="E2750">
            <v>95030</v>
          </cell>
          <cell r="F2750" t="str">
            <v>MASCALUCIA</v>
          </cell>
          <cell r="G2750" t="str">
            <v>CT</v>
          </cell>
          <cell r="H2750" t="str">
            <v>ITALIA</v>
          </cell>
          <cell r="M2750" t="str">
            <v>UFFICIO ACQUISTI</v>
          </cell>
          <cell r="N2750" t="str">
            <v>095 914999</v>
          </cell>
          <cell r="P2750" t="str">
            <v>info@stranoserramenti.it</v>
          </cell>
          <cell r="R2750" t="str">
            <v>BONIFICO BANCARIO, ALLA DATA DELLA NOSTRA CONFERMA D'ORDINE</v>
          </cell>
          <cell r="X2750">
            <v>0.25</v>
          </cell>
          <cell r="Y2750">
            <v>-0.04</v>
          </cell>
          <cell r="AB2750">
            <v>0.25</v>
          </cell>
          <cell r="AC2750">
            <v>0.25</v>
          </cell>
          <cell r="AD2750">
            <v>0.25</v>
          </cell>
          <cell r="AE2750">
            <v>0.25</v>
          </cell>
          <cell r="AF2750">
            <v>0.25</v>
          </cell>
          <cell r="AG2750">
            <v>0.25</v>
          </cell>
          <cell r="AH2750">
            <v>0.25</v>
          </cell>
          <cell r="AI2750">
            <v>0.25</v>
          </cell>
          <cell r="AJ2750">
            <v>0.25</v>
          </cell>
          <cell r="AK2750">
            <v>0.25</v>
          </cell>
          <cell r="AL2750">
            <v>0.25</v>
          </cell>
          <cell r="AM2750">
            <v>0.25</v>
          </cell>
          <cell r="AN2750">
            <v>0.25</v>
          </cell>
          <cell r="AO2750">
            <v>0.25</v>
          </cell>
          <cell r="AP2750">
            <v>0.25</v>
          </cell>
          <cell r="AQ2750">
            <v>0.25</v>
          </cell>
          <cell r="AR2750">
            <v>0.25</v>
          </cell>
          <cell r="AS2750">
            <v>0.25</v>
          </cell>
          <cell r="AT2750">
            <v>-0.04</v>
          </cell>
          <cell r="AU2750">
            <v>0.87</v>
          </cell>
          <cell r="AV2750">
            <v>20</v>
          </cell>
          <cell r="AZ2750">
            <v>0.25</v>
          </cell>
          <cell r="BA2750">
            <v>0.25</v>
          </cell>
        </row>
        <row r="2751">
          <cell r="A2751" t="str">
            <v>SERRAMENTI ED INFISSI CALCATERRA</v>
          </cell>
          <cell r="B2751" t="str">
            <v>04/11/2022 MANDATA MAIL. SEMBRANO INTERESSATI A VISITA 15/02/23 INTERESSATI A VISITA 13/03/23 VISITATI DA MARCO MA DICE CHE NON SAPEVA NEMMENO DI AVERE APPUNTAMENTO. POCO INTERESSATO ANCHE SE HA AVUTO UNARICHIESTA. VEDIAMO</v>
          </cell>
          <cell r="D2751" t="str">
            <v>VIA GAUDIO, 54</v>
          </cell>
          <cell r="E2751">
            <v>95047</v>
          </cell>
          <cell r="F2751" t="str">
            <v>PATERNO'</v>
          </cell>
          <cell r="G2751" t="str">
            <v>CT</v>
          </cell>
          <cell r="H2751" t="str">
            <v>ITALIA</v>
          </cell>
          <cell r="M2751" t="str">
            <v>UFFICIO ACQUISTI</v>
          </cell>
          <cell r="O2751" t="str">
            <v>340 9551596</v>
          </cell>
          <cell r="P2751" t="str">
            <v>calcaterra.stefano@gmail.com</v>
          </cell>
          <cell r="R2751" t="str">
            <v>BONIFICO BANCARIO, ALLA DATA DELLA NOSTRA CONFERMA D'ORDINE</v>
          </cell>
          <cell r="X2751">
            <v>0.25</v>
          </cell>
          <cell r="Y2751">
            <v>-0.04</v>
          </cell>
          <cell r="AB2751">
            <v>0.25</v>
          </cell>
          <cell r="AC2751">
            <v>0.25</v>
          </cell>
          <cell r="AD2751">
            <v>0.25</v>
          </cell>
          <cell r="AE2751">
            <v>0.25</v>
          </cell>
          <cell r="AF2751">
            <v>0.25</v>
          </cell>
          <cell r="AG2751">
            <v>0.25</v>
          </cell>
          <cell r="AH2751">
            <v>0.25</v>
          </cell>
          <cell r="AI2751">
            <v>0.25</v>
          </cell>
          <cell r="AJ2751">
            <v>0.25</v>
          </cell>
          <cell r="AK2751">
            <v>0.25</v>
          </cell>
          <cell r="AL2751">
            <v>0.25</v>
          </cell>
          <cell r="AM2751">
            <v>0.25</v>
          </cell>
          <cell r="AN2751">
            <v>0.25</v>
          </cell>
          <cell r="AO2751">
            <v>0.25</v>
          </cell>
          <cell r="AP2751">
            <v>0.25</v>
          </cell>
          <cell r="AQ2751">
            <v>0.25</v>
          </cell>
          <cell r="AR2751">
            <v>0.25</v>
          </cell>
          <cell r="AS2751">
            <v>0.25</v>
          </cell>
          <cell r="AT2751">
            <v>-0.04</v>
          </cell>
          <cell r="AU2751">
            <v>0.87</v>
          </cell>
          <cell r="AV2751">
            <v>20</v>
          </cell>
          <cell r="AZ2751">
            <v>0.25</v>
          </cell>
          <cell r="BA2751">
            <v>0.25</v>
          </cell>
        </row>
        <row r="2752">
          <cell r="A2752" t="str">
            <v>SAITTA SERRAMENTI</v>
          </cell>
          <cell r="B2752" t="str">
            <v>04/11/22 MANDATA MAIL. PARLATO CON SIG.RA MAMMOLENTI</v>
          </cell>
          <cell r="D2752" t="str">
            <v>VIA MONGIBELLO, 138</v>
          </cell>
          <cell r="E2752">
            <v>95032</v>
          </cell>
          <cell r="F2752" t="str">
            <v>PIANA TAVOLA</v>
          </cell>
          <cell r="G2752" t="str">
            <v>CT</v>
          </cell>
          <cell r="H2752" t="str">
            <v>ITALIA</v>
          </cell>
          <cell r="M2752" t="str">
            <v>UFFICIO ACQUISTI</v>
          </cell>
          <cell r="N2752" t="str">
            <v>095 7131767</v>
          </cell>
          <cell r="P2752" t="str">
            <v>saittaserramentisrls@gmail.com</v>
          </cell>
          <cell r="R2752" t="str">
            <v>BONIFICO BANCARIO, ALLA DATA DELLA NOSTRA CONFERMA D'ORDINE</v>
          </cell>
          <cell r="X2752">
            <v>0.25</v>
          </cell>
          <cell r="Y2752">
            <v>-0.04</v>
          </cell>
          <cell r="AB2752">
            <v>0.25</v>
          </cell>
          <cell r="AC2752">
            <v>0.25</v>
          </cell>
          <cell r="AD2752">
            <v>0.25</v>
          </cell>
          <cell r="AE2752">
            <v>0.25</v>
          </cell>
          <cell r="AF2752">
            <v>0.25</v>
          </cell>
          <cell r="AG2752">
            <v>0.25</v>
          </cell>
          <cell r="AH2752">
            <v>0.25</v>
          </cell>
          <cell r="AI2752">
            <v>0.25</v>
          </cell>
          <cell r="AJ2752">
            <v>0.25</v>
          </cell>
          <cell r="AK2752">
            <v>0.25</v>
          </cell>
          <cell r="AL2752">
            <v>0.25</v>
          </cell>
          <cell r="AM2752">
            <v>0.25</v>
          </cell>
          <cell r="AN2752">
            <v>0.25</v>
          </cell>
          <cell r="AO2752">
            <v>0.25</v>
          </cell>
          <cell r="AP2752">
            <v>0.25</v>
          </cell>
          <cell r="AQ2752">
            <v>0.25</v>
          </cell>
          <cell r="AR2752">
            <v>0.25</v>
          </cell>
          <cell r="AS2752">
            <v>0.25</v>
          </cell>
          <cell r="AT2752">
            <v>-0.04</v>
          </cell>
          <cell r="AU2752">
            <v>0.87</v>
          </cell>
          <cell r="AV2752">
            <v>20</v>
          </cell>
          <cell r="AZ2752">
            <v>0.25</v>
          </cell>
          <cell r="BA2752">
            <v>0.25</v>
          </cell>
        </row>
        <row r="2753">
          <cell r="A2753" t="str">
            <v>EMMECI SERRAMENTI SRL</v>
          </cell>
          <cell r="B2753" t="str">
            <v>04/11/22 PARLATO CON SIG. ALFIO. NON HANNO RICHIESTE. POCO INTERESSE. MANDATA MAIL</v>
          </cell>
          <cell r="G2753" t="str">
            <v>CT</v>
          </cell>
          <cell r="H2753" t="str">
            <v>ITALIA</v>
          </cell>
          <cell r="M2753" t="str">
            <v>UFFICIO ACQUISTI</v>
          </cell>
          <cell r="N2753" t="str">
            <v>095 7712055</v>
          </cell>
          <cell r="P2753" t="str">
            <v>emmeciserramentisrl@virgilio.it</v>
          </cell>
          <cell r="R2753" t="str">
            <v>BONIFICO BANCARIO, ALLA DATA DELLA NOSTRA CONFERMA D'ORDINE</v>
          </cell>
          <cell r="X2753">
            <v>0.25</v>
          </cell>
          <cell r="Y2753">
            <v>-0.04</v>
          </cell>
          <cell r="AB2753">
            <v>0.25</v>
          </cell>
          <cell r="AC2753">
            <v>0.25</v>
          </cell>
          <cell r="AD2753">
            <v>0.25</v>
          </cell>
          <cell r="AE2753">
            <v>0.25</v>
          </cell>
          <cell r="AF2753">
            <v>0.25</v>
          </cell>
          <cell r="AG2753">
            <v>0.25</v>
          </cell>
          <cell r="AH2753">
            <v>0.25</v>
          </cell>
          <cell r="AI2753">
            <v>0.25</v>
          </cell>
          <cell r="AJ2753">
            <v>0.25</v>
          </cell>
          <cell r="AK2753">
            <v>0.25</v>
          </cell>
          <cell r="AL2753">
            <v>0.25</v>
          </cell>
          <cell r="AM2753">
            <v>0.25</v>
          </cell>
          <cell r="AN2753">
            <v>0.25</v>
          </cell>
          <cell r="AO2753">
            <v>0.25</v>
          </cell>
          <cell r="AP2753">
            <v>0.25</v>
          </cell>
          <cell r="AQ2753">
            <v>0.25</v>
          </cell>
          <cell r="AR2753">
            <v>0.25</v>
          </cell>
          <cell r="AS2753">
            <v>0.25</v>
          </cell>
          <cell r="AT2753">
            <v>-0.04</v>
          </cell>
          <cell r="AU2753">
            <v>0.87</v>
          </cell>
          <cell r="AV2753">
            <v>20</v>
          </cell>
          <cell r="AZ2753">
            <v>0.25</v>
          </cell>
          <cell r="BA2753">
            <v>0.25</v>
          </cell>
        </row>
        <row r="2754">
          <cell r="A2754" t="str">
            <v>CALANDUCCI GIUSEPPE SERRAMENTI IN ALLUMINIO</v>
          </cell>
          <cell r="B2754" t="str">
            <v>04/11/22 PARLATO CON SIG. GIUSEPPE, TITOLARE. MANDATA MAIL 13/03/23 VISITATI DA MARCO. INTERESSATISSIMO! VORREBBE PARLARNE IN CONSIGLIO COMUNALE PER VEDERE SE POSSONO DIVENTARE OBBLIGATORIE!</v>
          </cell>
          <cell r="D2754" t="str">
            <v>ZONA IND.LE, SP25I</v>
          </cell>
          <cell r="E2754">
            <v>95046</v>
          </cell>
          <cell r="F2754" t="str">
            <v>PALAGONIA</v>
          </cell>
          <cell r="G2754" t="str">
            <v>CT</v>
          </cell>
          <cell r="H2754" t="str">
            <v>ITALIA</v>
          </cell>
          <cell r="J2754">
            <v>5399670875</v>
          </cell>
          <cell r="M2754" t="str">
            <v>SIG. CALANDUCCI</v>
          </cell>
          <cell r="N2754" t="str">
            <v>095 7954692</v>
          </cell>
          <cell r="P2754" t="str">
            <v>calanducciserramenti@gmail.com</v>
          </cell>
          <cell r="R2754" t="str">
            <v>BONIFICO BANCARIO, ALLA DATA DELLA NOSTRA CONFERMA D'ORDINE</v>
          </cell>
          <cell r="X2754">
            <v>0.25</v>
          </cell>
          <cell r="Y2754">
            <v>-0.04</v>
          </cell>
          <cell r="AB2754">
            <v>0.25</v>
          </cell>
          <cell r="AC2754">
            <v>0.25</v>
          </cell>
          <cell r="AD2754">
            <v>0.25</v>
          </cell>
          <cell r="AE2754">
            <v>0.25</v>
          </cell>
          <cell r="AF2754">
            <v>0.25</v>
          </cell>
          <cell r="AG2754">
            <v>0.25</v>
          </cell>
          <cell r="AH2754">
            <v>0.25</v>
          </cell>
          <cell r="AI2754">
            <v>0.25</v>
          </cell>
          <cell r="AJ2754">
            <v>0.25</v>
          </cell>
          <cell r="AK2754">
            <v>0.25</v>
          </cell>
          <cell r="AL2754">
            <v>0.25</v>
          </cell>
          <cell r="AM2754">
            <v>0.25</v>
          </cell>
          <cell r="AN2754">
            <v>0.25</v>
          </cell>
          <cell r="AO2754">
            <v>0.25</v>
          </cell>
          <cell r="AP2754">
            <v>0.25</v>
          </cell>
          <cell r="AQ2754">
            <v>0.25</v>
          </cell>
          <cell r="AR2754">
            <v>0.25</v>
          </cell>
          <cell r="AS2754">
            <v>0.25</v>
          </cell>
          <cell r="AT2754">
            <v>-0.04</v>
          </cell>
          <cell r="AU2754">
            <v>0.87</v>
          </cell>
          <cell r="AV2754">
            <v>20</v>
          </cell>
          <cell r="AZ2754">
            <v>0.25</v>
          </cell>
          <cell r="BA2754">
            <v>0.25</v>
          </cell>
        </row>
        <row r="2755">
          <cell r="A2755" t="str">
            <v>LEOTTA SERRAMENTI</v>
          </cell>
          <cell r="B2755" t="str">
            <v>04/11/22 PARLATO CON LA SIG.RA TIZIANA DELL'AMMINISTRAZIONE. MI HA DETTO DI RICHIAMARE E CHIEDERE DI RICCARDO (FIGLIO PROPRIETARIO) E DI MANDARE MAIL 13/03/23 VISITATI DA MARCO. MANDATA PROOSTA CAMPIONE MA PRIMA PREFERISCONO VEDERE SE RIESCONO A PIAZZARE QUALCHE BARRIERA</v>
          </cell>
          <cell r="D2755" t="str">
            <v>VIA DEGLI ALBERI, 6</v>
          </cell>
          <cell r="E2755">
            <v>95024</v>
          </cell>
          <cell r="F2755" t="str">
            <v>ACIREALE</v>
          </cell>
          <cell r="G2755" t="str">
            <v>CT</v>
          </cell>
          <cell r="H2755" t="str">
            <v>ITALIA</v>
          </cell>
          <cell r="M2755" t="str">
            <v>SIG.RA TIZIANA</v>
          </cell>
          <cell r="N2755" t="str">
            <v>095 601109</v>
          </cell>
          <cell r="P2755" t="str">
            <v>ordini@leottaserramenti.com</v>
          </cell>
          <cell r="R2755" t="str">
            <v>BONIFICO BANCARIO, ALLA DATA DELLA NOSTRA CONFERMA D'ORDINE</v>
          </cell>
          <cell r="X2755">
            <v>0.25</v>
          </cell>
          <cell r="Y2755">
            <v>-0.04</v>
          </cell>
          <cell r="AB2755">
            <v>0.25</v>
          </cell>
          <cell r="AC2755">
            <v>0.25</v>
          </cell>
          <cell r="AD2755">
            <v>0.25</v>
          </cell>
          <cell r="AE2755">
            <v>0.25</v>
          </cell>
          <cell r="AF2755">
            <v>0.25</v>
          </cell>
          <cell r="AG2755">
            <v>0.25</v>
          </cell>
          <cell r="AH2755">
            <v>0.25</v>
          </cell>
          <cell r="AI2755">
            <v>0.25</v>
          </cell>
          <cell r="AJ2755">
            <v>0.25</v>
          </cell>
          <cell r="AK2755">
            <v>0.25</v>
          </cell>
          <cell r="AL2755">
            <v>0.25</v>
          </cell>
          <cell r="AM2755">
            <v>0.25</v>
          </cell>
          <cell r="AN2755">
            <v>0.25</v>
          </cell>
          <cell r="AO2755">
            <v>0.25</v>
          </cell>
          <cell r="AP2755">
            <v>0.25</v>
          </cell>
          <cell r="AQ2755">
            <v>0.25</v>
          </cell>
          <cell r="AR2755">
            <v>0.25</v>
          </cell>
          <cell r="AS2755">
            <v>0.25</v>
          </cell>
          <cell r="AT2755">
            <v>-0.04</v>
          </cell>
          <cell r="AU2755">
            <v>0.87</v>
          </cell>
          <cell r="AV2755">
            <v>20</v>
          </cell>
          <cell r="AZ2755">
            <v>0.25</v>
          </cell>
          <cell r="BA2755">
            <v>0.25</v>
          </cell>
        </row>
        <row r="2756">
          <cell r="A2756" t="str">
            <v>SOLUZIONE FINESTRA</v>
          </cell>
          <cell r="B2756" t="str">
            <v>08/11/22 NON SEMBRA INTERESSATO. CHIESTO SE POSSO MANDARE COMUNQUE MAIL. OK</v>
          </cell>
          <cell r="D2756" t="str">
            <v>VIA ALA, 61</v>
          </cell>
          <cell r="G2756" t="str">
            <v>CT</v>
          </cell>
          <cell r="H2756" t="str">
            <v>ITALIA</v>
          </cell>
          <cell r="M2756" t="str">
            <v>UFFICIO ACQUISTI</v>
          </cell>
          <cell r="O2756" t="str">
            <v>379 2227798</v>
          </cell>
          <cell r="P2756" t="str">
            <v>ekowood@ekowood.it</v>
          </cell>
          <cell r="R2756" t="str">
            <v>BONIFICO BANCARIO, ALLA DATA DELLA NOSTRA CONFERMA D'ORDINE</v>
          </cell>
          <cell r="X2756">
            <v>0.25</v>
          </cell>
          <cell r="Y2756">
            <v>-0.04</v>
          </cell>
          <cell r="AB2756">
            <v>0.25</v>
          </cell>
          <cell r="AC2756">
            <v>0.25</v>
          </cell>
          <cell r="AD2756">
            <v>0.25</v>
          </cell>
          <cell r="AE2756">
            <v>0.25</v>
          </cell>
          <cell r="AF2756">
            <v>0.25</v>
          </cell>
          <cell r="AG2756">
            <v>0.25</v>
          </cell>
          <cell r="AH2756">
            <v>0.25</v>
          </cell>
          <cell r="AI2756">
            <v>0.25</v>
          </cell>
          <cell r="AJ2756">
            <v>0.25</v>
          </cell>
          <cell r="AK2756">
            <v>0.25</v>
          </cell>
          <cell r="AL2756">
            <v>0.25</v>
          </cell>
          <cell r="AM2756">
            <v>0.25</v>
          </cell>
          <cell r="AN2756">
            <v>0.25</v>
          </cell>
          <cell r="AO2756">
            <v>0.25</v>
          </cell>
          <cell r="AP2756">
            <v>0.25</v>
          </cell>
          <cell r="AQ2756">
            <v>0.25</v>
          </cell>
          <cell r="AR2756">
            <v>0.25</v>
          </cell>
          <cell r="AS2756">
            <v>0.25</v>
          </cell>
          <cell r="AT2756">
            <v>-0.04</v>
          </cell>
          <cell r="AU2756">
            <v>0.87</v>
          </cell>
          <cell r="AV2756">
            <v>20</v>
          </cell>
          <cell r="AZ2756">
            <v>0.25</v>
          </cell>
          <cell r="BA2756">
            <v>0.25</v>
          </cell>
        </row>
        <row r="2757">
          <cell r="A2757" t="str">
            <v>BUONVENGA SERRAMENTI</v>
          </cell>
          <cell r="B2757" t="str">
            <v>08/11/22 NON SEMBRA INTERESSATO. CHIESTO SE POSSO MANDARE COMUNQUE MAIL. OK</v>
          </cell>
          <cell r="D2757" t="str">
            <v>VIA DEI CALICI, 21</v>
          </cell>
          <cell r="E2757">
            <v>95121</v>
          </cell>
          <cell r="F2757" t="str">
            <v>S.GIORGIO</v>
          </cell>
          <cell r="G2757" t="str">
            <v>CT</v>
          </cell>
          <cell r="H2757" t="str">
            <v>ITALIA</v>
          </cell>
          <cell r="M2757" t="str">
            <v>UFFICIO ACQUISTI</v>
          </cell>
          <cell r="N2757" t="str">
            <v>095 207408</v>
          </cell>
          <cell r="O2757" t="str">
            <v>328 7572326</v>
          </cell>
          <cell r="P2757" t="str">
            <v>buonvenga.serramenti@libero.it</v>
          </cell>
          <cell r="R2757" t="str">
            <v>BONIFICO BANCARIO, ALLA DATA DELLA NOSTRA CONFERMA D'ORDINE</v>
          </cell>
          <cell r="X2757">
            <v>0.25</v>
          </cell>
          <cell r="Y2757">
            <v>-0.04</v>
          </cell>
          <cell r="AB2757">
            <v>0.25</v>
          </cell>
          <cell r="AC2757">
            <v>0.25</v>
          </cell>
          <cell r="AD2757">
            <v>0.25</v>
          </cell>
          <cell r="AE2757">
            <v>0.25</v>
          </cell>
          <cell r="AF2757">
            <v>0.25</v>
          </cell>
          <cell r="AG2757">
            <v>0.25</v>
          </cell>
          <cell r="AH2757">
            <v>0.25</v>
          </cell>
          <cell r="AI2757">
            <v>0.25</v>
          </cell>
          <cell r="AJ2757">
            <v>0.25</v>
          </cell>
          <cell r="AK2757">
            <v>0.25</v>
          </cell>
          <cell r="AL2757">
            <v>0.25</v>
          </cell>
          <cell r="AM2757">
            <v>0.25</v>
          </cell>
          <cell r="AN2757">
            <v>0.25</v>
          </cell>
          <cell r="AO2757">
            <v>0.25</v>
          </cell>
          <cell r="AP2757">
            <v>0.25</v>
          </cell>
          <cell r="AQ2757">
            <v>0.25</v>
          </cell>
          <cell r="AR2757">
            <v>0.25</v>
          </cell>
          <cell r="AS2757">
            <v>0.25</v>
          </cell>
          <cell r="AT2757">
            <v>-0.04</v>
          </cell>
          <cell r="AU2757">
            <v>0.87</v>
          </cell>
          <cell r="AV2757">
            <v>20</v>
          </cell>
          <cell r="AZ2757">
            <v>0.25</v>
          </cell>
          <cell r="BA2757">
            <v>0.25</v>
          </cell>
        </row>
        <row r="2758">
          <cell r="A2758" t="str">
            <v>SERRAMENTI FICARRA</v>
          </cell>
          <cell r="B2758" t="str">
            <v>08/11/22 SEMBRA MOLTO INTERESATO. MANDATA MAIL. LUI OPERA PROPRIO NEL CENTRO STORICO DI CATANIA</v>
          </cell>
          <cell r="D2758" t="str">
            <v>VIA CARONDA, 282</v>
          </cell>
          <cell r="G2758" t="str">
            <v>CT</v>
          </cell>
          <cell r="H2758" t="str">
            <v>ITALIA</v>
          </cell>
          <cell r="M2758" t="str">
            <v>SIG. FICARRA</v>
          </cell>
          <cell r="N2758" t="str">
            <v>095 501534</v>
          </cell>
          <cell r="O2758" t="str">
            <v>330 526964</v>
          </cell>
          <cell r="P2758" t="str">
            <v>serficarra@gmail.com</v>
          </cell>
          <cell r="R2758" t="str">
            <v>BONIFICO BANCARIO, ALLA DATA DELLA NOSTRA CONFERMA D'ORDINE</v>
          </cell>
          <cell r="X2758">
            <v>0.25</v>
          </cell>
          <cell r="Y2758">
            <v>-0.04</v>
          </cell>
          <cell r="AB2758">
            <v>0.25</v>
          </cell>
          <cell r="AC2758">
            <v>0.25</v>
          </cell>
          <cell r="AD2758">
            <v>0.25</v>
          </cell>
          <cell r="AE2758">
            <v>0.25</v>
          </cell>
          <cell r="AF2758">
            <v>0.25</v>
          </cell>
          <cell r="AG2758">
            <v>0.25</v>
          </cell>
          <cell r="AH2758">
            <v>0.25</v>
          </cell>
          <cell r="AI2758">
            <v>0.25</v>
          </cell>
          <cell r="AJ2758">
            <v>0.25</v>
          </cell>
          <cell r="AK2758">
            <v>0.25</v>
          </cell>
          <cell r="AL2758">
            <v>0.25</v>
          </cell>
          <cell r="AM2758">
            <v>0.25</v>
          </cell>
          <cell r="AN2758">
            <v>0.25</v>
          </cell>
          <cell r="AO2758">
            <v>0.25</v>
          </cell>
          <cell r="AP2758">
            <v>0.25</v>
          </cell>
          <cell r="AQ2758">
            <v>0.25</v>
          </cell>
          <cell r="AR2758">
            <v>0.25</v>
          </cell>
          <cell r="AS2758">
            <v>0.25</v>
          </cell>
          <cell r="AT2758">
            <v>-0.04</v>
          </cell>
          <cell r="AU2758">
            <v>0.87</v>
          </cell>
          <cell r="AV2758">
            <v>20</v>
          </cell>
          <cell r="AZ2758">
            <v>0.25</v>
          </cell>
          <cell r="BA2758">
            <v>0.25</v>
          </cell>
        </row>
        <row r="2759">
          <cell r="A2759" t="str">
            <v>SIRWOOD</v>
          </cell>
          <cell r="B2759" t="str">
            <v>08/11/22 LE HANNO IN NEGOZIO. GLIELE RIFORNISCE UN PRIVATO. VEDIAMO DI INDAGARE</v>
          </cell>
          <cell r="D2759" t="str">
            <v>VIA ANTONINO DI SANGIULIANO, 19</v>
          </cell>
          <cell r="G2759" t="str">
            <v>CT</v>
          </cell>
          <cell r="H2759" t="str">
            <v>ITALIA</v>
          </cell>
          <cell r="M2759" t="str">
            <v>UFFICIO ACQUISTI</v>
          </cell>
          <cell r="N2759" t="str">
            <v>095 531215</v>
          </cell>
          <cell r="R2759" t="str">
            <v>BONIFICO BANCARIO, ALLA DATA DELLA NOSTRA CONFERMA D'ORDINE</v>
          </cell>
          <cell r="X2759">
            <v>0.25</v>
          </cell>
          <cell r="Y2759">
            <v>-0.04</v>
          </cell>
          <cell r="AB2759">
            <v>0.25</v>
          </cell>
          <cell r="AC2759">
            <v>0.25</v>
          </cell>
          <cell r="AD2759">
            <v>0.25</v>
          </cell>
          <cell r="AE2759">
            <v>0.25</v>
          </cell>
          <cell r="AF2759">
            <v>0.25</v>
          </cell>
          <cell r="AG2759">
            <v>0.25</v>
          </cell>
          <cell r="AH2759">
            <v>0.25</v>
          </cell>
          <cell r="AI2759">
            <v>0.25</v>
          </cell>
          <cell r="AJ2759">
            <v>0.25</v>
          </cell>
          <cell r="AK2759">
            <v>0.25</v>
          </cell>
          <cell r="AL2759">
            <v>0.25</v>
          </cell>
          <cell r="AM2759">
            <v>0.25</v>
          </cell>
          <cell r="AN2759">
            <v>0.25</v>
          </cell>
          <cell r="AO2759">
            <v>0.25</v>
          </cell>
          <cell r="AP2759">
            <v>0.25</v>
          </cell>
          <cell r="AQ2759">
            <v>0.25</v>
          </cell>
          <cell r="AR2759">
            <v>0.25</v>
          </cell>
          <cell r="AS2759">
            <v>0.25</v>
          </cell>
          <cell r="AT2759">
            <v>-0.04</v>
          </cell>
          <cell r="AU2759">
            <v>0.87</v>
          </cell>
          <cell r="AV2759">
            <v>20</v>
          </cell>
          <cell r="AZ2759">
            <v>0.25</v>
          </cell>
          <cell r="BA2759">
            <v>0.25</v>
          </cell>
        </row>
        <row r="2760">
          <cell r="A2760" t="str">
            <v>LAZZARO INFISSI</v>
          </cell>
          <cell r="B2760" t="str">
            <v>08/11/22 SIG. LAZZARO. HA UNO SHOWROOM. INTERESSATO ALLA COSA. MANDATA MAIL. 13/03/23 VISITATI DA MARCO. MANDATA PROPOSTA CAMPIONE</v>
          </cell>
          <cell r="D2760" t="str">
            <v>CORSO SAVOIA, 206</v>
          </cell>
          <cell r="E2760">
            <v>95024</v>
          </cell>
          <cell r="F2760" t="str">
            <v>ACIREALE</v>
          </cell>
          <cell r="G2760" t="str">
            <v>CT</v>
          </cell>
          <cell r="H2760" t="str">
            <v>ITALIA</v>
          </cell>
          <cell r="M2760" t="str">
            <v>UFFICIO ACQUISTI</v>
          </cell>
          <cell r="O2760" t="str">
            <v>335 1358347</v>
          </cell>
          <cell r="P2760" t="str">
            <v>lazzaro406@gmail.com</v>
          </cell>
          <cell r="R2760" t="str">
            <v>BONIFICO BANCARIO, ALLA DATA DELLA NOSTRA CONFERMA D'ORDINE</v>
          </cell>
          <cell r="X2760">
            <v>0.25</v>
          </cell>
          <cell r="Y2760">
            <v>-0.04</v>
          </cell>
          <cell r="AB2760">
            <v>0.25</v>
          </cell>
          <cell r="AC2760">
            <v>0.25</v>
          </cell>
          <cell r="AD2760">
            <v>0.25</v>
          </cell>
          <cell r="AE2760">
            <v>0.25</v>
          </cell>
          <cell r="AF2760">
            <v>0.25</v>
          </cell>
          <cell r="AG2760">
            <v>0.25</v>
          </cell>
          <cell r="AH2760">
            <v>0.25</v>
          </cell>
          <cell r="AI2760">
            <v>0.25</v>
          </cell>
          <cell r="AJ2760">
            <v>0.25</v>
          </cell>
          <cell r="AK2760">
            <v>0.25</v>
          </cell>
          <cell r="AL2760">
            <v>0.25</v>
          </cell>
          <cell r="AM2760">
            <v>0.25</v>
          </cell>
          <cell r="AN2760">
            <v>0.25</v>
          </cell>
          <cell r="AO2760">
            <v>0.25</v>
          </cell>
          <cell r="AP2760">
            <v>0.25</v>
          </cell>
          <cell r="AQ2760">
            <v>0.25</v>
          </cell>
          <cell r="AR2760">
            <v>0.25</v>
          </cell>
          <cell r="AS2760">
            <v>0.25</v>
          </cell>
          <cell r="AT2760">
            <v>-0.04</v>
          </cell>
          <cell r="AU2760">
            <v>0.87</v>
          </cell>
          <cell r="AV2760">
            <v>20</v>
          </cell>
          <cell r="AZ2760">
            <v>0.25</v>
          </cell>
          <cell r="BA2760">
            <v>0.25</v>
          </cell>
        </row>
        <row r="2761">
          <cell r="A2761" t="str">
            <v>P.M. INFISSI DI AGATINO MANGANO</v>
          </cell>
          <cell r="B2761" t="str">
            <v>09/11/22 NON CONOSCE. NON HA RICHIESTE, MA PARE INTERESSATO. MAIL INFO</v>
          </cell>
          <cell r="D2761" t="str">
            <v>VIA A. DI SANGIULIANO, 103</v>
          </cell>
          <cell r="E2761">
            <v>95124</v>
          </cell>
          <cell r="F2761" t="str">
            <v>CATANIA</v>
          </cell>
          <cell r="G2761" t="str">
            <v>CT</v>
          </cell>
          <cell r="H2761" t="str">
            <v>ITALIA</v>
          </cell>
          <cell r="M2761" t="str">
            <v>UFFICIO ACQUISTI</v>
          </cell>
          <cell r="O2761" t="str">
            <v>347 7248333</v>
          </cell>
          <cell r="P2761" t="str">
            <v>p.m.infissi@tim.it</v>
          </cell>
          <cell r="R2761" t="str">
            <v>BONIFICO BANCARIO, ALLA DATA DELLA NOSTRA CONFERMA D'ORDINE</v>
          </cell>
          <cell r="X2761">
            <v>0.25</v>
          </cell>
          <cell r="Y2761">
            <v>-0.04</v>
          </cell>
          <cell r="AB2761">
            <v>0.25</v>
          </cell>
          <cell r="AC2761">
            <v>0.25</v>
          </cell>
          <cell r="AD2761">
            <v>0.25</v>
          </cell>
          <cell r="AE2761">
            <v>0.25</v>
          </cell>
          <cell r="AF2761">
            <v>0.25</v>
          </cell>
          <cell r="AG2761">
            <v>0.25</v>
          </cell>
          <cell r="AH2761">
            <v>0.25</v>
          </cell>
          <cell r="AI2761">
            <v>0.25</v>
          </cell>
          <cell r="AJ2761">
            <v>0.25</v>
          </cell>
          <cell r="AK2761">
            <v>0.25</v>
          </cell>
          <cell r="AL2761">
            <v>0.25</v>
          </cell>
          <cell r="AM2761">
            <v>0.25</v>
          </cell>
          <cell r="AN2761">
            <v>0.25</v>
          </cell>
          <cell r="AO2761">
            <v>0.25</v>
          </cell>
          <cell r="AP2761">
            <v>0.25</v>
          </cell>
          <cell r="AQ2761">
            <v>0.25</v>
          </cell>
          <cell r="AR2761">
            <v>0.25</v>
          </cell>
          <cell r="AS2761">
            <v>0.25</v>
          </cell>
          <cell r="AT2761">
            <v>-0.04</v>
          </cell>
          <cell r="AU2761">
            <v>0.87</v>
          </cell>
          <cell r="AV2761">
            <v>20</v>
          </cell>
          <cell r="AZ2761">
            <v>0.25</v>
          </cell>
          <cell r="BA2761">
            <v>0.25</v>
          </cell>
        </row>
        <row r="2762">
          <cell r="A2762" t="str">
            <v>RUTA SERRAMENTI</v>
          </cell>
          <cell r="B2762" t="str">
            <v>09/11/22 NON CONOSCE IL PRODOTTO MA PENSA POSSA ESSERE UNA BUONA OPPORTUNITA' DA INSERIRE NELLA GAMMA. PARLA CON PADRE E FRATELLO. MANDATA MAIL</v>
          </cell>
          <cell r="D2762" t="str">
            <v>VIA ETNEA, 111</v>
          </cell>
          <cell r="E2762">
            <v>95030</v>
          </cell>
          <cell r="F2762" t="str">
            <v>TREMESTIERI ETNEO</v>
          </cell>
          <cell r="G2762" t="str">
            <v>CT</v>
          </cell>
          <cell r="H2762" t="str">
            <v>ITALIA</v>
          </cell>
          <cell r="M2762" t="str">
            <v>UFFICIO ACQUISTI</v>
          </cell>
          <cell r="N2762" t="str">
            <v>095 212385</v>
          </cell>
          <cell r="P2762" t="str">
            <v>info@rutaserramenti.it</v>
          </cell>
          <cell r="R2762" t="str">
            <v>BONIFICO BANCARIO, ALLA DATA DELLA NOSTRA CONFERMA D'ORDINE</v>
          </cell>
          <cell r="X2762">
            <v>0.25</v>
          </cell>
          <cell r="Y2762">
            <v>-0.04</v>
          </cell>
          <cell r="AB2762">
            <v>0.25</v>
          </cell>
          <cell r="AC2762">
            <v>0.25</v>
          </cell>
          <cell r="AD2762">
            <v>0.25</v>
          </cell>
          <cell r="AE2762">
            <v>0.25</v>
          </cell>
          <cell r="AF2762">
            <v>0.25</v>
          </cell>
          <cell r="AG2762">
            <v>0.25</v>
          </cell>
          <cell r="AH2762">
            <v>0.25</v>
          </cell>
          <cell r="AI2762">
            <v>0.25</v>
          </cell>
          <cell r="AJ2762">
            <v>0.25</v>
          </cell>
          <cell r="AK2762">
            <v>0.25</v>
          </cell>
          <cell r="AL2762">
            <v>0.25</v>
          </cell>
          <cell r="AM2762">
            <v>0.25</v>
          </cell>
          <cell r="AN2762">
            <v>0.25</v>
          </cell>
          <cell r="AO2762">
            <v>0.25</v>
          </cell>
          <cell r="AP2762">
            <v>0.25</v>
          </cell>
          <cell r="AQ2762">
            <v>0.25</v>
          </cell>
          <cell r="AR2762">
            <v>0.25</v>
          </cell>
          <cell r="AS2762">
            <v>0.25</v>
          </cell>
          <cell r="AT2762">
            <v>-0.04</v>
          </cell>
          <cell r="AU2762">
            <v>0.87</v>
          </cell>
          <cell r="AV2762">
            <v>20</v>
          </cell>
          <cell r="AZ2762">
            <v>0.25</v>
          </cell>
          <cell r="BA2762">
            <v>0.25</v>
          </cell>
        </row>
        <row r="2763">
          <cell r="A2763" t="str">
            <v>P.M. SERRAMENTI</v>
          </cell>
          <cell r="B2763" t="str">
            <v>09/11/22 PARLATO CON IMPIEGATA STRANIERA. SI CAPIVA POCO. QUANDO RICHIAMO CHIEDERE DEL SIG. GIUSEPPE. INTANTO MANDO MAIL</v>
          </cell>
          <cell r="D2763" t="str">
            <v>VIALE DELLA RESISTENZA, 108</v>
          </cell>
          <cell r="E2763">
            <v>95032</v>
          </cell>
          <cell r="F2763" t="str">
            <v>BELPASSO</v>
          </cell>
          <cell r="G2763" t="str">
            <v>CT</v>
          </cell>
          <cell r="H2763" t="str">
            <v>ITALIA</v>
          </cell>
          <cell r="M2763" t="str">
            <v>UFFICIO ACQUISTI</v>
          </cell>
          <cell r="N2763" t="str">
            <v>095 391081</v>
          </cell>
          <cell r="P2763" t="str">
            <v>pmserramenti@outlook.it</v>
          </cell>
          <cell r="R2763" t="str">
            <v>BONIFICO BANCARIO, ALLA DATA DELLA NOSTRA CONFERMA D'ORDINE</v>
          </cell>
          <cell r="X2763">
            <v>0.25</v>
          </cell>
          <cell r="Y2763">
            <v>-0.04</v>
          </cell>
          <cell r="AB2763">
            <v>0.25</v>
          </cell>
          <cell r="AC2763">
            <v>0.25</v>
          </cell>
          <cell r="AD2763">
            <v>0.25</v>
          </cell>
          <cell r="AE2763">
            <v>0.25</v>
          </cell>
          <cell r="AF2763">
            <v>0.25</v>
          </cell>
          <cell r="AG2763">
            <v>0.25</v>
          </cell>
          <cell r="AH2763">
            <v>0.25</v>
          </cell>
          <cell r="AI2763">
            <v>0.25</v>
          </cell>
          <cell r="AJ2763">
            <v>0.25</v>
          </cell>
          <cell r="AK2763">
            <v>0.25</v>
          </cell>
          <cell r="AL2763">
            <v>0.25</v>
          </cell>
          <cell r="AM2763">
            <v>0.25</v>
          </cell>
          <cell r="AN2763">
            <v>0.25</v>
          </cell>
          <cell r="AO2763">
            <v>0.25</v>
          </cell>
          <cell r="AP2763">
            <v>0.25</v>
          </cell>
          <cell r="AQ2763">
            <v>0.25</v>
          </cell>
          <cell r="AR2763">
            <v>0.25</v>
          </cell>
          <cell r="AS2763">
            <v>0.25</v>
          </cell>
          <cell r="AT2763">
            <v>-0.04</v>
          </cell>
          <cell r="AU2763">
            <v>0.87</v>
          </cell>
          <cell r="AV2763">
            <v>20</v>
          </cell>
          <cell r="AZ2763">
            <v>0.25</v>
          </cell>
          <cell r="BA2763">
            <v>0.25</v>
          </cell>
        </row>
        <row r="2764">
          <cell r="A2764" t="str">
            <v>CORDURSO INFISSI</v>
          </cell>
          <cell r="B2764" t="str">
            <v>09/11/22 PARLATO CON TIZIANA, TITOLARE. DICE CHE LE MONTANO E HANNO GIA' FORNITORI SIA LOCALI CHE ESTERI. NON HA VOLUTO DIRE IL NOME. MANDATA MAIL 13/03/23 VISITATO DA MARCO. PROPRIETARIO 70 ANNI, MA CI SONO LE DUE FIGLIE. VORREBBE CAMPIONE GRATIS. COSA FARE?</v>
          </cell>
          <cell r="D2764" t="str">
            <v>ZONA INDUSTRIALE C/DA RICIPUTO</v>
          </cell>
          <cell r="E2764">
            <v>96016</v>
          </cell>
          <cell r="F2764" t="str">
            <v xml:space="preserve">LENTINI </v>
          </cell>
          <cell r="G2764" t="str">
            <v>SR</v>
          </cell>
          <cell r="H2764" t="str">
            <v>ITALIA</v>
          </cell>
          <cell r="M2764" t="str">
            <v>UFFICIO ACQUISTI</v>
          </cell>
          <cell r="N2764" t="str">
            <v>0957 833801</v>
          </cell>
          <cell r="P2764" t="str">
            <v>condursoinfissi@gmail.com</v>
          </cell>
          <cell r="R2764" t="str">
            <v>BONIFICO BANCARIO, ALLA DATA DELLA NOSTRA CONFERMA D'ORDINE</v>
          </cell>
          <cell r="X2764">
            <v>0.25</v>
          </cell>
          <cell r="Y2764">
            <v>-0.04</v>
          </cell>
          <cell r="AB2764">
            <v>0.25</v>
          </cell>
          <cell r="AC2764">
            <v>0.25</v>
          </cell>
          <cell r="AD2764">
            <v>0.25</v>
          </cell>
          <cell r="AE2764">
            <v>0.25</v>
          </cell>
          <cell r="AF2764">
            <v>0.25</v>
          </cell>
          <cell r="AG2764">
            <v>0.25</v>
          </cell>
          <cell r="AH2764">
            <v>0.25</v>
          </cell>
          <cell r="AI2764">
            <v>0.25</v>
          </cell>
          <cell r="AJ2764">
            <v>0.25</v>
          </cell>
          <cell r="AK2764">
            <v>0.25</v>
          </cell>
          <cell r="AL2764">
            <v>0.25</v>
          </cell>
          <cell r="AM2764">
            <v>0.25</v>
          </cell>
          <cell r="AN2764">
            <v>0.25</v>
          </cell>
          <cell r="AO2764">
            <v>0.25</v>
          </cell>
          <cell r="AP2764">
            <v>0.25</v>
          </cell>
          <cell r="AQ2764">
            <v>0.25</v>
          </cell>
          <cell r="AR2764">
            <v>0.25</v>
          </cell>
          <cell r="AS2764">
            <v>0.25</v>
          </cell>
          <cell r="AT2764">
            <v>-0.04</v>
          </cell>
          <cell r="AU2764">
            <v>0.87</v>
          </cell>
          <cell r="AV2764">
            <v>20</v>
          </cell>
          <cell r="AZ2764">
            <v>0.25</v>
          </cell>
          <cell r="BA2764">
            <v>0.25</v>
          </cell>
        </row>
        <row r="2765">
          <cell r="A2765" t="str">
            <v>MINGOZZI ANTONIO</v>
          </cell>
          <cell r="D2765" t="str">
            <v>VIA LUIGI MANGARINI, 3/C</v>
          </cell>
          <cell r="E2765" t="str">
            <v>44019</v>
          </cell>
          <cell r="F2765" t="str">
            <v>VOGHIERA</v>
          </cell>
          <cell r="G2765" t="str">
            <v>FE</v>
          </cell>
          <cell r="H2765" t="str">
            <v>ITALIA</v>
          </cell>
          <cell r="I2765" t="str">
            <v>MNGNTN57M01G916M</v>
          </cell>
          <cell r="J2765" t="str">
            <v>01518650385</v>
          </cell>
          <cell r="M2765" t="str">
            <v>UFFICIO ACQUISTI</v>
          </cell>
          <cell r="N2765" t="str">
            <v>0532 328933</v>
          </cell>
          <cell r="O2765" t="str">
            <v>339 7829714</v>
          </cell>
          <cell r="P2765" t="str">
            <v>mingozzifabbro@alice.it</v>
          </cell>
          <cell r="R2765" t="str">
            <v>BONIFICO BANCARIO, ALLA DATA DELLA NOSTRA CONFERMA D'ORDINE</v>
          </cell>
          <cell r="X2765">
            <v>0.25</v>
          </cell>
          <cell r="Y2765">
            <v>-0.04</v>
          </cell>
          <cell r="AB2765">
            <v>0.25</v>
          </cell>
          <cell r="AC2765">
            <v>0.25</v>
          </cell>
          <cell r="AD2765">
            <v>0.25</v>
          </cell>
          <cell r="AE2765">
            <v>0.25</v>
          </cell>
          <cell r="AF2765">
            <v>0.25</v>
          </cell>
          <cell r="AG2765">
            <v>0.25</v>
          </cell>
          <cell r="AH2765">
            <v>0.25</v>
          </cell>
          <cell r="AI2765">
            <v>0.25</v>
          </cell>
          <cell r="AJ2765">
            <v>0.25</v>
          </cell>
          <cell r="AK2765">
            <v>0.25</v>
          </cell>
          <cell r="AL2765">
            <v>0.25</v>
          </cell>
          <cell r="AM2765">
            <v>0.25</v>
          </cell>
          <cell r="AN2765">
            <v>0.25</v>
          </cell>
          <cell r="AO2765">
            <v>0.25</v>
          </cell>
          <cell r="AP2765">
            <v>0.25</v>
          </cell>
          <cell r="AQ2765">
            <v>0.25</v>
          </cell>
          <cell r="AR2765">
            <v>0.25</v>
          </cell>
          <cell r="AS2765">
            <v>0.25</v>
          </cell>
          <cell r="AT2765">
            <v>-0.04</v>
          </cell>
          <cell r="AU2765">
            <v>0.87</v>
          </cell>
          <cell r="AV2765">
            <v>20</v>
          </cell>
          <cell r="AZ2765">
            <v>0.25</v>
          </cell>
          <cell r="BA2765">
            <v>0.25</v>
          </cell>
        </row>
        <row r="2766">
          <cell r="A2766" t="str">
            <v>SERRAMENTI ZANGARI BRUNO E C. S.N.C.</v>
          </cell>
          <cell r="D2766" t="str">
            <v>VIA LENZA, 153A</v>
          </cell>
          <cell r="E2766" t="str">
            <v>88100</v>
          </cell>
          <cell r="F2766" t="str">
            <v>CATANZARO</v>
          </cell>
          <cell r="G2766" t="str">
            <v>CZ</v>
          </cell>
          <cell r="H2766" t="str">
            <v>ITALIA</v>
          </cell>
          <cell r="J2766" t="str">
            <v>02755540792</v>
          </cell>
          <cell r="M2766" t="str">
            <v>UFFICIO ACQUISTI</v>
          </cell>
          <cell r="N2766" t="str">
            <v>0961 774549</v>
          </cell>
          <cell r="P2766" t="str">
            <v>info@zangariserramenti.it</v>
          </cell>
          <cell r="R2766" t="str">
            <v>BONIFICO BANCARIO, ALLA DATA DELLA NOSTRA CONFERMA D'ORDINE</v>
          </cell>
          <cell r="X2766">
            <v>0.25</v>
          </cell>
          <cell r="Y2766">
            <v>-0.04</v>
          </cell>
          <cell r="AB2766">
            <v>0.25</v>
          </cell>
          <cell r="AC2766">
            <v>0.25</v>
          </cell>
          <cell r="AD2766">
            <v>0.25</v>
          </cell>
          <cell r="AE2766">
            <v>0.25</v>
          </cell>
          <cell r="AF2766">
            <v>0.25</v>
          </cell>
          <cell r="AG2766">
            <v>0.25</v>
          </cell>
          <cell r="AH2766">
            <v>0.25</v>
          </cell>
          <cell r="AI2766">
            <v>0.25</v>
          </cell>
          <cell r="AJ2766">
            <v>0.25</v>
          </cell>
          <cell r="AK2766">
            <v>0.25</v>
          </cell>
          <cell r="AL2766">
            <v>0.25</v>
          </cell>
          <cell r="AM2766">
            <v>0.25</v>
          </cell>
          <cell r="AN2766">
            <v>0.25</v>
          </cell>
          <cell r="AO2766">
            <v>0.25</v>
          </cell>
          <cell r="AP2766">
            <v>0.25</v>
          </cell>
          <cell r="AQ2766">
            <v>0.25</v>
          </cell>
          <cell r="AR2766">
            <v>0.25</v>
          </cell>
          <cell r="AS2766">
            <v>0.25</v>
          </cell>
          <cell r="AT2766">
            <v>-0.04</v>
          </cell>
          <cell r="AU2766">
            <v>0.87</v>
          </cell>
          <cell r="AV2766">
            <v>20</v>
          </cell>
          <cell r="AW2766" t="str">
            <v>PIETRO OLIVADOTI</v>
          </cell>
          <cell r="AX2766">
            <v>0.95</v>
          </cell>
          <cell r="AZ2766">
            <v>0.25</v>
          </cell>
          <cell r="BA2766">
            <v>0.25</v>
          </cell>
        </row>
        <row r="2767">
          <cell r="A2767" t="str">
            <v>VACANTI &amp; FAVARA</v>
          </cell>
          <cell r="B2767" t="str">
            <v>06/03/2023 Vuole visita ma non si ricorda la mail. Già visitato in passato (non me lo ha detto lui ma lo so perché presente su file rivenditori). 13/03/23 VISITATO DA MARCO. OPERAIO HA DETTO CHE COMPRANO BARRIERE DA AIELLO MA TITOLARI DICONO DI NO. SECONDO MARCO NON SONO INTERESSATI</v>
          </cell>
          <cell r="D2767" t="str">
            <v>VIALE REGIONE SICILIA, 3</v>
          </cell>
          <cell r="E2767" t="str">
            <v>96016</v>
          </cell>
          <cell r="F2767" t="str">
            <v>LENTINI</v>
          </cell>
          <cell r="G2767" t="str">
            <v>SR</v>
          </cell>
          <cell r="H2767" t="str">
            <v>ITALIA</v>
          </cell>
          <cell r="M2767" t="str">
            <v>SIGG. VACANTI E FAVARA</v>
          </cell>
          <cell r="O2767" t="str">
            <v>393 9628119</v>
          </cell>
          <cell r="R2767" t="str">
            <v>BONIFICO BANCARIO, ALLA DATA DELLA NOSTRA CONFERMA D'ORDINE</v>
          </cell>
          <cell r="X2767">
            <v>0.25</v>
          </cell>
          <cell r="Y2767">
            <v>-0.04</v>
          </cell>
          <cell r="AB2767">
            <v>0.25</v>
          </cell>
          <cell r="AC2767">
            <v>0.25</v>
          </cell>
          <cell r="AD2767">
            <v>0.25</v>
          </cell>
          <cell r="AE2767">
            <v>0.25</v>
          </cell>
          <cell r="AF2767">
            <v>0.25</v>
          </cell>
          <cell r="AG2767">
            <v>0.25</v>
          </cell>
          <cell r="AH2767">
            <v>0.25</v>
          </cell>
          <cell r="AI2767">
            <v>0.25</v>
          </cell>
          <cell r="AJ2767">
            <v>0.25</v>
          </cell>
          <cell r="AK2767">
            <v>0.25</v>
          </cell>
          <cell r="AL2767">
            <v>0.25</v>
          </cell>
          <cell r="AM2767">
            <v>0.25</v>
          </cell>
          <cell r="AN2767">
            <v>0.25</v>
          </cell>
          <cell r="AO2767">
            <v>0.25</v>
          </cell>
          <cell r="AP2767">
            <v>0.25</v>
          </cell>
          <cell r="AQ2767">
            <v>0.25</v>
          </cell>
          <cell r="AR2767">
            <v>0.25</v>
          </cell>
          <cell r="AS2767">
            <v>0.25</v>
          </cell>
          <cell r="AT2767">
            <v>-0.04</v>
          </cell>
          <cell r="AU2767">
            <v>0.87</v>
          </cell>
          <cell r="AV2767">
            <v>20</v>
          </cell>
          <cell r="AZ2767">
            <v>0.25</v>
          </cell>
          <cell r="BA2767">
            <v>0.25</v>
          </cell>
        </row>
        <row r="2768">
          <cell r="A2768" t="str">
            <v>LOMBARDO &amp; MONTICCIOLO</v>
          </cell>
          <cell r="B2768" t="str">
            <v>06/03/23 Le fanno artigianali ma sono consapevoli che non funzionano a dovere. Appuntamento con Sig. Lombardo</v>
          </cell>
          <cell r="D2768" t="str">
            <v>CONTRADA PEZZAGRANDE</v>
          </cell>
          <cell r="E2768" t="str">
            <v>96011</v>
          </cell>
          <cell r="F2768" t="str">
            <v>AUGUSTA</v>
          </cell>
          <cell r="G2768" t="str">
            <v>SR</v>
          </cell>
          <cell r="H2768" t="str">
            <v>ITALIA</v>
          </cell>
          <cell r="M2768" t="str">
            <v>UFFICIO ACQUISTI</v>
          </cell>
          <cell r="O2768" t="str">
            <v>329 9893991</v>
          </cell>
          <cell r="P2768" t="str">
            <v>emall@live.it</v>
          </cell>
          <cell r="R2768" t="str">
            <v>BONIFICO BANCARIO, ALLA DATA DELLA NOSTRA CONFERMA D'ORDINE</v>
          </cell>
          <cell r="X2768">
            <v>0.25</v>
          </cell>
          <cell r="Y2768">
            <v>-0.04</v>
          </cell>
          <cell r="AB2768">
            <v>0.25</v>
          </cell>
          <cell r="AC2768">
            <v>0.25</v>
          </cell>
          <cell r="AD2768">
            <v>0.25</v>
          </cell>
          <cell r="AE2768">
            <v>0.25</v>
          </cell>
          <cell r="AF2768">
            <v>0.25</v>
          </cell>
          <cell r="AG2768">
            <v>0.25</v>
          </cell>
          <cell r="AH2768">
            <v>0.25</v>
          </cell>
          <cell r="AI2768">
            <v>0.25</v>
          </cell>
          <cell r="AJ2768">
            <v>0.25</v>
          </cell>
          <cell r="AK2768">
            <v>0.25</v>
          </cell>
          <cell r="AL2768">
            <v>0.25</v>
          </cell>
          <cell r="AM2768">
            <v>0.25</v>
          </cell>
          <cell r="AN2768">
            <v>0.25</v>
          </cell>
          <cell r="AO2768">
            <v>0.25</v>
          </cell>
          <cell r="AP2768">
            <v>0.25</v>
          </cell>
          <cell r="AQ2768">
            <v>0.25</v>
          </cell>
          <cell r="AR2768">
            <v>0.25</v>
          </cell>
          <cell r="AS2768">
            <v>0.25</v>
          </cell>
          <cell r="AT2768">
            <v>-0.04</v>
          </cell>
          <cell r="AU2768">
            <v>0.87</v>
          </cell>
          <cell r="AV2768">
            <v>20</v>
          </cell>
          <cell r="AZ2768">
            <v>0.25</v>
          </cell>
          <cell r="BA2768">
            <v>0.25</v>
          </cell>
        </row>
        <row r="2769">
          <cell r="A2769" t="str">
            <v>E.C. INFISSI S.R.L.S.</v>
          </cell>
          <cell r="B2769" t="str">
            <v>06/03/23 Ha ricevuto qualche richiesta. Interessato anche se non piove mai. Sig. Emanuele o Giovanni (il padre). Visita di Marco 07/03 e mandata proposta campione</v>
          </cell>
          <cell r="D2769" t="str">
            <v>VIALE SCALA GRECA, 335</v>
          </cell>
          <cell r="E2769" t="str">
            <v>96100</v>
          </cell>
          <cell r="F2769" t="str">
            <v>SIRACUSA</v>
          </cell>
          <cell r="G2769" t="str">
            <v>SR</v>
          </cell>
          <cell r="H2769" t="str">
            <v>ITALIA</v>
          </cell>
          <cell r="J2769" t="str">
            <v>02090680899</v>
          </cell>
          <cell r="K2769" t="str">
            <v>M5UXCR1</v>
          </cell>
          <cell r="M2769" t="str">
            <v>UFFICIO ACQUISTI</v>
          </cell>
          <cell r="O2769" t="str">
            <v>392 3675351</v>
          </cell>
          <cell r="P2769" t="str">
            <v>ecinfissisrls@gmail.com</v>
          </cell>
          <cell r="R2769" t="str">
            <v>BONIFICO BANCARIO, ALLA DATA DELLA NOSTRA CONFERMA D'ORDINE</v>
          </cell>
          <cell r="X2769">
            <v>0.25</v>
          </cell>
          <cell r="Y2769">
            <v>-0.04</v>
          </cell>
          <cell r="AB2769">
            <v>0.25</v>
          </cell>
          <cell r="AC2769">
            <v>0.25</v>
          </cell>
          <cell r="AD2769">
            <v>0.25</v>
          </cell>
          <cell r="AE2769">
            <v>0.25</v>
          </cell>
          <cell r="AF2769">
            <v>0.25</v>
          </cell>
          <cell r="AG2769">
            <v>0.25</v>
          </cell>
          <cell r="AH2769">
            <v>0.25</v>
          </cell>
          <cell r="AI2769">
            <v>0.25</v>
          </cell>
          <cell r="AJ2769">
            <v>0.25</v>
          </cell>
          <cell r="AK2769">
            <v>0.25</v>
          </cell>
          <cell r="AL2769">
            <v>0.25</v>
          </cell>
          <cell r="AM2769">
            <v>0.25</v>
          </cell>
          <cell r="AN2769">
            <v>0.25</v>
          </cell>
          <cell r="AO2769">
            <v>0.25</v>
          </cell>
          <cell r="AP2769">
            <v>0.25</v>
          </cell>
          <cell r="AQ2769">
            <v>0.25</v>
          </cell>
          <cell r="AR2769">
            <v>0.25</v>
          </cell>
          <cell r="AS2769">
            <v>0.25</v>
          </cell>
          <cell r="AT2769">
            <v>-0.04</v>
          </cell>
          <cell r="AU2769">
            <v>0.87</v>
          </cell>
          <cell r="AV2769">
            <v>20</v>
          </cell>
          <cell r="AZ2769">
            <v>0.25</v>
          </cell>
          <cell r="BA2769">
            <v>0.25</v>
          </cell>
        </row>
        <row r="2770">
          <cell r="A2770" t="str">
            <v>OFFICINA FABBRI CIRASA DI CIRASA DARIO</v>
          </cell>
          <cell r="B2770" t="str">
            <v>06/03/23 Visitato da Marco E MANDATE PROPOSTE CLICK E MODERNA</v>
          </cell>
          <cell r="D2770" t="str">
            <v>VIALE PANTANELLI, 11</v>
          </cell>
          <cell r="E2770" t="str">
            <v>96100</v>
          </cell>
          <cell r="F2770" t="str">
            <v>SIRACUSA</v>
          </cell>
          <cell r="G2770" t="str">
            <v>SR</v>
          </cell>
          <cell r="H2770" t="str">
            <v>ITALIA</v>
          </cell>
          <cell r="J2770" t="str">
            <v>01570300895</v>
          </cell>
          <cell r="K2770" t="str">
            <v>KRRH6B9</v>
          </cell>
          <cell r="M2770" t="str">
            <v>SIG. CIRASA</v>
          </cell>
          <cell r="O2770" t="str">
            <v>320 1157141</v>
          </cell>
          <cell r="P2770" t="str">
            <v>dario.cirasa@gmail.com</v>
          </cell>
          <cell r="R2770" t="str">
            <v>BONIFICO BANCARIO, ALLA DATA DELLA NOSTRA CONFERMA D'ORDINE</v>
          </cell>
          <cell r="X2770">
            <v>0.25</v>
          </cell>
          <cell r="Y2770">
            <v>-0.04</v>
          </cell>
          <cell r="AB2770">
            <v>0.25</v>
          </cell>
          <cell r="AC2770">
            <v>0.25</v>
          </cell>
          <cell r="AD2770">
            <v>0.25</v>
          </cell>
          <cell r="AE2770">
            <v>0.25</v>
          </cell>
          <cell r="AF2770">
            <v>0.25</v>
          </cell>
          <cell r="AG2770">
            <v>0.25</v>
          </cell>
          <cell r="AH2770">
            <v>0.25</v>
          </cell>
          <cell r="AI2770">
            <v>0.25</v>
          </cell>
          <cell r="AJ2770">
            <v>0.25</v>
          </cell>
          <cell r="AK2770">
            <v>0.25</v>
          </cell>
          <cell r="AL2770">
            <v>0.25</v>
          </cell>
          <cell r="AM2770">
            <v>0.25</v>
          </cell>
          <cell r="AN2770">
            <v>0.25</v>
          </cell>
          <cell r="AO2770">
            <v>0.25</v>
          </cell>
          <cell r="AP2770">
            <v>0.25</v>
          </cell>
          <cell r="AQ2770">
            <v>0.25</v>
          </cell>
          <cell r="AR2770">
            <v>0.25</v>
          </cell>
          <cell r="AS2770">
            <v>0.25</v>
          </cell>
          <cell r="AT2770">
            <v>-0.04</v>
          </cell>
          <cell r="AU2770">
            <v>0.87</v>
          </cell>
          <cell r="AV2770">
            <v>20</v>
          </cell>
          <cell r="AZ2770">
            <v>0.25</v>
          </cell>
          <cell r="BA2770">
            <v>0.25</v>
          </cell>
        </row>
        <row r="2771">
          <cell r="A2771" t="str">
            <v>TUTTOINFISSI E NON SOLO</v>
          </cell>
          <cell r="B2771" t="str">
            <v>06/03/23 Hanno richieste! Dice che la sua zona si allaga e quando si allaga fa danni ingenti. 07/03/23 Visitato da Marco E MANDATE PROPOSTE CLICK E MODERNA</v>
          </cell>
          <cell r="D2771" t="str">
            <v>VIA MALTA, 67/69</v>
          </cell>
          <cell r="E2771" t="str">
            <v>96100</v>
          </cell>
          <cell r="F2771" t="str">
            <v>SIRACUSA</v>
          </cell>
          <cell r="G2771" t="str">
            <v>SR</v>
          </cell>
          <cell r="H2771" t="str">
            <v>ITALIA</v>
          </cell>
          <cell r="J2771" t="str">
            <v>01671780896 </v>
          </cell>
          <cell r="M2771" t="str">
            <v>UFFICIO ACQUISTI</v>
          </cell>
          <cell r="O2771" t="str">
            <v>347 1840031</v>
          </cell>
          <cell r="P2771" t="str">
            <v>tuttoinfissisiracusa@gmail.com</v>
          </cell>
          <cell r="R2771" t="str">
            <v>BONIFICO BANCARIO, ALLA DATA DELLA NOSTRA CONFERMA D'ORDINE</v>
          </cell>
          <cell r="X2771">
            <v>0.25</v>
          </cell>
          <cell r="Y2771">
            <v>-0.04</v>
          </cell>
          <cell r="AB2771">
            <v>0.25</v>
          </cell>
          <cell r="AC2771">
            <v>0.25</v>
          </cell>
          <cell r="AD2771">
            <v>0.25</v>
          </cell>
          <cell r="AE2771">
            <v>0.25</v>
          </cell>
          <cell r="AF2771">
            <v>0.25</v>
          </cell>
          <cell r="AG2771">
            <v>0.25</v>
          </cell>
          <cell r="AH2771">
            <v>0.25</v>
          </cell>
          <cell r="AI2771">
            <v>0.25</v>
          </cell>
          <cell r="AJ2771">
            <v>0.25</v>
          </cell>
          <cell r="AK2771">
            <v>0.25</v>
          </cell>
          <cell r="AL2771">
            <v>0.25</v>
          </cell>
          <cell r="AM2771">
            <v>0.25</v>
          </cell>
          <cell r="AN2771">
            <v>0.25</v>
          </cell>
          <cell r="AO2771">
            <v>0.25</v>
          </cell>
          <cell r="AP2771">
            <v>0.25</v>
          </cell>
          <cell r="AQ2771">
            <v>0.25</v>
          </cell>
          <cell r="AR2771">
            <v>0.25</v>
          </cell>
          <cell r="AS2771">
            <v>0.25</v>
          </cell>
          <cell r="AT2771">
            <v>-0.04</v>
          </cell>
          <cell r="AU2771">
            <v>0.87</v>
          </cell>
          <cell r="AV2771">
            <v>20</v>
          </cell>
          <cell r="AZ2771">
            <v>0.25</v>
          </cell>
          <cell r="BA2771">
            <v>0.25</v>
          </cell>
        </row>
        <row r="2772">
          <cell r="A2772" t="str">
            <v>C. &amp; G. SERRAMENTI</v>
          </cell>
          <cell r="B2772" t="str">
            <v>06/03/23 Non conoscono il prodotto ma sono aperti a nuovi mercati. Visita Marco</v>
          </cell>
          <cell r="D2772" t="str">
            <v>VIA PER FLORIDIA, 68</v>
          </cell>
          <cell r="E2772" t="str">
            <v>96100</v>
          </cell>
          <cell r="F2772" t="str">
            <v>SIRACUSA</v>
          </cell>
          <cell r="G2772" t="str">
            <v>SR</v>
          </cell>
          <cell r="H2772" t="str">
            <v>ITALIA</v>
          </cell>
          <cell r="J2772" t="str">
            <v>01921210892</v>
          </cell>
          <cell r="M2772" t="str">
            <v>UFFICIO ACQUISTI</v>
          </cell>
          <cell r="N2772" t="str">
            <v>0931 340584</v>
          </cell>
          <cell r="O2772" t="str">
            <v>391 4004375</v>
          </cell>
          <cell r="P2772" t="str">
            <v>acquisti@cegserramenti.it</v>
          </cell>
          <cell r="R2772" t="str">
            <v>BONIFICO BANCARIO, ALLA DATA DELLA NOSTRA CONFERMA D'ORDINE</v>
          </cell>
          <cell r="X2772">
            <v>0.25</v>
          </cell>
          <cell r="Y2772">
            <v>-0.04</v>
          </cell>
          <cell r="AB2772">
            <v>0.25</v>
          </cell>
          <cell r="AC2772">
            <v>0.25</v>
          </cell>
          <cell r="AD2772">
            <v>0.25</v>
          </cell>
          <cell r="AE2772">
            <v>0.25</v>
          </cell>
          <cell r="AF2772">
            <v>0.25</v>
          </cell>
          <cell r="AG2772">
            <v>0.25</v>
          </cell>
          <cell r="AH2772">
            <v>0.25</v>
          </cell>
          <cell r="AI2772">
            <v>0.25</v>
          </cell>
          <cell r="AJ2772">
            <v>0.25</v>
          </cell>
          <cell r="AK2772">
            <v>0.25</v>
          </cell>
          <cell r="AL2772">
            <v>0.25</v>
          </cell>
          <cell r="AM2772">
            <v>0.25</v>
          </cell>
          <cell r="AN2772">
            <v>0.25</v>
          </cell>
          <cell r="AO2772">
            <v>0.25</v>
          </cell>
          <cell r="AP2772">
            <v>0.25</v>
          </cell>
          <cell r="AQ2772">
            <v>0.25</v>
          </cell>
          <cell r="AR2772">
            <v>0.25</v>
          </cell>
          <cell r="AS2772">
            <v>0.25</v>
          </cell>
          <cell r="AT2772">
            <v>-0.04</v>
          </cell>
          <cell r="AU2772">
            <v>0.87</v>
          </cell>
          <cell r="AV2772">
            <v>20</v>
          </cell>
          <cell r="AZ2772">
            <v>0.25</v>
          </cell>
          <cell r="BA2772">
            <v>0.25</v>
          </cell>
        </row>
        <row r="2773">
          <cell r="A2773" t="str">
            <v>ARKITEMA PORTE E FINESTRE</v>
          </cell>
          <cell r="B2773" t="str">
            <v>06/03/2023 Molto interessato! Si occupano di infissi, sezionali… dice che nel centro storico di Modica molti esercizi commerciali hanno questa problematica. Appuntamento con Sig. Michele 08/03/23 VISITA MARCO. MANDATA PROPOSTA CLICK</v>
          </cell>
          <cell r="D2773" t="str">
            <v>VIA RISORGIMENTO, 45</v>
          </cell>
          <cell r="E2773">
            <v>97015</v>
          </cell>
          <cell r="F2773" t="str">
            <v>MODICA</v>
          </cell>
          <cell r="G2773" t="str">
            <v>RG</v>
          </cell>
          <cell r="H2773" t="str">
            <v>ITALIA</v>
          </cell>
          <cell r="J2773" t="str">
            <v>01607920889</v>
          </cell>
          <cell r="K2773" t="str">
            <v>0000000</v>
          </cell>
          <cell r="M2773" t="str">
            <v>UFFICIO ACQUISTI</v>
          </cell>
          <cell r="O2773" t="str">
            <v>342 7783117</v>
          </cell>
          <cell r="P2773" t="str">
            <v>arkitemaporte@virgilio.it</v>
          </cell>
          <cell r="R2773" t="str">
            <v>BONIFICO BANCARIO, ALLA DATA DELLA NOSTRA CONFERMA D'ORDINE</v>
          </cell>
          <cell r="X2773">
            <v>0.25</v>
          </cell>
          <cell r="Y2773">
            <v>-0.04</v>
          </cell>
          <cell r="AB2773">
            <v>0.25</v>
          </cell>
          <cell r="AC2773">
            <v>0.25</v>
          </cell>
          <cell r="AD2773">
            <v>0.25</v>
          </cell>
          <cell r="AE2773">
            <v>0.25</v>
          </cell>
          <cell r="AF2773">
            <v>0.25</v>
          </cell>
          <cell r="AG2773">
            <v>0.25</v>
          </cell>
          <cell r="AH2773">
            <v>0.25</v>
          </cell>
          <cell r="AI2773">
            <v>0.25</v>
          </cell>
          <cell r="AJ2773">
            <v>0.25</v>
          </cell>
          <cell r="AK2773">
            <v>0.25</v>
          </cell>
          <cell r="AL2773">
            <v>0.25</v>
          </cell>
          <cell r="AM2773">
            <v>0.25</v>
          </cell>
          <cell r="AN2773">
            <v>0.25</v>
          </cell>
          <cell r="AO2773">
            <v>0.25</v>
          </cell>
          <cell r="AP2773">
            <v>0.25</v>
          </cell>
          <cell r="AQ2773">
            <v>0.25</v>
          </cell>
          <cell r="AR2773">
            <v>0.25</v>
          </cell>
          <cell r="AS2773">
            <v>0.25</v>
          </cell>
          <cell r="AT2773">
            <v>-0.04</v>
          </cell>
          <cell r="AU2773">
            <v>0.87</v>
          </cell>
          <cell r="AV2773">
            <v>20</v>
          </cell>
          <cell r="AZ2773">
            <v>0.25</v>
          </cell>
          <cell r="BA2773">
            <v>0.25</v>
          </cell>
        </row>
        <row r="2774">
          <cell r="A2774" t="str">
            <v>EDILSTE S.R.L. UNIPERSONALE</v>
          </cell>
          <cell r="D2774" t="str">
            <v>VIA UMBERTO INGINO, 57</v>
          </cell>
          <cell r="E2774">
            <v>71121</v>
          </cell>
          <cell r="F2774" t="str">
            <v>FOGGIA</v>
          </cell>
          <cell r="G2774" t="str">
            <v>FG</v>
          </cell>
          <cell r="H2774" t="str">
            <v>ITALIA</v>
          </cell>
          <cell r="J2774" t="str">
            <v>01749160717</v>
          </cell>
          <cell r="M2774" t="str">
            <v>UFFICIO ACQUISTI</v>
          </cell>
          <cell r="N2774" t="str">
            <v>0881 233214</v>
          </cell>
          <cell r="P2774" t="str">
            <v>edilste@libero.it</v>
          </cell>
          <cell r="R2774" t="str">
            <v>BONIFICO BANCARIO, ALLA DATA DELLA NOSTRA CONFERMA D'ORDINE</v>
          </cell>
          <cell r="X2774">
            <v>0.2</v>
          </cell>
          <cell r="Y2774">
            <v>-0.04</v>
          </cell>
          <cell r="AB2774">
            <v>0.2</v>
          </cell>
          <cell r="AC2774">
            <v>0.2</v>
          </cell>
          <cell r="AD2774">
            <v>0.2</v>
          </cell>
          <cell r="AE2774">
            <v>0.2</v>
          </cell>
          <cell r="AF2774">
            <v>0.2</v>
          </cell>
          <cell r="AG2774">
            <v>0.2</v>
          </cell>
          <cell r="AH2774">
            <v>0.2</v>
          </cell>
          <cell r="AI2774">
            <v>0.2</v>
          </cell>
          <cell r="AJ2774">
            <v>0.2</v>
          </cell>
          <cell r="AK2774">
            <v>0.2</v>
          </cell>
          <cell r="AL2774">
            <v>0.2</v>
          </cell>
          <cell r="AM2774">
            <v>0.2</v>
          </cell>
          <cell r="AN2774">
            <v>0.2</v>
          </cell>
          <cell r="AO2774">
            <v>0.2</v>
          </cell>
          <cell r="AP2774">
            <v>0.2</v>
          </cell>
          <cell r="AQ2774">
            <v>0.2</v>
          </cell>
          <cell r="AR2774">
            <v>0.2</v>
          </cell>
          <cell r="AS2774">
            <v>0.2</v>
          </cell>
          <cell r="AT2774">
            <v>-0.04</v>
          </cell>
          <cell r="AU2774">
            <v>0.87</v>
          </cell>
          <cell r="AV2774">
            <v>20</v>
          </cell>
          <cell r="AZ2774">
            <v>0.2</v>
          </cell>
          <cell r="BA2774">
            <v>0.2</v>
          </cell>
        </row>
        <row r="2775">
          <cell r="A2775" t="str">
            <v>PAPILLO FRANCESCO</v>
          </cell>
          <cell r="B2775" t="str">
            <v>06/03/23 VISITATO DA MARCO. SI TROVA VICINO A VIA ETNA, ZONA CHE SI ALLAGA. GIA' PASSATO VALENTI. DA PROVARE A PRENDERE</v>
          </cell>
          <cell r="D2775" t="str">
            <v>VIA FRANCESCO CRISPI, 19</v>
          </cell>
          <cell r="F2775" t="str">
            <v>CATANIA</v>
          </cell>
          <cell r="G2775" t="str">
            <v>CT</v>
          </cell>
          <cell r="H2775" t="str">
            <v>ITALIA</v>
          </cell>
          <cell r="J2775" t="str">
            <v>02983640879</v>
          </cell>
          <cell r="M2775" t="str">
            <v>SIG. PAPILLO</v>
          </cell>
          <cell r="N2775" t="str">
            <v>0955 30683</v>
          </cell>
          <cell r="R2775" t="str">
            <v>BONIFICO BANCARIO, ALLA DATA DELLA NOSTRA CONFERMA D'ORDINE</v>
          </cell>
          <cell r="X2775">
            <v>0.25</v>
          </cell>
          <cell r="Y2775">
            <v>-0.04</v>
          </cell>
          <cell r="AB2775">
            <v>0.25</v>
          </cell>
          <cell r="AC2775">
            <v>0.25</v>
          </cell>
          <cell r="AD2775">
            <v>0.25</v>
          </cell>
          <cell r="AE2775">
            <v>0.25</v>
          </cell>
          <cell r="AF2775">
            <v>0.25</v>
          </cell>
          <cell r="AG2775">
            <v>0.25</v>
          </cell>
          <cell r="AH2775">
            <v>0.25</v>
          </cell>
          <cell r="AI2775">
            <v>0.25</v>
          </cell>
          <cell r="AJ2775">
            <v>0.25</v>
          </cell>
          <cell r="AK2775">
            <v>0.25</v>
          </cell>
          <cell r="AL2775">
            <v>0.25</v>
          </cell>
          <cell r="AM2775">
            <v>0.25</v>
          </cell>
          <cell r="AN2775">
            <v>0.25</v>
          </cell>
          <cell r="AO2775">
            <v>0.25</v>
          </cell>
          <cell r="AP2775">
            <v>0.25</v>
          </cell>
          <cell r="AQ2775">
            <v>0.25</v>
          </cell>
          <cell r="AR2775">
            <v>0.25</v>
          </cell>
          <cell r="AS2775">
            <v>0.25</v>
          </cell>
          <cell r="AT2775">
            <v>-0.04</v>
          </cell>
          <cell r="AU2775">
            <v>0.87</v>
          </cell>
          <cell r="AV2775">
            <v>20</v>
          </cell>
          <cell r="AZ2775">
            <v>0.25</v>
          </cell>
          <cell r="BA2775">
            <v>0.25</v>
          </cell>
        </row>
        <row r="2776">
          <cell r="A2776" t="str">
            <v>GIEMME CATANIA</v>
          </cell>
          <cell r="B2776" t="str">
            <v>06/03/23 VISITA MARCO. MOLTO INTERESSATO. A 300 MT DA VIA ETNA, ZONA CHE SI ALLAGA E SI E' ALLAGATO ANCHE LUI</v>
          </cell>
          <cell r="D2776" t="str">
            <v>VIA SANT'EUPILO, 62/64</v>
          </cell>
          <cell r="E2776">
            <v>95124</v>
          </cell>
          <cell r="F2776" t="str">
            <v>CATANIA</v>
          </cell>
          <cell r="G2776" t="str">
            <v>CT</v>
          </cell>
          <cell r="H2776" t="str">
            <v>ITALIA</v>
          </cell>
          <cell r="M2776" t="str">
            <v>UFFICIO ACQUISTI</v>
          </cell>
          <cell r="O2776" t="str">
            <v>379 2267591</v>
          </cell>
          <cell r="R2776" t="str">
            <v>BONIFICO BANCARIO, ALLA DATA DELLA NOSTRA CONFERMA D'ORDINE</v>
          </cell>
          <cell r="X2776">
            <v>0.25</v>
          </cell>
          <cell r="Y2776">
            <v>-0.04</v>
          </cell>
          <cell r="AB2776">
            <v>0.25</v>
          </cell>
          <cell r="AC2776">
            <v>0.25</v>
          </cell>
          <cell r="AD2776">
            <v>0.25</v>
          </cell>
          <cell r="AE2776">
            <v>0.25</v>
          </cell>
          <cell r="AF2776">
            <v>0.25</v>
          </cell>
          <cell r="AG2776">
            <v>0.25</v>
          </cell>
          <cell r="AH2776">
            <v>0.25</v>
          </cell>
          <cell r="AI2776">
            <v>0.25</v>
          </cell>
          <cell r="AJ2776">
            <v>0.25</v>
          </cell>
          <cell r="AK2776">
            <v>0.25</v>
          </cell>
          <cell r="AL2776">
            <v>0.25</v>
          </cell>
          <cell r="AM2776">
            <v>0.25</v>
          </cell>
          <cell r="AN2776">
            <v>0.25</v>
          </cell>
          <cell r="AO2776">
            <v>0.25</v>
          </cell>
          <cell r="AP2776">
            <v>0.25</v>
          </cell>
          <cell r="AQ2776">
            <v>0.25</v>
          </cell>
          <cell r="AR2776">
            <v>0.25</v>
          </cell>
          <cell r="AS2776">
            <v>0.25</v>
          </cell>
          <cell r="AT2776">
            <v>-0.04</v>
          </cell>
          <cell r="AU2776">
            <v>0.87</v>
          </cell>
          <cell r="AV2776">
            <v>20</v>
          </cell>
          <cell r="AZ2776">
            <v>0.25</v>
          </cell>
          <cell r="BA2776">
            <v>0.25</v>
          </cell>
        </row>
        <row r="2777">
          <cell r="A2777" t="str">
            <v>CASELLA INFISSI</v>
          </cell>
          <cell r="B2777" t="str">
            <v>06/03/23 VISITATO DA MARCO</v>
          </cell>
          <cell r="D2777" t="str">
            <v>VIA TREVES, 10</v>
          </cell>
          <cell r="E2777">
            <v>96018</v>
          </cell>
          <cell r="F2777" t="str">
            <v>PACHINO</v>
          </cell>
          <cell r="G2777" t="str">
            <v>SR</v>
          </cell>
          <cell r="H2777" t="str">
            <v>ITALIA</v>
          </cell>
          <cell r="J2777" t="str">
            <v>01782670895</v>
          </cell>
          <cell r="M2777" t="str">
            <v>UFFICIO ACQUISTI</v>
          </cell>
          <cell r="N2777" t="str">
            <v>0931 594508</v>
          </cell>
          <cell r="O2777" t="str">
            <v>328 7082813</v>
          </cell>
          <cell r="P2777" t="str">
            <v>casella.infissi@live.it</v>
          </cell>
          <cell r="R2777" t="str">
            <v>BONIFICO BANCARIO, ALLA DATA DELLA NOSTRA CONFERMA D'ORDINE</v>
          </cell>
          <cell r="X2777">
            <v>0.25</v>
          </cell>
          <cell r="Y2777">
            <v>-0.04</v>
          </cell>
          <cell r="AB2777">
            <v>0.25</v>
          </cell>
          <cell r="AC2777">
            <v>0.25</v>
          </cell>
          <cell r="AD2777">
            <v>0.25</v>
          </cell>
          <cell r="AE2777">
            <v>0.25</v>
          </cell>
          <cell r="AF2777">
            <v>0.25</v>
          </cell>
          <cell r="AG2777">
            <v>0.25</v>
          </cell>
          <cell r="AH2777">
            <v>0.25</v>
          </cell>
          <cell r="AI2777">
            <v>0.25</v>
          </cell>
          <cell r="AJ2777">
            <v>0.25</v>
          </cell>
          <cell r="AK2777">
            <v>0.25</v>
          </cell>
          <cell r="AL2777">
            <v>0.25</v>
          </cell>
          <cell r="AM2777">
            <v>0.25</v>
          </cell>
          <cell r="AN2777">
            <v>0.25</v>
          </cell>
          <cell r="AO2777">
            <v>0.25</v>
          </cell>
          <cell r="AP2777">
            <v>0.25</v>
          </cell>
          <cell r="AQ2777">
            <v>0.25</v>
          </cell>
          <cell r="AR2777">
            <v>0.25</v>
          </cell>
          <cell r="AS2777">
            <v>0.25</v>
          </cell>
          <cell r="AT2777">
            <v>-0.04</v>
          </cell>
          <cell r="AU2777">
            <v>0.87</v>
          </cell>
          <cell r="AV2777">
            <v>20</v>
          </cell>
          <cell r="AZ2777">
            <v>0.25</v>
          </cell>
          <cell r="BA2777">
            <v>0.25</v>
          </cell>
        </row>
        <row r="2778">
          <cell r="A2778" t="str">
            <v>SCIARA SAVERIO</v>
          </cell>
          <cell r="B2778" t="str">
            <v>06/03/23 VISITATO DA MARCO</v>
          </cell>
          <cell r="D2778" t="str">
            <v>VIA ROSINI ANSELMI, 21</v>
          </cell>
          <cell r="E2778">
            <v>95046</v>
          </cell>
          <cell r="F2778" t="str">
            <v>PALAGONIA</v>
          </cell>
          <cell r="G2778" t="str">
            <v>CT</v>
          </cell>
          <cell r="H2778" t="str">
            <v>ITALIA</v>
          </cell>
          <cell r="J2778" t="str">
            <v>05361800872</v>
          </cell>
          <cell r="M2778" t="str">
            <v>UFFICIO ACQUISTI</v>
          </cell>
          <cell r="O2778" t="str">
            <v>335 6058587</v>
          </cell>
          <cell r="P2778" t="str">
            <v>saverio266@gmail.com</v>
          </cell>
          <cell r="R2778" t="str">
            <v>BONIFICO BANCARIO, ALLA DATA DELLA NOSTRA CONFERMA D'ORDINE</v>
          </cell>
          <cell r="X2778">
            <v>0.25</v>
          </cell>
          <cell r="Y2778">
            <v>-0.04</v>
          </cell>
          <cell r="AB2778">
            <v>0.25</v>
          </cell>
          <cell r="AC2778">
            <v>0.25</v>
          </cell>
          <cell r="AD2778">
            <v>0.25</v>
          </cell>
          <cell r="AE2778">
            <v>0.25</v>
          </cell>
          <cell r="AF2778">
            <v>0.25</v>
          </cell>
          <cell r="AG2778">
            <v>0.25</v>
          </cell>
          <cell r="AH2778">
            <v>0.25</v>
          </cell>
          <cell r="AI2778">
            <v>0.25</v>
          </cell>
          <cell r="AJ2778">
            <v>0.25</v>
          </cell>
          <cell r="AK2778">
            <v>0.25</v>
          </cell>
          <cell r="AL2778">
            <v>0.25</v>
          </cell>
          <cell r="AM2778">
            <v>0.25</v>
          </cell>
          <cell r="AN2778">
            <v>0.25</v>
          </cell>
          <cell r="AO2778">
            <v>0.25</v>
          </cell>
          <cell r="AP2778">
            <v>0.25</v>
          </cell>
          <cell r="AQ2778">
            <v>0.25</v>
          </cell>
          <cell r="AR2778">
            <v>0.25</v>
          </cell>
          <cell r="AS2778">
            <v>0.25</v>
          </cell>
          <cell r="AT2778">
            <v>-0.04</v>
          </cell>
          <cell r="AU2778">
            <v>0.87</v>
          </cell>
          <cell r="AV2778">
            <v>20</v>
          </cell>
          <cell r="AZ2778">
            <v>0.25</v>
          </cell>
          <cell r="BA2778">
            <v>0.25</v>
          </cell>
        </row>
        <row r="2779">
          <cell r="A2779" t="str">
            <v>2G INFISSI DI GORETTI GABRIELE</v>
          </cell>
          <cell r="B2779" t="str">
            <v>17/03/23 VISITATO DA RIZZOLI. INTERESSATO SOLO A MODERNA PERCHE' NEL CENTRO DI CENTO VINCOLI ARCHITETTONICI 31/03/23 ATTENDERE CHE CI MANDI LE MISURE ESATTE DELLA PORTA BLINDATA NEL SUO SHOWROOM DOVE VUOLE INSERIRE LA BARRIERA IN ESPOSIZIONE</v>
          </cell>
          <cell r="D2779" t="str">
            <v>VIA RISORGIMENTO, 40/A</v>
          </cell>
          <cell r="E2779">
            <v>44042</v>
          </cell>
          <cell r="F2779" t="str">
            <v>CENTO</v>
          </cell>
          <cell r="G2779" t="str">
            <v>FE</v>
          </cell>
          <cell r="H2779" t="str">
            <v>ITALIA</v>
          </cell>
          <cell r="J2779" t="str">
            <v>03085131203</v>
          </cell>
          <cell r="M2779" t="str">
            <v>SIG. GORETTI</v>
          </cell>
          <cell r="O2779" t="str">
            <v>345 8724535</v>
          </cell>
          <cell r="P2779" t="str">
            <v>gorettigabriele@gmail.com</v>
          </cell>
          <cell r="R2779" t="str">
            <v>BONIFICO BANCARIO, ALLA DATA DELLA NOSTRA CONFERMA D'ORDINE</v>
          </cell>
          <cell r="X2779">
            <v>0.25</v>
          </cell>
          <cell r="Y2779">
            <v>-0.04</v>
          </cell>
          <cell r="AB2779">
            <v>0.25</v>
          </cell>
          <cell r="AC2779">
            <v>0.25</v>
          </cell>
          <cell r="AD2779">
            <v>0.25</v>
          </cell>
          <cell r="AE2779">
            <v>0.25</v>
          </cell>
          <cell r="AF2779">
            <v>0.25</v>
          </cell>
          <cell r="AG2779">
            <v>0.25</v>
          </cell>
          <cell r="AH2779">
            <v>0.25</v>
          </cell>
          <cell r="AI2779">
            <v>0.25</v>
          </cell>
          <cell r="AJ2779">
            <v>0.25</v>
          </cell>
          <cell r="AK2779">
            <v>0.25</v>
          </cell>
          <cell r="AL2779">
            <v>0.25</v>
          </cell>
          <cell r="AM2779">
            <v>0.25</v>
          </cell>
          <cell r="AN2779">
            <v>0.25</v>
          </cell>
          <cell r="AO2779">
            <v>0.25</v>
          </cell>
          <cell r="AP2779">
            <v>0.25</v>
          </cell>
          <cell r="AQ2779">
            <v>0.25</v>
          </cell>
          <cell r="AR2779">
            <v>0.25</v>
          </cell>
          <cell r="AS2779">
            <v>0.25</v>
          </cell>
          <cell r="AT2779">
            <v>-0.04</v>
          </cell>
          <cell r="AU2779">
            <v>0.87</v>
          </cell>
          <cell r="AV2779">
            <v>20</v>
          </cell>
          <cell r="AZ2779">
            <v>0.25</v>
          </cell>
          <cell r="BA2779">
            <v>0.25</v>
          </cell>
        </row>
        <row r="2780">
          <cell r="A2780" t="str">
            <v>SAR SERRAMENTI BOLOGNA</v>
          </cell>
          <cell r="B2780" t="str">
            <v>24/03/23 DICE CHE HANNO GIA' FORNITOE. NON MI HA FATTA PARLARE</v>
          </cell>
          <cell r="F2780" t="str">
            <v>BOLOGNA</v>
          </cell>
          <cell r="G2780" t="str">
            <v xml:space="preserve">BO </v>
          </cell>
          <cell r="H2780" t="str">
            <v>ITALIA</v>
          </cell>
          <cell r="M2780" t="str">
            <v>UFFICIO ACQUISTI</v>
          </cell>
          <cell r="N2780" t="str">
            <v>051 560068</v>
          </cell>
          <cell r="R2780" t="str">
            <v>BONIFICO BANCARIO, ALLA DATA DELLA NOSTRA CONFERMA D'ORDINE</v>
          </cell>
          <cell r="X2780">
            <v>0.25</v>
          </cell>
          <cell r="Y2780">
            <v>-0.04</v>
          </cell>
          <cell r="AB2780">
            <v>0.25</v>
          </cell>
          <cell r="AC2780">
            <v>0.25</v>
          </cell>
          <cell r="AD2780">
            <v>0.25</v>
          </cell>
          <cell r="AE2780">
            <v>0.25</v>
          </cell>
          <cell r="AF2780">
            <v>0.25</v>
          </cell>
          <cell r="AG2780">
            <v>0.25</v>
          </cell>
          <cell r="AH2780">
            <v>0.25</v>
          </cell>
          <cell r="AI2780">
            <v>0.25</v>
          </cell>
          <cell r="AJ2780">
            <v>0.25</v>
          </cell>
          <cell r="AK2780">
            <v>0.25</v>
          </cell>
          <cell r="AL2780">
            <v>0.25</v>
          </cell>
          <cell r="AM2780">
            <v>0.25</v>
          </cell>
          <cell r="AN2780">
            <v>0.25</v>
          </cell>
          <cell r="AO2780">
            <v>0.25</v>
          </cell>
          <cell r="AP2780">
            <v>0.25</v>
          </cell>
          <cell r="AQ2780">
            <v>0.25</v>
          </cell>
          <cell r="AR2780">
            <v>0.25</v>
          </cell>
          <cell r="AS2780">
            <v>0.25</v>
          </cell>
          <cell r="AT2780">
            <v>-0.04</v>
          </cell>
          <cell r="AU2780">
            <v>0.92</v>
          </cell>
          <cell r="AV2780">
            <v>20</v>
          </cell>
          <cell r="AZ2780">
            <v>0.25</v>
          </cell>
          <cell r="BA2780">
            <v>0.25</v>
          </cell>
        </row>
        <row r="2781">
          <cell r="A2781" t="str">
            <v>SERAL TENDA SRL</v>
          </cell>
          <cell r="B2781" t="str">
            <v>09/02/23 TRATTANO TRITONE. SANNO BENE CHE QUALITATIVAMENTE NON SONO VALIDI E CHE HANNO I GANCETTI CHE SI ROMPONO</v>
          </cell>
          <cell r="F2781" t="str">
            <v>LODI</v>
          </cell>
          <cell r="G2781" t="str">
            <v>LO</v>
          </cell>
          <cell r="H2781" t="str">
            <v>ITALIA</v>
          </cell>
          <cell r="M2781" t="str">
            <v>SIG. BETTINELLI</v>
          </cell>
          <cell r="N2781" t="str">
            <v>0371 430682</v>
          </cell>
          <cell r="O2781">
            <v>3389012877</v>
          </cell>
          <cell r="P2781" t="str">
            <v>info@seraltenda.it</v>
          </cell>
          <cell r="R2781" t="str">
            <v>BONIFICO BANCARIO, ALLA DATA DELLA NOSTRA CONFERMA D'ORDINE</v>
          </cell>
          <cell r="X2781">
            <v>0.25</v>
          </cell>
          <cell r="Y2781">
            <v>-0.04</v>
          </cell>
          <cell r="AB2781">
            <v>0.25</v>
          </cell>
          <cell r="AC2781">
            <v>0.25</v>
          </cell>
          <cell r="AD2781">
            <v>0.25</v>
          </cell>
          <cell r="AE2781">
            <v>0.25</v>
          </cell>
          <cell r="AF2781">
            <v>0.25</v>
          </cell>
          <cell r="AG2781">
            <v>0.25</v>
          </cell>
          <cell r="AH2781">
            <v>0.25</v>
          </cell>
          <cell r="AI2781">
            <v>0.25</v>
          </cell>
          <cell r="AJ2781">
            <v>0.25</v>
          </cell>
          <cell r="AK2781">
            <v>0.25</v>
          </cell>
          <cell r="AL2781">
            <v>0.25</v>
          </cell>
          <cell r="AM2781">
            <v>0.25</v>
          </cell>
          <cell r="AN2781">
            <v>0.25</v>
          </cell>
          <cell r="AO2781">
            <v>0.25</v>
          </cell>
          <cell r="AP2781">
            <v>0.25</v>
          </cell>
          <cell r="AQ2781">
            <v>0.25</v>
          </cell>
          <cell r="AR2781">
            <v>0.25</v>
          </cell>
          <cell r="AS2781">
            <v>0.25</v>
          </cell>
          <cell r="AT2781">
            <v>-0.04</v>
          </cell>
          <cell r="AU2781">
            <v>0.92</v>
          </cell>
          <cell r="AV2781">
            <v>20</v>
          </cell>
          <cell r="AZ2781">
            <v>0.25</v>
          </cell>
          <cell r="BA2781">
            <v>0.25</v>
          </cell>
        </row>
        <row r="2782">
          <cell r="A2782" t="str">
            <v>METAL FO.BA.</v>
          </cell>
          <cell r="B2782" t="str">
            <v>09/02/23 PARLATO CON IMPIEGATA. PRIMA DICE CHE FANNO BARRIERE, POI RITRATTA TUTTO PERCHE' PROBABILMENTE NON LE FANNO A NORMA. CAPIRE CHI E' TITOLARE</v>
          </cell>
          <cell r="D2782" t="str">
            <v>VIA BARZANO'</v>
          </cell>
          <cell r="E2782" t="str">
            <v>00119</v>
          </cell>
          <cell r="F2782" t="str">
            <v>ROMA</v>
          </cell>
          <cell r="G2782" t="str">
            <v>RM</v>
          </cell>
          <cell r="H2782" t="str">
            <v>ITALIA</v>
          </cell>
          <cell r="M2782" t="str">
            <v>UFFICIO ACQUISTI</v>
          </cell>
          <cell r="N2782" t="str">
            <v>06 5211258</v>
          </cell>
          <cell r="O2782" t="str">
            <v>334 2568176</v>
          </cell>
          <cell r="P2782" t="str">
            <v>metalfoba@tiscali.it</v>
          </cell>
          <cell r="R2782" t="str">
            <v>BONIFICO BANCARIO, ALLA DATA DELLA NOSTRA CONFERMA D'ORDINE</v>
          </cell>
          <cell r="X2782">
            <v>0.25</v>
          </cell>
          <cell r="Y2782">
            <v>-0.04</v>
          </cell>
          <cell r="AB2782">
            <v>0.25</v>
          </cell>
          <cell r="AC2782">
            <v>0.25</v>
          </cell>
          <cell r="AD2782">
            <v>0.25</v>
          </cell>
          <cell r="AE2782">
            <v>0.25</v>
          </cell>
          <cell r="AF2782">
            <v>0.25</v>
          </cell>
          <cell r="AG2782">
            <v>0.25</v>
          </cell>
          <cell r="AH2782">
            <v>0.25</v>
          </cell>
          <cell r="AI2782">
            <v>0.25</v>
          </cell>
          <cell r="AJ2782">
            <v>0.25</v>
          </cell>
          <cell r="AK2782">
            <v>0.25</v>
          </cell>
          <cell r="AL2782">
            <v>0.25</v>
          </cell>
          <cell r="AM2782">
            <v>0.25</v>
          </cell>
          <cell r="AN2782">
            <v>0.25</v>
          </cell>
          <cell r="AO2782">
            <v>0.25</v>
          </cell>
          <cell r="AP2782">
            <v>0.25</v>
          </cell>
          <cell r="AQ2782">
            <v>0.25</v>
          </cell>
          <cell r="AR2782">
            <v>0.25</v>
          </cell>
          <cell r="AS2782">
            <v>0.25</v>
          </cell>
          <cell r="AT2782">
            <v>-0.04</v>
          </cell>
          <cell r="AU2782">
            <v>0.92</v>
          </cell>
          <cell r="AV2782">
            <v>20</v>
          </cell>
          <cell r="AZ2782">
            <v>0.25</v>
          </cell>
          <cell r="BA2782">
            <v>0.25</v>
          </cell>
        </row>
        <row r="2783">
          <cell r="A2783" t="str">
            <v>SERGROUP SRL</v>
          </cell>
          <cell r="B2783" t="str">
            <v>08/02/23 MOLTE RICHIESTE MA AL MOMENTO NON LE SODDISFANO</v>
          </cell>
          <cell r="F2783" t="str">
            <v>CADONEGHE</v>
          </cell>
          <cell r="G2783" t="str">
            <v>PD</v>
          </cell>
          <cell r="H2783" t="str">
            <v>ITALIA</v>
          </cell>
          <cell r="M2783" t="str">
            <v>SIG. ZALAMELLA</v>
          </cell>
          <cell r="N2783" t="str">
            <v>049 5996511 - 049 9454071</v>
          </cell>
          <cell r="P2783" t="str">
            <v>info@sergroup.it</v>
          </cell>
          <cell r="R2783" t="str">
            <v>BONIFICO BANCARIO, ALLA DATA DELLA NOSTRA CONFERMA D'ORDINE</v>
          </cell>
          <cell r="X2783">
            <v>0.25</v>
          </cell>
          <cell r="Y2783">
            <v>-0.04</v>
          </cell>
          <cell r="AB2783">
            <v>0.25</v>
          </cell>
          <cell r="AC2783">
            <v>0.25</v>
          </cell>
          <cell r="AD2783">
            <v>0.25</v>
          </cell>
          <cell r="AE2783">
            <v>0.25</v>
          </cell>
          <cell r="AF2783">
            <v>0.25</v>
          </cell>
          <cell r="AG2783">
            <v>0.25</v>
          </cell>
          <cell r="AH2783">
            <v>0.25</v>
          </cell>
          <cell r="AI2783">
            <v>0.25</v>
          </cell>
          <cell r="AJ2783">
            <v>0.25</v>
          </cell>
          <cell r="AK2783">
            <v>0.25</v>
          </cell>
          <cell r="AL2783">
            <v>0.25</v>
          </cell>
          <cell r="AM2783">
            <v>0.25</v>
          </cell>
          <cell r="AN2783">
            <v>0.25</v>
          </cell>
          <cell r="AO2783">
            <v>0.25</v>
          </cell>
          <cell r="AP2783">
            <v>0.25</v>
          </cell>
          <cell r="AQ2783">
            <v>0.25</v>
          </cell>
          <cell r="AR2783">
            <v>0.25</v>
          </cell>
          <cell r="AS2783">
            <v>0.25</v>
          </cell>
          <cell r="AT2783">
            <v>-0.04</v>
          </cell>
          <cell r="AU2783">
            <v>0.92</v>
          </cell>
          <cell r="AV2783">
            <v>20</v>
          </cell>
          <cell r="AZ2783">
            <v>0.25</v>
          </cell>
          <cell r="BA2783">
            <v>0.25</v>
          </cell>
        </row>
        <row r="2784">
          <cell r="A2784" t="str">
            <v xml:space="preserve">FERRAMENTA ARDENZA </v>
          </cell>
          <cell r="B2784" t="str">
            <v>08/02/23 SEMBRANO INTERESSATI. MANDATO MAIL CON MIGLIORIE RISPETTO AD ACQUASTOP. ATTENDERE</v>
          </cell>
          <cell r="F2784" t="str">
            <v>LIVORNO</v>
          </cell>
          <cell r="G2784" t="str">
            <v>LI</v>
          </cell>
          <cell r="H2784" t="str">
            <v>ITALIA</v>
          </cell>
          <cell r="M2784" t="str">
            <v>SIG. SIMONE</v>
          </cell>
          <cell r="N2784" t="str">
            <v>0586 500042</v>
          </cell>
          <cell r="P2784" t="str">
            <v>info@ferramentaardenza.it</v>
          </cell>
          <cell r="R2784" t="str">
            <v>BONIFICO BANCARIO, ALLA DATA DELLA NOSTRA CONFERMA D'ORDINE</v>
          </cell>
          <cell r="X2784">
            <v>0.25</v>
          </cell>
          <cell r="Y2784">
            <v>-0.04</v>
          </cell>
          <cell r="AB2784">
            <v>0.25</v>
          </cell>
          <cell r="AC2784">
            <v>0.25</v>
          </cell>
          <cell r="AD2784">
            <v>0.25</v>
          </cell>
          <cell r="AE2784">
            <v>0.25</v>
          </cell>
          <cell r="AF2784">
            <v>0.25</v>
          </cell>
          <cell r="AG2784">
            <v>0.25</v>
          </cell>
          <cell r="AH2784">
            <v>0.25</v>
          </cell>
          <cell r="AI2784">
            <v>0.25</v>
          </cell>
          <cell r="AJ2784">
            <v>0.25</v>
          </cell>
          <cell r="AK2784">
            <v>0.25</v>
          </cell>
          <cell r="AL2784">
            <v>0.25</v>
          </cell>
          <cell r="AM2784">
            <v>0.25</v>
          </cell>
          <cell r="AN2784">
            <v>0.25</v>
          </cell>
          <cell r="AO2784">
            <v>0.25</v>
          </cell>
          <cell r="AP2784">
            <v>0.25</v>
          </cell>
          <cell r="AQ2784">
            <v>0.25</v>
          </cell>
          <cell r="AR2784">
            <v>0.25</v>
          </cell>
          <cell r="AS2784">
            <v>0.25</v>
          </cell>
          <cell r="AT2784">
            <v>-0.04</v>
          </cell>
          <cell r="AU2784">
            <v>0.92</v>
          </cell>
          <cell r="AV2784">
            <v>20</v>
          </cell>
          <cell r="AZ2784">
            <v>0.25</v>
          </cell>
          <cell r="BA2784">
            <v>0.25</v>
          </cell>
        </row>
        <row r="2785">
          <cell r="A2785" t="str">
            <v>AG SMART SOLUTION INC.</v>
          </cell>
          <cell r="D2785" t="str">
            <v>8925 SW 5 TERRACE</v>
          </cell>
          <cell r="E2785">
            <v>33174</v>
          </cell>
          <cell r="F2785" t="str">
            <v>MIAMI, FLORIDA</v>
          </cell>
          <cell r="H2785" t="str">
            <v>USA</v>
          </cell>
          <cell r="J2785" t="str">
            <v>82-5153250</v>
          </cell>
          <cell r="K2785" t="str">
            <v>XXXXXXX</v>
          </cell>
          <cell r="M2785" t="str">
            <v>RAFAEL ACOSTA</v>
          </cell>
          <cell r="N2785" t="str">
            <v>+1 786 479 9562</v>
          </cell>
          <cell r="P2785" t="str">
            <v>agsolutions@agsltions.com</v>
          </cell>
          <cell r="R2785" t="str">
            <v>BANK TRANSFER, ON THE DATE OF OUR ORDER CONFIRMATION</v>
          </cell>
          <cell r="X2785">
            <v>0</v>
          </cell>
          <cell r="AB2785">
            <v>0</v>
          </cell>
          <cell r="AC2785">
            <v>0</v>
          </cell>
          <cell r="AD2785">
            <v>0</v>
          </cell>
          <cell r="AE2785">
            <v>0</v>
          </cell>
          <cell r="AF2785">
            <v>0</v>
          </cell>
          <cell r="AG2785">
            <v>0</v>
          </cell>
          <cell r="AH2785">
            <v>0</v>
          </cell>
          <cell r="AI2785">
            <v>0</v>
          </cell>
          <cell r="AJ2785">
            <v>0</v>
          </cell>
          <cell r="AK2785">
            <v>0</v>
          </cell>
          <cell r="AL2785">
            <v>0</v>
          </cell>
          <cell r="AM2785">
            <v>0</v>
          </cell>
          <cell r="AN2785">
            <v>0</v>
          </cell>
          <cell r="AO2785">
            <v>0</v>
          </cell>
          <cell r="AP2785">
            <v>0</v>
          </cell>
          <cell r="AQ2785">
            <v>0</v>
          </cell>
          <cell r="AR2785">
            <v>0</v>
          </cell>
          <cell r="AS2785">
            <v>0</v>
          </cell>
          <cell r="AT2785">
            <v>0</v>
          </cell>
          <cell r="AV2785">
            <v>20</v>
          </cell>
          <cell r="AZ2785">
            <v>0</v>
          </cell>
          <cell r="BA2785">
            <v>0</v>
          </cell>
        </row>
        <row r="2786">
          <cell r="A2786" t="str">
            <v>AERRE</v>
          </cell>
          <cell r="B2786" t="str">
            <v>08/02/23 RIMANDATA MAIL PIU' PROMEMORIA .GLIELA AVEVO GIA' MANDATA A DICEMBRE. SEMBRA MOLTO INTERESSATO</v>
          </cell>
          <cell r="F2786" t="str">
            <v>VERONA</v>
          </cell>
          <cell r="G2786" t="str">
            <v>VR</v>
          </cell>
          <cell r="H2786" t="str">
            <v>ITALIA</v>
          </cell>
          <cell r="M2786" t="str">
            <v>SIG. LUCA CAGIOTTI</v>
          </cell>
          <cell r="N2786" t="str">
            <v>045 575766</v>
          </cell>
          <cell r="O2786" t="str">
            <v>370 3384539</v>
          </cell>
          <cell r="P2786" t="str">
            <v>l.cagiotti@3ellen.it</v>
          </cell>
          <cell r="R2786" t="str">
            <v>BONIFICO BANCARIO, ALLA DATA DELLA NOSTRA CONFERMA D'ORDINE</v>
          </cell>
          <cell r="X2786">
            <v>0.25</v>
          </cell>
          <cell r="Y2786">
            <v>-0.04</v>
          </cell>
          <cell r="AB2786">
            <v>0.25</v>
          </cell>
          <cell r="AC2786">
            <v>0.25</v>
          </cell>
          <cell r="AD2786">
            <v>0.25</v>
          </cell>
          <cell r="AE2786">
            <v>0.25</v>
          </cell>
          <cell r="AF2786">
            <v>0.25</v>
          </cell>
          <cell r="AG2786">
            <v>0.25</v>
          </cell>
          <cell r="AH2786">
            <v>0.25</v>
          </cell>
          <cell r="AI2786">
            <v>0.25</v>
          </cell>
          <cell r="AJ2786">
            <v>0.25</v>
          </cell>
          <cell r="AK2786">
            <v>0.25</v>
          </cell>
          <cell r="AL2786">
            <v>0.25</v>
          </cell>
          <cell r="AM2786">
            <v>0.25</v>
          </cell>
          <cell r="AN2786">
            <v>0.25</v>
          </cell>
          <cell r="AO2786">
            <v>0.25</v>
          </cell>
          <cell r="AP2786">
            <v>0.25</v>
          </cell>
          <cell r="AQ2786">
            <v>0.25</v>
          </cell>
          <cell r="AR2786">
            <v>0.25</v>
          </cell>
          <cell r="AS2786">
            <v>0.25</v>
          </cell>
          <cell r="AT2786">
            <v>-0.04</v>
          </cell>
          <cell r="AU2786">
            <v>0.92</v>
          </cell>
          <cell r="AV2786">
            <v>20</v>
          </cell>
          <cell r="AZ2786">
            <v>0.25</v>
          </cell>
          <cell r="BA2786">
            <v>0.25</v>
          </cell>
        </row>
        <row r="2787">
          <cell r="A2787" t="str">
            <v>PLP MECCANICA</v>
          </cell>
          <cell r="B2787" t="str">
            <v>08/02/23 SENTITA A DICEMBRE. RISENTITA E MANDATO LISTINO. ATTENDERE. TRATTANO ACQUASTOP</v>
          </cell>
          <cell r="F2787" t="str">
            <v>VITERBO</v>
          </cell>
          <cell r="G2787" t="str">
            <v>VT</v>
          </cell>
          <cell r="H2787" t="str">
            <v>ITALIA</v>
          </cell>
          <cell r="M2787" t="str">
            <v>SIG.RA OMBRETTA</v>
          </cell>
          <cell r="N2787" t="str">
            <v>0761 092809</v>
          </cell>
          <cell r="P2787" t="str">
            <v>info@plpmeccanica.it</v>
          </cell>
          <cell r="R2787" t="str">
            <v>BONIFICO BANCARIO, ALLA DATA DELLA NOSTRA CONFERMA D'ORDINE</v>
          </cell>
          <cell r="X2787">
            <v>0.25</v>
          </cell>
          <cell r="Y2787">
            <v>-0.04</v>
          </cell>
          <cell r="AB2787">
            <v>0.25</v>
          </cell>
          <cell r="AC2787">
            <v>0.25</v>
          </cell>
          <cell r="AD2787">
            <v>0.25</v>
          </cell>
          <cell r="AE2787">
            <v>0.25</v>
          </cell>
          <cell r="AF2787">
            <v>0.25</v>
          </cell>
          <cell r="AG2787">
            <v>0.25</v>
          </cell>
          <cell r="AH2787">
            <v>0.25</v>
          </cell>
          <cell r="AI2787">
            <v>0.25</v>
          </cell>
          <cell r="AJ2787">
            <v>0.25</v>
          </cell>
          <cell r="AK2787">
            <v>0.25</v>
          </cell>
          <cell r="AL2787">
            <v>0.25</v>
          </cell>
          <cell r="AM2787">
            <v>0.25</v>
          </cell>
          <cell r="AN2787">
            <v>0.25</v>
          </cell>
          <cell r="AO2787">
            <v>0.25</v>
          </cell>
          <cell r="AP2787">
            <v>0.25</v>
          </cell>
          <cell r="AQ2787">
            <v>0.25</v>
          </cell>
          <cell r="AR2787">
            <v>0.25</v>
          </cell>
          <cell r="AS2787">
            <v>0.25</v>
          </cell>
          <cell r="AT2787">
            <v>-0.04</v>
          </cell>
          <cell r="AU2787">
            <v>0.92</v>
          </cell>
          <cell r="AV2787">
            <v>20</v>
          </cell>
          <cell r="AZ2787">
            <v>0.25</v>
          </cell>
          <cell r="BA2787">
            <v>0.25</v>
          </cell>
        </row>
        <row r="2788">
          <cell r="A2788" t="str">
            <v>EDILCOMMERCIO</v>
          </cell>
          <cell r="B2788" t="str">
            <v>08/02/23 TRATTANO BARRIERE CONCORRENZA MA SEMBRANO INTERESSATI. MANDATA MAIL</v>
          </cell>
          <cell r="F2788" t="str">
            <v>GROSSETO</v>
          </cell>
          <cell r="G2788" t="str">
            <v>GR</v>
          </cell>
          <cell r="H2788" t="str">
            <v>ITALIA</v>
          </cell>
          <cell r="M2788" t="str">
            <v>SIG.RA MARTINA</v>
          </cell>
          <cell r="N2788" t="str">
            <v>0564 491507</v>
          </cell>
          <cell r="P2788" t="str">
            <v>martina@edilcommercio.com</v>
          </cell>
          <cell r="R2788" t="str">
            <v>BONIFICO BANCARIO, ALLA DATA DELLA NOSTRA CONFERMA D'ORDINE</v>
          </cell>
          <cell r="X2788">
            <v>0.25</v>
          </cell>
          <cell r="Y2788">
            <v>-0.04</v>
          </cell>
          <cell r="AB2788">
            <v>0.25</v>
          </cell>
          <cell r="AC2788">
            <v>0.25</v>
          </cell>
          <cell r="AD2788">
            <v>0.25</v>
          </cell>
          <cell r="AE2788">
            <v>0.25</v>
          </cell>
          <cell r="AF2788">
            <v>0.25</v>
          </cell>
          <cell r="AG2788">
            <v>0.25</v>
          </cell>
          <cell r="AH2788">
            <v>0.25</v>
          </cell>
          <cell r="AI2788">
            <v>0.25</v>
          </cell>
          <cell r="AJ2788">
            <v>0.25</v>
          </cell>
          <cell r="AK2788">
            <v>0.25</v>
          </cell>
          <cell r="AL2788">
            <v>0.25</v>
          </cell>
          <cell r="AM2788">
            <v>0.25</v>
          </cell>
          <cell r="AN2788">
            <v>0.25</v>
          </cell>
          <cell r="AO2788">
            <v>0.25</v>
          </cell>
          <cell r="AP2788">
            <v>0.25</v>
          </cell>
          <cell r="AQ2788">
            <v>0.25</v>
          </cell>
          <cell r="AR2788">
            <v>0.25</v>
          </cell>
          <cell r="AS2788">
            <v>0.25</v>
          </cell>
          <cell r="AT2788">
            <v>-0.04</v>
          </cell>
          <cell r="AU2788">
            <v>0.92</v>
          </cell>
          <cell r="AV2788">
            <v>20</v>
          </cell>
          <cell r="AZ2788">
            <v>0.25</v>
          </cell>
          <cell r="BA2788">
            <v>0.25</v>
          </cell>
        </row>
        <row r="2789">
          <cell r="A2789" t="str">
            <v>LEO E LEO INFISSI</v>
          </cell>
          <cell r="B2789" t="str">
            <v xml:space="preserve">03/02/23 CONOSCONO PRODOTTO E HANNO DELLE RICHIESTE. </v>
          </cell>
          <cell r="F2789" t="str">
            <v>OCCHIOBELLO</v>
          </cell>
          <cell r="G2789" t="str">
            <v>RO</v>
          </cell>
          <cell r="H2789" t="str">
            <v>ITALIA</v>
          </cell>
          <cell r="M2789" t="str">
            <v>SIG.RA ARCANGELA</v>
          </cell>
          <cell r="O2789" t="str">
            <v>340 2332781</v>
          </cell>
          <cell r="P2789" t="str">
            <v>leoinfissiordini@gmail.com</v>
          </cell>
          <cell r="R2789" t="str">
            <v>BONIFICO BANCARIO, ALLA DATA DELLA NOSTRA CONFERMA D'ORDINE</v>
          </cell>
          <cell r="X2789">
            <v>0.25</v>
          </cell>
          <cell r="Y2789">
            <v>-0.04</v>
          </cell>
          <cell r="AB2789">
            <v>0.25</v>
          </cell>
          <cell r="AC2789">
            <v>0.25</v>
          </cell>
          <cell r="AD2789">
            <v>0.25</v>
          </cell>
          <cell r="AE2789">
            <v>0.25</v>
          </cell>
          <cell r="AF2789">
            <v>0.25</v>
          </cell>
          <cell r="AG2789">
            <v>0.25</v>
          </cell>
          <cell r="AH2789">
            <v>0.25</v>
          </cell>
          <cell r="AI2789">
            <v>0.25</v>
          </cell>
          <cell r="AJ2789">
            <v>0.25</v>
          </cell>
          <cell r="AK2789">
            <v>0.25</v>
          </cell>
          <cell r="AL2789">
            <v>0.25</v>
          </cell>
          <cell r="AM2789">
            <v>0.25</v>
          </cell>
          <cell r="AN2789">
            <v>0.25</v>
          </cell>
          <cell r="AO2789">
            <v>0.25</v>
          </cell>
          <cell r="AP2789">
            <v>0.25</v>
          </cell>
          <cell r="AQ2789">
            <v>0.25</v>
          </cell>
          <cell r="AR2789">
            <v>0.25</v>
          </cell>
          <cell r="AS2789">
            <v>0.25</v>
          </cell>
          <cell r="AT2789">
            <v>-0.04</v>
          </cell>
          <cell r="AU2789">
            <v>0.92</v>
          </cell>
          <cell r="AV2789">
            <v>20</v>
          </cell>
          <cell r="AZ2789">
            <v>0.25</v>
          </cell>
          <cell r="BA2789">
            <v>0.25</v>
          </cell>
        </row>
        <row r="2790">
          <cell r="A2790" t="str">
            <v>ELLECIGROUP</v>
          </cell>
          <cell r="B2790" t="str">
            <v>01/02/2023 TRATTATO ACQUASTOP. SEMBRA INTERESSATO. MANDATA MAIL. VORREBBE LISTINO. GLI HO DETTO CHE SE HA DEI PREVENTIVI DA FARE DI CONTATTARCI CHE ELABORIAMO E PUO'CONFRONTARE IL PREZZO</v>
          </cell>
          <cell r="F2790" t="str">
            <v>CANINO</v>
          </cell>
          <cell r="G2790" t="str">
            <v>VT</v>
          </cell>
          <cell r="H2790" t="str">
            <v>ITALIA</v>
          </cell>
          <cell r="M2790" t="str">
            <v>SIG. MARCO LUCIANI</v>
          </cell>
          <cell r="O2790" t="str">
            <v>338 5920065</v>
          </cell>
          <cell r="P2790" t="str">
            <v>infissielleci@group.com</v>
          </cell>
          <cell r="R2790" t="str">
            <v>BONIFICO BANCARIO, ALLA DATA DELLA NOSTRA CONFERMA D'ORDINE</v>
          </cell>
          <cell r="X2790">
            <v>0.25</v>
          </cell>
          <cell r="Y2790">
            <v>-0.04</v>
          </cell>
          <cell r="AB2790">
            <v>0.25</v>
          </cell>
          <cell r="AC2790">
            <v>0.25</v>
          </cell>
          <cell r="AD2790">
            <v>0.25</v>
          </cell>
          <cell r="AE2790">
            <v>0.25</v>
          </cell>
          <cell r="AF2790">
            <v>0.25</v>
          </cell>
          <cell r="AG2790">
            <v>0.25</v>
          </cell>
          <cell r="AH2790">
            <v>0.25</v>
          </cell>
          <cell r="AI2790">
            <v>0.25</v>
          </cell>
          <cell r="AJ2790">
            <v>0.25</v>
          </cell>
          <cell r="AK2790">
            <v>0.25</v>
          </cell>
          <cell r="AL2790">
            <v>0.25</v>
          </cell>
          <cell r="AM2790">
            <v>0.25</v>
          </cell>
          <cell r="AN2790">
            <v>0.25</v>
          </cell>
          <cell r="AO2790">
            <v>0.25</v>
          </cell>
          <cell r="AP2790">
            <v>0.25</v>
          </cell>
          <cell r="AQ2790">
            <v>0.25</v>
          </cell>
          <cell r="AR2790">
            <v>0.25</v>
          </cell>
          <cell r="AS2790">
            <v>0.25</v>
          </cell>
          <cell r="AT2790">
            <v>-0.04</v>
          </cell>
          <cell r="AU2790">
            <v>0.92</v>
          </cell>
          <cell r="AV2790">
            <v>20</v>
          </cell>
          <cell r="AZ2790">
            <v>0.25</v>
          </cell>
          <cell r="BA2790">
            <v>0.25</v>
          </cell>
        </row>
        <row r="2791">
          <cell r="A2791" t="str">
            <v>GM SERRAMENTI DI PALAZZI VERONICA GIACOMINA</v>
          </cell>
          <cell r="B2791" t="str">
            <v>28/03/23 VISITA RIZZOLI. VUOLE CAMPIONI CLICK E MODERNA</v>
          </cell>
          <cell r="D2791" t="str">
            <v>VIA DON GIOVANNI BOSCO, 15</v>
          </cell>
          <cell r="E2791">
            <v>43055</v>
          </cell>
          <cell r="F2791" t="str">
            <v>MEZZANI</v>
          </cell>
          <cell r="G2791" t="str">
            <v>PR</v>
          </cell>
          <cell r="H2791" t="str">
            <v>ITALIA</v>
          </cell>
          <cell r="J2791" t="str">
            <v>02840200345</v>
          </cell>
          <cell r="K2791" t="str">
            <v>SU9YNJA</v>
          </cell>
          <cell r="M2791" t="str">
            <v>UFFICIO ACQUISTI</v>
          </cell>
          <cell r="N2791" t="str">
            <v>0521 810571</v>
          </cell>
          <cell r="O2791" t="str">
            <v>393 5186628</v>
          </cell>
          <cell r="P2791" t="str">
            <v>info@gm-serramenti.it</v>
          </cell>
          <cell r="R2791" t="str">
            <v>BONIFICO BANCARIO, ALLA DATA DELLA NOSTRA CONFERMA D'ORDINE</v>
          </cell>
          <cell r="X2791">
            <v>0.25</v>
          </cell>
          <cell r="Y2791">
            <v>-0.04</v>
          </cell>
          <cell r="AB2791">
            <v>0.25</v>
          </cell>
          <cell r="AC2791">
            <v>0.25</v>
          </cell>
          <cell r="AD2791">
            <v>0.25</v>
          </cell>
          <cell r="AE2791">
            <v>0.25</v>
          </cell>
          <cell r="AF2791">
            <v>0.25</v>
          </cell>
          <cell r="AG2791">
            <v>0.25</v>
          </cell>
          <cell r="AH2791">
            <v>0.25</v>
          </cell>
          <cell r="AI2791">
            <v>0.25</v>
          </cell>
          <cell r="AJ2791">
            <v>0.25</v>
          </cell>
          <cell r="AK2791">
            <v>0.25</v>
          </cell>
          <cell r="AL2791">
            <v>0.25</v>
          </cell>
          <cell r="AM2791">
            <v>0.25</v>
          </cell>
          <cell r="AN2791">
            <v>0.25</v>
          </cell>
          <cell r="AO2791">
            <v>0.25</v>
          </cell>
          <cell r="AP2791">
            <v>0.25</v>
          </cell>
          <cell r="AQ2791">
            <v>0.25</v>
          </cell>
          <cell r="AR2791">
            <v>0.25</v>
          </cell>
          <cell r="AS2791">
            <v>0.25</v>
          </cell>
          <cell r="AT2791">
            <v>-0.04</v>
          </cell>
          <cell r="AU2791">
            <v>0.87</v>
          </cell>
          <cell r="AV2791">
            <v>20</v>
          </cell>
          <cell r="AZ2791">
            <v>0.25</v>
          </cell>
          <cell r="BA2791">
            <v>0.25</v>
          </cell>
        </row>
      </sheetData>
      <sheetData sheetId="13"/>
      <sheetData sheetId="14"/>
      <sheetData sheetId="15"/>
      <sheetData sheetId="16">
        <row r="1">
          <cell r="K1">
            <v>45377.746031249997</v>
          </cell>
        </row>
      </sheetData>
      <sheetData sheetId="17"/>
      <sheetData sheetId="18">
        <row r="4">
          <cell r="W4" t="e">
            <v>#REF!</v>
          </cell>
        </row>
        <row r="8">
          <cell r="AY8" t="str">
            <v/>
          </cell>
          <cell r="BE8" t="str">
            <v/>
          </cell>
          <cell r="EZ8" t="str">
            <v/>
          </cell>
        </row>
        <row r="9">
          <cell r="D9">
            <v>1</v>
          </cell>
          <cell r="EZ9">
            <v>0</v>
          </cell>
        </row>
        <row r="10">
          <cell r="D10">
            <v>1</v>
          </cell>
          <cell r="EZ10" t="str">
            <v/>
          </cell>
        </row>
        <row r="11">
          <cell r="D11">
            <v>1</v>
          </cell>
          <cell r="EZ11" t="str">
            <v/>
          </cell>
        </row>
        <row r="12">
          <cell r="D12" t="str">
            <v/>
          </cell>
          <cell r="EZ12" t="str">
            <v/>
          </cell>
        </row>
        <row r="13">
          <cell r="D13" t="str">
            <v/>
          </cell>
          <cell r="EZ13" t="str">
            <v/>
          </cell>
        </row>
        <row r="14">
          <cell r="D14" t="str">
            <v/>
          </cell>
          <cell r="EZ14" t="str">
            <v/>
          </cell>
        </row>
        <row r="15">
          <cell r="EZ15" t="str">
            <v/>
          </cell>
        </row>
        <row r="16">
          <cell r="D16" t="str">
            <v/>
          </cell>
          <cell r="EZ16" t="str">
            <v/>
          </cell>
        </row>
        <row r="17">
          <cell r="D17" t="str">
            <v/>
          </cell>
          <cell r="EZ17" t="str">
            <v/>
          </cell>
        </row>
        <row r="18">
          <cell r="D18" t="str">
            <v/>
          </cell>
          <cell r="EZ18" t="str">
            <v/>
          </cell>
        </row>
        <row r="19">
          <cell r="D19" t="str">
            <v/>
          </cell>
          <cell r="EZ19" t="str">
            <v/>
          </cell>
        </row>
        <row r="20">
          <cell r="D20" t="str">
            <v/>
          </cell>
          <cell r="EZ20" t="str">
            <v/>
          </cell>
        </row>
        <row r="21">
          <cell r="D21" t="str">
            <v/>
          </cell>
          <cell r="EZ21" t="str">
            <v/>
          </cell>
        </row>
        <row r="22">
          <cell r="D22" t="str">
            <v/>
          </cell>
          <cell r="EZ22" t="str">
            <v/>
          </cell>
        </row>
        <row r="23">
          <cell r="D23" t="str">
            <v/>
          </cell>
          <cell r="EZ23" t="str">
            <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5">
          <cell r="E45">
            <v>155</v>
          </cell>
        </row>
      </sheetData>
      <sheetData sheetId="37">
        <row r="7">
          <cell r="L7">
            <v>120</v>
          </cell>
          <cell r="M7">
            <v>240</v>
          </cell>
          <cell r="N7">
            <v>320</v>
          </cell>
          <cell r="O7">
            <v>440</v>
          </cell>
          <cell r="P7">
            <v>520</v>
          </cell>
          <cell r="Q7">
            <v>640</v>
          </cell>
          <cell r="R7">
            <v>720</v>
          </cell>
          <cell r="S7">
            <v>840</v>
          </cell>
          <cell r="T7">
            <v>920</v>
          </cell>
          <cell r="U7">
            <v>1040</v>
          </cell>
          <cell r="V7">
            <v>1120</v>
          </cell>
          <cell r="W7">
            <v>1240</v>
          </cell>
          <cell r="X7">
            <v>1320</v>
          </cell>
          <cell r="Y7">
            <v>1440</v>
          </cell>
          <cell r="Z7">
            <v>1520</v>
          </cell>
          <cell r="AA7">
            <v>1640</v>
          </cell>
          <cell r="AB7">
            <v>1720</v>
          </cell>
          <cell r="AC7">
            <v>1840</v>
          </cell>
          <cell r="AD7">
            <v>1920</v>
          </cell>
          <cell r="AE7">
            <v>2040</v>
          </cell>
          <cell r="AF7">
            <v>2120</v>
          </cell>
          <cell r="AG7">
            <v>2240</v>
          </cell>
          <cell r="AH7">
            <v>2320</v>
          </cell>
          <cell r="AI7">
            <v>2440</v>
          </cell>
          <cell r="AJ7">
            <v>2520</v>
          </cell>
          <cell r="AK7">
            <v>2640</v>
          </cell>
          <cell r="AL7">
            <v>2720</v>
          </cell>
          <cell r="AM7">
            <v>2840</v>
          </cell>
          <cell r="AN7">
            <v>2920</v>
          </cell>
          <cell r="AO7">
            <v>3040</v>
          </cell>
        </row>
        <row r="17">
          <cell r="V17">
            <v>55</v>
          </cell>
        </row>
        <row r="22">
          <cell r="V22">
            <v>85</v>
          </cell>
        </row>
        <row r="23">
          <cell r="V23">
            <v>22.5</v>
          </cell>
        </row>
        <row r="24">
          <cell r="V24">
            <v>35</v>
          </cell>
        </row>
      </sheetData>
      <sheetData sheetId="38"/>
      <sheetData sheetId="39"/>
      <sheetData sheetId="40"/>
      <sheetData sheetId="41"/>
      <sheetData sheetId="42"/>
      <sheetData sheetId="43">
        <row r="3">
          <cell r="D3">
            <v>0</v>
          </cell>
        </row>
        <row r="5">
          <cell r="D5">
            <v>0.3</v>
          </cell>
        </row>
        <row r="7">
          <cell r="D7">
            <v>1</v>
          </cell>
        </row>
        <row r="8">
          <cell r="D8">
            <v>2</v>
          </cell>
        </row>
        <row r="9">
          <cell r="D9">
            <v>3</v>
          </cell>
        </row>
        <row r="10">
          <cell r="D10">
            <v>4</v>
          </cell>
        </row>
        <row r="13">
          <cell r="D13">
            <v>10</v>
          </cell>
        </row>
        <row r="14">
          <cell r="D14">
            <v>12</v>
          </cell>
        </row>
        <row r="15">
          <cell r="D15">
            <v>13</v>
          </cell>
        </row>
        <row r="24">
          <cell r="D24">
            <v>60</v>
          </cell>
        </row>
        <row r="25">
          <cell r="D25">
            <v>100</v>
          </cell>
        </row>
        <row r="27">
          <cell r="D27">
            <v>200</v>
          </cell>
        </row>
        <row r="31">
          <cell r="D31">
            <v>700</v>
          </cell>
        </row>
        <row r="32">
          <cell r="D32">
            <v>1000</v>
          </cell>
        </row>
        <row r="48">
          <cell r="D48" t="str">
            <v>PiattoAlu60x15x300</v>
          </cell>
        </row>
        <row r="59">
          <cell r="D59">
            <v>20</v>
          </cell>
        </row>
        <row r="66">
          <cell r="D66">
            <v>7.5</v>
          </cell>
        </row>
        <row r="138">
          <cell r="E138">
            <v>3</v>
          </cell>
          <cell r="G138">
            <v>5</v>
          </cell>
          <cell r="H138">
            <v>6</v>
          </cell>
          <cell r="J138">
            <v>8</v>
          </cell>
          <cell r="K138">
            <v>9</v>
          </cell>
          <cell r="L138">
            <v>10</v>
          </cell>
          <cell r="N138">
            <v>12</v>
          </cell>
          <cell r="S138">
            <v>17</v>
          </cell>
          <cell r="U138">
            <v>19</v>
          </cell>
          <cell r="V138">
            <v>20</v>
          </cell>
          <cell r="X138">
            <v>22</v>
          </cell>
          <cell r="Y138">
            <v>23</v>
          </cell>
          <cell r="Z138">
            <v>24</v>
          </cell>
          <cell r="AA138">
            <v>25</v>
          </cell>
          <cell r="AB138">
            <v>26</v>
          </cell>
          <cell r="AC138">
            <v>27</v>
          </cell>
          <cell r="AE138">
            <v>29</v>
          </cell>
          <cell r="AH138">
            <v>32</v>
          </cell>
          <cell r="AI138">
            <v>33</v>
          </cell>
          <cell r="AJ138">
            <v>34</v>
          </cell>
          <cell r="AK138">
            <v>35</v>
          </cell>
          <cell r="AM138">
            <v>37</v>
          </cell>
          <cell r="AS138">
            <v>43</v>
          </cell>
          <cell r="AV138">
            <v>46</v>
          </cell>
          <cell r="AW138">
            <v>47</v>
          </cell>
          <cell r="AX138">
            <v>48</v>
          </cell>
          <cell r="AY138">
            <v>49</v>
          </cell>
          <cell r="AZ138">
            <v>50</v>
          </cell>
          <cell r="BA138">
            <v>51</v>
          </cell>
          <cell r="BB138">
            <v>52</v>
          </cell>
          <cell r="BD138">
            <v>54</v>
          </cell>
          <cell r="BE138">
            <v>55</v>
          </cell>
          <cell r="BF138">
            <v>56</v>
          </cell>
          <cell r="BG138">
            <v>57</v>
          </cell>
          <cell r="BH138">
            <v>58</v>
          </cell>
          <cell r="BI138">
            <v>59</v>
          </cell>
          <cell r="BJ138">
            <v>60</v>
          </cell>
          <cell r="BL138">
            <v>62</v>
          </cell>
          <cell r="BP138">
            <v>66</v>
          </cell>
          <cell r="BR138">
            <v>68</v>
          </cell>
        </row>
        <row r="140">
          <cell r="C140" t="str">
            <v>AB25</v>
          </cell>
          <cell r="D140">
            <v>2</v>
          </cell>
          <cell r="I140">
            <v>0</v>
          </cell>
          <cell r="AM140">
            <v>130</v>
          </cell>
          <cell r="AN140">
            <v>3</v>
          </cell>
          <cell r="AO140">
            <v>25</v>
          </cell>
          <cell r="AP140">
            <v>1</v>
          </cell>
          <cell r="AR140">
            <v>3</v>
          </cell>
          <cell r="AS140">
            <v>2.7134999999999998</v>
          </cell>
          <cell r="AU140">
            <v>17</v>
          </cell>
          <cell r="BL140" t="str">
            <v>ND</v>
          </cell>
          <cell r="BM140" t="str">
            <v>PARATIA ACQUASTOP MODELLO BASIC+  25 mm</v>
          </cell>
          <cell r="BN140" t="str">
            <v>ACQUASTOP</v>
          </cell>
          <cell r="BO140" t="str">
            <v>CENTRALE\I</v>
          </cell>
          <cell r="BQ140" t="str">
            <v>COPPIA PROFILI ANGOLARI 50X20X3</v>
          </cell>
          <cell r="BR140">
            <v>0</v>
          </cell>
          <cell r="BS140">
            <v>1</v>
          </cell>
          <cell r="BU140">
            <v>1</v>
          </cell>
          <cell r="BV140">
            <v>1</v>
          </cell>
          <cell r="BX140" t="str">
            <v>ACQUA DOLCE</v>
          </cell>
          <cell r="BY140" t="str">
            <v>A08000_</v>
          </cell>
          <cell r="BZ140" t="str">
            <v>PIATTO ALU 80 x 3 mm</v>
          </cell>
          <cell r="CA140">
            <v>18</v>
          </cell>
          <cell r="CC140" t="str">
            <v>A04000</v>
          </cell>
          <cell r="CD140" t="str">
            <v>PaCLICK</v>
          </cell>
          <cell r="CG140"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0">
            <v>30</v>
          </cell>
          <cell r="CI140">
            <v>0</v>
          </cell>
          <cell r="CJ140">
            <v>0.7</v>
          </cell>
          <cell r="CK140">
            <v>0.62</v>
          </cell>
          <cell r="CL140">
            <v>1</v>
          </cell>
          <cell r="CM140">
            <v>1</v>
          </cell>
          <cell r="CN140" t="str">
            <v>AB</v>
          </cell>
        </row>
        <row r="141">
          <cell r="C141" t="str">
            <v>AB40</v>
          </cell>
          <cell r="D141">
            <v>2</v>
          </cell>
          <cell r="I141">
            <v>0</v>
          </cell>
          <cell r="AM141">
            <v>130</v>
          </cell>
          <cell r="AN141">
            <v>3</v>
          </cell>
          <cell r="AO141">
            <v>40</v>
          </cell>
          <cell r="AP141">
            <v>1</v>
          </cell>
          <cell r="AR141">
            <v>3</v>
          </cell>
          <cell r="AS141">
            <v>3.0779999999999998</v>
          </cell>
          <cell r="AU141">
            <v>20</v>
          </cell>
          <cell r="BL141" t="str">
            <v>ND</v>
          </cell>
          <cell r="BM141" t="str">
            <v>PARATIA ACQUASTOP MODELLO BASIC+  40 mm</v>
          </cell>
          <cell r="BN141" t="str">
            <v>ACQUASTOP</v>
          </cell>
          <cell r="BO141" t="str">
            <v>CENTRALE</v>
          </cell>
          <cell r="BQ141" t="str">
            <v>COPPIA PROFILI ANGOLARI 50X20X3</v>
          </cell>
          <cell r="BR141">
            <v>0</v>
          </cell>
          <cell r="BS141">
            <v>1</v>
          </cell>
          <cell r="BU141">
            <v>1</v>
          </cell>
          <cell r="BV141">
            <v>1</v>
          </cell>
          <cell r="BX141" t="str">
            <v>ACQUA DOLCE</v>
          </cell>
          <cell r="BY141" t="str">
            <v>A08000_</v>
          </cell>
          <cell r="BZ141" t="str">
            <v>PIATTO ALU 80 x 3 mm</v>
          </cell>
          <cell r="CA141">
            <v>18</v>
          </cell>
          <cell r="CC141" t="str">
            <v>A04000</v>
          </cell>
          <cell r="CD141" t="str">
            <v>PaCLICK</v>
          </cell>
          <cell r="CG141"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1">
            <v>30</v>
          </cell>
          <cell r="CI141">
            <v>0</v>
          </cell>
          <cell r="CJ141">
            <v>0.7</v>
          </cell>
          <cell r="CK141">
            <v>0.62</v>
          </cell>
          <cell r="CL141">
            <v>1</v>
          </cell>
          <cell r="CM141">
            <v>1</v>
          </cell>
          <cell r="CN141" t="str">
            <v>AB</v>
          </cell>
        </row>
        <row r="142">
          <cell r="C142" t="str">
            <v>AC25</v>
          </cell>
          <cell r="D142">
            <v>2</v>
          </cell>
          <cell r="I142">
            <v>0</v>
          </cell>
          <cell r="AM142">
            <v>130</v>
          </cell>
          <cell r="AN142">
            <v>3</v>
          </cell>
          <cell r="AO142">
            <v>25</v>
          </cell>
          <cell r="AP142">
            <v>1</v>
          </cell>
          <cell r="AR142">
            <v>3</v>
          </cell>
          <cell r="AS142">
            <v>2.7134999999999998</v>
          </cell>
          <cell r="BL142" t="str">
            <v>ND</v>
          </cell>
          <cell r="BM142" t="str">
            <v>PARATIA ACQUASTOP MODELLO CLASSIC 25 mm</v>
          </cell>
          <cell r="BN142" t="str">
            <v>ACQUASTOP</v>
          </cell>
          <cell r="BO142" t="str">
            <v>LATERALE</v>
          </cell>
          <cell r="BQ142" t="str">
            <v>COPPIA PROFILI ANGOLARI 50X20X3</v>
          </cell>
          <cell r="BR142">
            <v>0</v>
          </cell>
          <cell r="BS142">
            <v>1</v>
          </cell>
          <cell r="BU142">
            <v>1</v>
          </cell>
          <cell r="BV142">
            <v>1</v>
          </cell>
          <cell r="BX142" t="str">
            <v>ACQUA DOLCE</v>
          </cell>
          <cell r="BY142" t="str">
            <v>A08000_</v>
          </cell>
          <cell r="BZ142" t="str">
            <v>PIATTO ALU 80 x 3 mm</v>
          </cell>
          <cell r="CA142">
            <v>18</v>
          </cell>
          <cell r="CC142" t="str">
            <v>A04000</v>
          </cell>
          <cell r="CD142" t="str">
            <v>PaCLICK</v>
          </cell>
          <cell r="CG142"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2">
            <v>30</v>
          </cell>
          <cell r="CI142">
            <v>0</v>
          </cell>
          <cell r="CJ142">
            <v>0.7</v>
          </cell>
          <cell r="CK142">
            <v>0.62</v>
          </cell>
          <cell r="CL142">
            <v>1</v>
          </cell>
          <cell r="CM142">
            <v>1</v>
          </cell>
          <cell r="CN142" t="str">
            <v>AC</v>
          </cell>
        </row>
        <row r="143">
          <cell r="C143" t="str">
            <v>AC40</v>
          </cell>
          <cell r="D143">
            <v>2</v>
          </cell>
          <cell r="I143">
            <v>0</v>
          </cell>
          <cell r="AM143">
            <v>130</v>
          </cell>
          <cell r="AN143">
            <v>3</v>
          </cell>
          <cell r="AO143">
            <v>40</v>
          </cell>
          <cell r="AP143">
            <v>1</v>
          </cell>
          <cell r="AR143">
            <v>3</v>
          </cell>
          <cell r="AS143">
            <v>3.0779999999999998</v>
          </cell>
          <cell r="BL143" t="str">
            <v>ND</v>
          </cell>
          <cell r="BM143" t="str">
            <v>PARATIA ACQUASTOP MODELLO CLASSIC 40 mm</v>
          </cell>
          <cell r="BN143" t="str">
            <v>ACQUASTOP</v>
          </cell>
          <cell r="BO143" t="str">
            <v>LATERALE</v>
          </cell>
          <cell r="BQ143" t="str">
            <v>COPPIA PROFILI ANGOLARI 50X20X3</v>
          </cell>
          <cell r="BR143">
            <v>0</v>
          </cell>
          <cell r="BS143">
            <v>1</v>
          </cell>
          <cell r="BU143">
            <v>1</v>
          </cell>
          <cell r="BV143">
            <v>1</v>
          </cell>
          <cell r="BX143" t="str">
            <v>ACQUA DOLCE</v>
          </cell>
          <cell r="BY143" t="str">
            <v>A08000_</v>
          </cell>
          <cell r="BZ143" t="str">
            <v>PIATTO ALU 80 x 3 mm</v>
          </cell>
          <cell r="CA143">
            <v>18</v>
          </cell>
          <cell r="CC143" t="str">
            <v>A04000</v>
          </cell>
          <cell r="CD143" t="str">
            <v>PaCLICK</v>
          </cell>
          <cell r="CG143"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3">
            <v>30</v>
          </cell>
          <cell r="CI143">
            <v>0</v>
          </cell>
          <cell r="CJ143">
            <v>0.7</v>
          </cell>
          <cell r="CK143">
            <v>0.62</v>
          </cell>
          <cell r="CL143">
            <v>1</v>
          </cell>
          <cell r="CM143">
            <v>1</v>
          </cell>
          <cell r="CN143" t="str">
            <v>AC</v>
          </cell>
        </row>
        <row r="144">
          <cell r="C144" t="str">
            <v>APRI CHIUDI TUBO QUADRO</v>
          </cell>
          <cell r="D144">
            <v>2</v>
          </cell>
          <cell r="I144">
            <v>0</v>
          </cell>
          <cell r="AP144">
            <v>999</v>
          </cell>
          <cell r="BL144" t="str">
            <v>ND</v>
          </cell>
          <cell r="BM144" t="str">
            <v>STOPPER SQUARED</v>
          </cell>
          <cell r="BN144" t="str">
            <v>ACQUASTOP</v>
          </cell>
          <cell r="BO144" t="str">
            <v>ESCLUSA</v>
          </cell>
          <cell r="BR144">
            <v>0</v>
          </cell>
          <cell r="BS144">
            <v>0</v>
          </cell>
          <cell r="BU144">
            <v>1</v>
          </cell>
          <cell r="BV144">
            <v>1</v>
          </cell>
          <cell r="BX144" t="str">
            <v>ACQUA DOLCE</v>
          </cell>
          <cell r="CB144">
            <v>156</v>
          </cell>
          <cell r="CE144" t="str">
            <v>APRI CHIUDI TUBO QUADRO:  chiusino formato da telaio da fissare a parete e sportello incernierato ad esso da applicare fori murari di sezione quadrata.</v>
          </cell>
          <cell r="CG144"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4">
            <v>30</v>
          </cell>
          <cell r="CI144">
            <v>0</v>
          </cell>
          <cell r="CJ144">
            <v>0.7</v>
          </cell>
          <cell r="CK144">
            <v>0.62</v>
          </cell>
          <cell r="CL144">
            <v>1</v>
          </cell>
          <cell r="CM144">
            <v>1</v>
          </cell>
        </row>
        <row r="145">
          <cell r="C145" t="str">
            <v>APRI CHIUDI TUBO TONDO</v>
          </cell>
          <cell r="D145">
            <v>2</v>
          </cell>
          <cell r="I145">
            <v>0</v>
          </cell>
          <cell r="AP145">
            <v>999</v>
          </cell>
          <cell r="BL145" t="str">
            <v>ND</v>
          </cell>
          <cell r="BM145" t="str">
            <v>STOPPER ROUND</v>
          </cell>
          <cell r="BN145" t="str">
            <v>ACQUASTOP</v>
          </cell>
          <cell r="BO145" t="str">
            <v>ESCLUSA</v>
          </cell>
          <cell r="BR145">
            <v>0</v>
          </cell>
          <cell r="BS145">
            <v>0</v>
          </cell>
          <cell r="BU145">
            <v>1</v>
          </cell>
          <cell r="BV145">
            <v>1</v>
          </cell>
          <cell r="BX145" t="str">
            <v>ACQUA DOLCE</v>
          </cell>
          <cell r="CB145">
            <v>167</v>
          </cell>
          <cell r="CE145" t="str">
            <v>APRI CHIUDI TUBO TONDO: chiusino formato da telaio da fissare a parete e sportello incernierato ad esso da applicare fori murari di sezione tonda.</v>
          </cell>
          <cell r="CG145"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5">
            <v>30</v>
          </cell>
          <cell r="CI145">
            <v>0</v>
          </cell>
          <cell r="CJ145">
            <v>0.7</v>
          </cell>
          <cell r="CK145">
            <v>0.62</v>
          </cell>
          <cell r="CL145">
            <v>1</v>
          </cell>
          <cell r="CM145">
            <v>1</v>
          </cell>
        </row>
        <row r="146">
          <cell r="C146" t="str">
            <v>CAMPIONE_CLICK_RAPID_CON_TELAIO</v>
          </cell>
          <cell r="D146">
            <v>2</v>
          </cell>
          <cell r="E146">
            <v>47</v>
          </cell>
          <cell r="I146">
            <v>0</v>
          </cell>
          <cell r="L146">
            <v>-1</v>
          </cell>
          <cell r="AM146">
            <v>200</v>
          </cell>
          <cell r="AO146">
            <v>30</v>
          </cell>
          <cell r="AP146">
            <v>1</v>
          </cell>
          <cell r="AR146">
            <v>30.5</v>
          </cell>
          <cell r="AS146">
            <v>2.851</v>
          </cell>
          <cell r="AU146">
            <v>14.094999999999999</v>
          </cell>
          <cell r="BL146" t="str">
            <v>ND</v>
          </cell>
          <cell r="BM146" t="str">
            <v>CAMPIONE_CLICK_RAPID_CON_TELAIO</v>
          </cell>
          <cell r="BN146" t="str">
            <v>PELLEGRINO</v>
          </cell>
          <cell r="BO146" t="str">
            <v>CENTRALE/I</v>
          </cell>
          <cell r="BP146" t="str">
            <v>Lalu60x30</v>
          </cell>
          <cell r="BQ146" t="str">
            <v>Lalu60x30</v>
          </cell>
          <cell r="BR146">
            <v>1</v>
          </cell>
          <cell r="BS146">
            <v>1</v>
          </cell>
          <cell r="BU146">
            <v>1</v>
          </cell>
          <cell r="BV146">
            <v>0</v>
          </cell>
          <cell r="BX146" t="str">
            <v>ACQUA DOLCE</v>
          </cell>
          <cell r="BY146" t="str">
            <v>PIATTOalu60x2</v>
          </cell>
          <cell r="BZ146" t="str">
            <v>PIATTOalu60x2</v>
          </cell>
          <cell r="CA146">
            <v>0</v>
          </cell>
          <cell r="CE146" t="str">
            <v>Barriera RAPID limita i danni da allagamento! Ha inserimento ad incastro e rimovibile rapidamente, munita di catenaccioli per mantenere la paratia in posizione con acqua mossa, avente  Doga da 30 mm in alluminio anodizzato argento; guarnizione di tenuta in EPDM nera;  maniglia\e SUPERIORE\I di sollevamento nera, 2 angolari da 60 x 30 mm da fissare lateralmente nel vano. Eeventuali chiavistello inferiore oltre ad una certa larghezza.</v>
          </cell>
          <cell r="CF146" t="str">
            <v xml:space="preserve">IL CAMPIONE  ESPOSITIVO NON E' DESTINATO ALLA VENDITA, PER VELOCITA DI PRODUZIONE ED IL COSTO IRRISORIO, NON SEGUE IL DISCIPLINARE DI PRODUZIONE PER LA TENUTA IDRAULICA MA SOLO QUELLO DELLA TECNICA MECCANICA PER L'USO DIMOSTRATIVO A SECCO, L'ORDINE E LA SUCCESSIVA ACCETTAZIONE DEL CAMPIONE  DA PARTE DEL VENDITORE, OBBLIGA IL VENDITORE A NON USARLO PER UNA PRATICA SCORRETTA RISPETTO AL NORMALE RAPPORTO COMMERCIALE CON IL PRODUTTORE, CHE E' QUELLO DI DARE UNA COSTANTE PROMOZIONE COMMERCIALE CON PROPOSITO POSITIVO E DI ELOGIO E PER FINALIZZARE OGNI VENDITA CON IL SUO CLIENTE FINALE, NON DI CERTO, PER ESEMPI,  DI VENDERE O CEDERE IL CAMPIONE, DENIGRARLO O ADDIRITTURA COPIARLO ANCHE SE IN UN SUO MINIMO DETTAGLIO ED ALTRO,  QUINDI CON IL RITIRO E L'ACQUISTO DEL CAMPIONE,SI OBBLIGA CON IL PRODUTTORE\SCRIVENTE, CHE IN CASO DI QUALSIASI ATTO SCORRETTO, IL PRODUTTORE A SUO INSINDACABILE GIUDIZIO, RITORNA PIENO PROPIETARIO DEL CAMPIONE, CON IL PIENO DIRITTO DI RITIRALO ANCHE SE CUSTODITO IN LUOGO PRIVATO, LA SOMMA PAGATA RIMARRA' PARTE INIZIALE E SOLO PARZIALE DEL RISARCIMENTO, RIMANENDO SEMPRE SALVO IL MAGGIOR DANNO RECATO E DI QUALSIASI NATURA SIA. </v>
          </cell>
          <cell r="CG146"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6">
            <v>30</v>
          </cell>
          <cell r="CI146">
            <v>0</v>
          </cell>
          <cell r="CJ146">
            <v>0.7</v>
          </cell>
          <cell r="CK146">
            <v>0.75</v>
          </cell>
          <cell r="CL146">
            <v>1.1000000000000001</v>
          </cell>
          <cell r="CM146">
            <v>1</v>
          </cell>
        </row>
        <row r="147">
          <cell r="C147" t="str">
            <v>campione_CLICK_RAPID_senza_TELAIO</v>
          </cell>
          <cell r="D147">
            <v>2</v>
          </cell>
          <cell r="E147">
            <v>18</v>
          </cell>
          <cell r="I147">
            <v>0</v>
          </cell>
          <cell r="L147">
            <v>-1</v>
          </cell>
          <cell r="AM147">
            <v>200</v>
          </cell>
          <cell r="AO147">
            <v>30</v>
          </cell>
          <cell r="AP147">
            <v>1</v>
          </cell>
          <cell r="AR147">
            <v>30.5</v>
          </cell>
          <cell r="AS147">
            <v>2.851</v>
          </cell>
          <cell r="AU147">
            <v>14.094999999999999</v>
          </cell>
          <cell r="BL147" t="str">
            <v>ND</v>
          </cell>
          <cell r="BM147" t="str">
            <v>CAMPIONE_CLICK_RAPID_CON_TELAIO</v>
          </cell>
          <cell r="BN147" t="str">
            <v>PELLEGRINO</v>
          </cell>
          <cell r="BO147" t="str">
            <v>CENTRALE/I</v>
          </cell>
          <cell r="BP147" t="str">
            <v>Lalu60x30</v>
          </cell>
          <cell r="BQ147" t="str">
            <v>Lalu60x30</v>
          </cell>
          <cell r="BR147">
            <v>1</v>
          </cell>
          <cell r="BS147">
            <v>1</v>
          </cell>
          <cell r="BU147">
            <v>1</v>
          </cell>
          <cell r="BV147">
            <v>0</v>
          </cell>
          <cell r="BX147" t="str">
            <v>ACQUA DOLCE</v>
          </cell>
          <cell r="BY147" t="str">
            <v>PIATTOalu60x2</v>
          </cell>
          <cell r="BZ147" t="str">
            <v>PIATTOalu60x2</v>
          </cell>
          <cell r="CA147">
            <v>0</v>
          </cell>
          <cell r="CE147" t="str">
            <v>CAMPIONE ESPOSITIVO Barriera RAPID CON ACCESSORI</v>
          </cell>
          <cell r="CF147" t="str">
            <v xml:space="preserve">IL CAMPIONE  ESPOSITIVO NON E' DESTINATO ALLA VENDITA, PER VELOCITA DI PRODUZIONE ED IL COSTO IRRISORIO, NON SEGUE IL DISCIPLINARE DI PRODUZIONE PER LA TENUTA IDRAULICA MA SOLO QUELLO DELLA TECNICA MECCANICA PER L'USO DIMOSTRATIVO A SECCO, L'ORDINE E LA SUCCESSIVA ACCETTAZIONE DEL CAMPIONE  DA PARTE DEL VENDITORE, OBBLIGA IL VENDITORE A NON USARLO PER UNA PRATICA SCORRETTA RISPETTO AL NORMALE RAPPORTO COMMERCIALE CON IL PRODUTTORE, CHE E' QUELLO DI DARE UNA COSTANTE PROMOZIONE COMMERCIALE CON PROPOSITO POSITIVO E DI ELOGIO E PER FINALIZZARE OGNI VENDITA CON IL SUO CLIENTE FINALE, NON DI CERTO, PER ESEMPI,  DI VENDERE O CEDERE IL CAMPIONE, DENIGRARLO O ADDIRITTURA COPIARLO ANCHE SE IN UN SUO MINIMO DETTAGLIO ED ALTRO,  QUINDI CON IL RITIRO E L'ACQUISTO DEL CAMPIONE,SI OBBLIGA CON IL PRODUTTORE\SCRIVENTE, CHE IN CASO DI QUALSIASI ATTO SCORRETTO, IL PRODUTTORE A SUO INSINDACABILE GIUDIZIO, RITORNA PIENO PROPIETARIO DEL CAMPIONE, CON IL PIENO DIRITTO DI RITIRALO ANCHE SE CUSTODITO IN LUOGO PRIVATO, LA SOMMA PAGATA RIMARRA' PARTE INIZIALE E SOLO PARZIALE DEL RISARCIMENTO, RIMANENDO SEMPRE SALVO IL MAGGIOR DANNO RECATO E DI QUALSIASI NATURA SIA. </v>
          </cell>
          <cell r="CG147"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7">
            <v>30</v>
          </cell>
          <cell r="CI147">
            <v>0</v>
          </cell>
          <cell r="CJ147">
            <v>0.7</v>
          </cell>
          <cell r="CK147">
            <v>0.75</v>
          </cell>
          <cell r="CL147">
            <v>1.1000000000000001</v>
          </cell>
          <cell r="CM147">
            <v>1</v>
          </cell>
        </row>
        <row r="148">
          <cell r="C148" t="str">
            <v>CHIUDI TUBO PERSONALIZZATO (preventivo su richiesta)</v>
          </cell>
          <cell r="D148">
            <v>2</v>
          </cell>
          <cell r="I148">
            <v>0</v>
          </cell>
          <cell r="AP148">
            <v>999</v>
          </cell>
          <cell r="BL148" t="str">
            <v>ND</v>
          </cell>
          <cell r="BM148" t="str">
            <v>STOPPER PERSONALIZZZATO</v>
          </cell>
          <cell r="BN148" t="str">
            <v>ACQUASTOP</v>
          </cell>
          <cell r="BO148" t="str">
            <v>ESCLUSA</v>
          </cell>
          <cell r="BR148">
            <v>0</v>
          </cell>
          <cell r="BS148">
            <v>0</v>
          </cell>
          <cell r="BU148">
            <v>1</v>
          </cell>
          <cell r="BV148">
            <v>1</v>
          </cell>
          <cell r="BX148" t="str">
            <v>ACQUA DOLCE</v>
          </cell>
          <cell r="CE148" t="str">
            <v>CHIUDI TUBO PERSONALIZZATO (preventivo su richiesta): chiusino formato da tappo di forma su richiesta da fissare a parete senza sportello.</v>
          </cell>
          <cell r="CG148"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8">
            <v>30</v>
          </cell>
          <cell r="CI148">
            <v>0</v>
          </cell>
          <cell r="CJ148">
            <v>0.7</v>
          </cell>
          <cell r="CK148">
            <v>0.62</v>
          </cell>
          <cell r="CL148">
            <v>1</v>
          </cell>
          <cell r="CM148">
            <v>1</v>
          </cell>
        </row>
        <row r="149">
          <cell r="C149" t="str">
            <v>CHIUDI TUBO QUADRO</v>
          </cell>
          <cell r="D149">
            <v>2</v>
          </cell>
          <cell r="I149">
            <v>0</v>
          </cell>
          <cell r="AP149">
            <v>999</v>
          </cell>
          <cell r="BL149" t="str">
            <v>ND</v>
          </cell>
          <cell r="BM149" t="str">
            <v>STOPPER SIMPLE</v>
          </cell>
          <cell r="BN149" t="str">
            <v>ACQUASTOP</v>
          </cell>
          <cell r="BO149" t="str">
            <v>ESCLUSA</v>
          </cell>
          <cell r="BR149">
            <v>0</v>
          </cell>
          <cell r="BS149">
            <v>0</v>
          </cell>
          <cell r="BU149">
            <v>1</v>
          </cell>
          <cell r="BV149">
            <v>1</v>
          </cell>
          <cell r="BX149" t="str">
            <v>ACQUA DOLCE</v>
          </cell>
          <cell r="CB149">
            <v>104</v>
          </cell>
          <cell r="CE149" t="str">
            <v>CHIUDI TUBO QUADRO:  chiusino formato da tappo quadrato da fissare a parete senza sportello.</v>
          </cell>
          <cell r="CG149"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49">
            <v>30</v>
          </cell>
          <cell r="CI149">
            <v>0</v>
          </cell>
          <cell r="CJ149">
            <v>0.7</v>
          </cell>
          <cell r="CK149">
            <v>0.62</v>
          </cell>
          <cell r="CL149">
            <v>1</v>
          </cell>
          <cell r="CM149">
            <v>1</v>
          </cell>
        </row>
        <row r="150">
          <cell r="C150" t="str">
            <v>CLEAR_F</v>
          </cell>
          <cell r="D150">
            <v>2</v>
          </cell>
          <cell r="E150">
            <v>18</v>
          </cell>
          <cell r="F150">
            <v>74</v>
          </cell>
          <cell r="I150">
            <v>0</v>
          </cell>
          <cell r="J150">
            <v>5</v>
          </cell>
          <cell r="L150">
            <v>-3</v>
          </cell>
          <cell r="O150">
            <v>29</v>
          </cell>
          <cell r="P150">
            <v>35</v>
          </cell>
          <cell r="Q150">
            <v>2</v>
          </cell>
          <cell r="S150">
            <v>5</v>
          </cell>
          <cell r="U150">
            <v>1</v>
          </cell>
          <cell r="W150">
            <v>1</v>
          </cell>
          <cell r="X150">
            <v>2</v>
          </cell>
          <cell r="AA150">
            <v>2</v>
          </cell>
          <cell r="AE150">
            <v>9</v>
          </cell>
          <cell r="AL150" t="str">
            <v>FARE SCASSI NEGLI ANGOLO IN LATO E OPPOSTI NEL VERSO DELLA SOLA LARGHEZZA DA LARG 26 mm X ALT 37 mm (USO INTERNO: FARE POI FORI DIAMETROO 10 mm PROFONDI 32 mm PARTE CONICA ESCLUSA</v>
          </cell>
          <cell r="AO150">
            <v>30</v>
          </cell>
          <cell r="AP150">
            <v>1</v>
          </cell>
          <cell r="AR150">
            <v>30</v>
          </cell>
          <cell r="AT150">
            <v>1.2</v>
          </cell>
          <cell r="AU150">
            <v>36</v>
          </cell>
          <cell r="AV150">
            <v>150</v>
          </cell>
          <cell r="AW150">
            <v>170</v>
          </cell>
          <cell r="AX150">
            <v>440</v>
          </cell>
          <cell r="AY150">
            <v>130</v>
          </cell>
          <cell r="AZ150">
            <v>150</v>
          </cell>
          <cell r="BA150">
            <v>2.6</v>
          </cell>
          <cell r="BD150">
            <v>1.5</v>
          </cell>
          <cell r="BE150">
            <v>2.6</v>
          </cell>
          <cell r="BF150">
            <v>2.5</v>
          </cell>
          <cell r="BG150">
            <v>3</v>
          </cell>
          <cell r="BH150">
            <v>4.8</v>
          </cell>
          <cell r="BI150">
            <v>4.8</v>
          </cell>
          <cell r="BL150" t="str">
            <v>ND</v>
          </cell>
          <cell r="BM150" t="str">
            <v>CLEAR_F</v>
          </cell>
          <cell r="BN150" t="str">
            <v>PELLEGRINO</v>
          </cell>
          <cell r="BO150" t="str">
            <v>CENTRALE</v>
          </cell>
          <cell r="BP150" t="str">
            <v>Lalu60x30</v>
          </cell>
          <cell r="BQ150" t="str">
            <v>Lalu60x30</v>
          </cell>
          <cell r="BR150">
            <v>1</v>
          </cell>
          <cell r="BS150">
            <v>1</v>
          </cell>
          <cell r="BU150">
            <v>1</v>
          </cell>
          <cell r="BV150">
            <v>0</v>
          </cell>
          <cell r="BX150" t="str">
            <v>ACQUA DOLCE</v>
          </cell>
          <cell r="BY150" t="str">
            <v>PIATTOalu60x3</v>
          </cell>
          <cell r="BZ150" t="str">
            <v>PIATTOalu60x3</v>
          </cell>
          <cell r="CA150">
            <v>0</v>
          </cell>
          <cell r="CC150" t="str">
            <v>PuCLICK</v>
          </cell>
          <cell r="CD150" t="str">
            <v>PaCLICK</v>
          </cell>
          <cell r="CE150" t="str">
            <v>Barriera CLEAR_F  completa di accessori, con CERTIFICATO DI PROVA ALL' ISTITUTO GIORDANO fino a Larghezza 125 x 100 cm di Altezza.</v>
          </cell>
          <cell r="CG150"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50">
            <v>30</v>
          </cell>
          <cell r="CI150">
            <v>0</v>
          </cell>
          <cell r="CJ150">
            <v>0.7</v>
          </cell>
          <cell r="CK150">
            <v>0.75</v>
          </cell>
          <cell r="CL150">
            <v>1</v>
          </cell>
          <cell r="CM150">
            <v>1</v>
          </cell>
        </row>
        <row r="151">
          <cell r="C151" t="str">
            <v>CLICK_RAPID</v>
          </cell>
          <cell r="D151">
            <v>2</v>
          </cell>
          <cell r="E151">
            <v>18</v>
          </cell>
          <cell r="G151">
            <v>214.5</v>
          </cell>
          <cell r="H151">
            <v>200</v>
          </cell>
          <cell r="I151">
            <v>14.5</v>
          </cell>
          <cell r="L151">
            <v>-1</v>
          </cell>
          <cell r="O151">
            <v>29</v>
          </cell>
          <cell r="P151">
            <v>35</v>
          </cell>
          <cell r="Q151">
            <v>2</v>
          </cell>
          <cell r="S151">
            <v>5</v>
          </cell>
          <cell r="U151">
            <v>1</v>
          </cell>
          <cell r="X151">
            <v>2</v>
          </cell>
          <cell r="AA151">
            <v>2</v>
          </cell>
          <cell r="AE151">
            <v>9</v>
          </cell>
          <cell r="AM151">
            <v>200</v>
          </cell>
          <cell r="AO151">
            <v>30</v>
          </cell>
          <cell r="AP151">
            <v>1</v>
          </cell>
          <cell r="AR151">
            <v>30.5</v>
          </cell>
          <cell r="AS151">
            <v>2.851</v>
          </cell>
          <cell r="AU151">
            <v>14.094999999999999</v>
          </cell>
          <cell r="AV151">
            <v>150</v>
          </cell>
          <cell r="AW151">
            <v>170</v>
          </cell>
          <cell r="AX151">
            <v>440</v>
          </cell>
          <cell r="AY151">
            <v>130</v>
          </cell>
          <cell r="AZ151">
            <v>168</v>
          </cell>
          <cell r="BA151">
            <v>2.6</v>
          </cell>
          <cell r="BD151">
            <v>6.5</v>
          </cell>
          <cell r="BE151">
            <v>2.6</v>
          </cell>
          <cell r="BF151">
            <v>2.5</v>
          </cell>
          <cell r="BG151">
            <v>3</v>
          </cell>
          <cell r="BH151">
            <v>4.8</v>
          </cell>
          <cell r="BI151">
            <v>4.8</v>
          </cell>
          <cell r="BJ151">
            <v>9</v>
          </cell>
          <cell r="BK151">
            <v>16</v>
          </cell>
          <cell r="BL151">
            <v>1</v>
          </cell>
          <cell r="BM151" t="str">
            <v>CLICK_RAPID</v>
          </cell>
          <cell r="BN151" t="str">
            <v>PELLEGRINO</v>
          </cell>
          <cell r="BO151" t="str">
            <v>CENTRALE</v>
          </cell>
          <cell r="BP151" t="str">
            <v>Lalu60x30</v>
          </cell>
          <cell r="BQ151" t="str">
            <v>Lalu60x30</v>
          </cell>
          <cell r="BR151">
            <v>1</v>
          </cell>
          <cell r="BS151">
            <v>1</v>
          </cell>
          <cell r="BU151">
            <v>1</v>
          </cell>
          <cell r="BV151">
            <v>0</v>
          </cell>
          <cell r="BX151" t="str">
            <v>ACQUA DOLCE</v>
          </cell>
          <cell r="BY151" t="str">
            <v>PIATTOalu60x3</v>
          </cell>
          <cell r="BZ151" t="str">
            <v>PIATTOalu60x3</v>
          </cell>
          <cell r="CA151">
            <v>0</v>
          </cell>
          <cell r="CC151" t="str">
            <v>PuCLICK</v>
          </cell>
          <cell r="CD151" t="str">
            <v>PaCLICK</v>
          </cell>
          <cell r="CE151" t="str">
            <v>Barriera CLICK RAPID completa di accessori, con CERTIFICATO DI PROVA ALL' ISTITUTO GIORDANO fino a Larghezza 500 x 100 cm di Altezza.</v>
          </cell>
          <cell r="CG151"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51">
            <v>30</v>
          </cell>
          <cell r="CI151">
            <v>0</v>
          </cell>
          <cell r="CJ151">
            <v>0.7</v>
          </cell>
          <cell r="CK151">
            <v>0.4</v>
          </cell>
          <cell r="CL151">
            <v>1</v>
          </cell>
          <cell r="CM151">
            <v>1</v>
          </cell>
        </row>
        <row r="152">
          <cell r="C152" t="str">
            <v>CLICK_RAPIDxPRIVATO</v>
          </cell>
          <cell r="D152">
            <v>2</v>
          </cell>
          <cell r="E152">
            <v>18</v>
          </cell>
          <cell r="G152">
            <v>214.5</v>
          </cell>
          <cell r="H152">
            <v>200</v>
          </cell>
          <cell r="I152">
            <v>14.5</v>
          </cell>
          <cell r="L152">
            <v>-1</v>
          </cell>
          <cell r="O152">
            <v>29</v>
          </cell>
          <cell r="P152">
            <v>35</v>
          </cell>
          <cell r="Q152">
            <v>2</v>
          </cell>
          <cell r="S152">
            <v>5</v>
          </cell>
          <cell r="U152">
            <v>1</v>
          </cell>
          <cell r="X152">
            <v>2</v>
          </cell>
          <cell r="AA152">
            <v>2</v>
          </cell>
          <cell r="AE152">
            <v>9</v>
          </cell>
          <cell r="AM152">
            <v>200</v>
          </cell>
          <cell r="AO152">
            <v>30</v>
          </cell>
          <cell r="AP152">
            <v>1</v>
          </cell>
          <cell r="AR152">
            <v>30.5</v>
          </cell>
          <cell r="AS152">
            <v>2.851</v>
          </cell>
          <cell r="AU152">
            <v>14.094999999999999</v>
          </cell>
          <cell r="AV152">
            <v>150</v>
          </cell>
          <cell r="AW152">
            <v>170</v>
          </cell>
          <cell r="AX152">
            <v>440</v>
          </cell>
          <cell r="AY152">
            <v>130</v>
          </cell>
          <cell r="AZ152">
            <v>168</v>
          </cell>
          <cell r="BA152">
            <v>2.6</v>
          </cell>
          <cell r="BD152">
            <v>6.5</v>
          </cell>
          <cell r="BE152">
            <v>2.6</v>
          </cell>
          <cell r="BF152">
            <v>2.5</v>
          </cell>
          <cell r="BG152">
            <v>3</v>
          </cell>
          <cell r="BH152">
            <v>4.8</v>
          </cell>
          <cell r="BI152">
            <v>4.8</v>
          </cell>
          <cell r="BJ152">
            <v>9</v>
          </cell>
          <cell r="BK152">
            <v>16</v>
          </cell>
          <cell r="BL152">
            <v>1</v>
          </cell>
          <cell r="BM152" t="str">
            <v>CLICK_RAPID</v>
          </cell>
          <cell r="BN152" t="str">
            <v>PELLEGRINO</v>
          </cell>
          <cell r="BO152" t="str">
            <v>CENTRALE</v>
          </cell>
          <cell r="BP152" t="str">
            <v>Lalu60x30</v>
          </cell>
          <cell r="BQ152" t="str">
            <v>Lalu60x30</v>
          </cell>
          <cell r="BR152">
            <v>1</v>
          </cell>
          <cell r="BS152">
            <v>1</v>
          </cell>
          <cell r="BU152">
            <v>1</v>
          </cell>
          <cell r="BV152">
            <v>0</v>
          </cell>
          <cell r="BX152" t="str">
            <v>ACQUA DOLCE</v>
          </cell>
          <cell r="BY152" t="str">
            <v>PIATTOalu60x3</v>
          </cell>
          <cell r="BZ152" t="str">
            <v>PIATTOalu60x3</v>
          </cell>
          <cell r="CA152">
            <v>0</v>
          </cell>
          <cell r="CC152" t="str">
            <v>PuCLICK</v>
          </cell>
          <cell r="CD152" t="str">
            <v>PaCLICK</v>
          </cell>
          <cell r="CE152" t="str">
            <v>Barriera CLICK RAPID. Si inserisce ed è rimovibile rapidamente dal suo incastro è munita di catenaccioli per rimanere nella sua sede anche in caso di vento. e' costruita con profili da 30 mm in alluminio anodizzato argento eventualmente sormontati e incastrati l'uno con l'altro; guarnizione di tenuta in EPDM nera;  maniglia\e SUPERIORE\I di sollevamento in materiale plastico, compresa di 2 angolari da 60 x 30 mm da fissare nella spalletat del vano. Eventuale chiavistello verticale parametrizzato in base alla Larghezza. Certificato di prova all' Istituto Giordano S.P.A.fino a  Larghezza 500 cm x 100 cm di Altezza.</v>
          </cell>
          <cell r="CG152"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52">
            <v>30</v>
          </cell>
          <cell r="CI152">
            <v>0</v>
          </cell>
          <cell r="CJ152">
            <v>0.7</v>
          </cell>
          <cell r="CK152">
            <v>0.75</v>
          </cell>
          <cell r="CL152">
            <v>1</v>
          </cell>
          <cell r="CM152">
            <v>1</v>
          </cell>
        </row>
        <row r="153">
          <cell r="C153" t="str">
            <v>CLOSE</v>
          </cell>
          <cell r="D153">
            <v>2</v>
          </cell>
          <cell r="E153">
            <v>48</v>
          </cell>
          <cell r="G153">
            <v>214.5</v>
          </cell>
          <cell r="H153">
            <v>200</v>
          </cell>
          <cell r="I153">
            <v>14.5</v>
          </cell>
          <cell r="J153">
            <v>34</v>
          </cell>
          <cell r="K153">
            <v>5</v>
          </cell>
          <cell r="L153">
            <v>-30</v>
          </cell>
          <cell r="M153">
            <v>-44</v>
          </cell>
          <cell r="P153">
            <v>35</v>
          </cell>
          <cell r="Q153">
            <v>2</v>
          </cell>
          <cell r="U153">
            <v>1</v>
          </cell>
          <cell r="W153">
            <v>1</v>
          </cell>
          <cell r="X153">
            <v>2</v>
          </cell>
          <cell r="AM153">
            <v>200</v>
          </cell>
          <cell r="AO153">
            <v>30</v>
          </cell>
          <cell r="AP153">
            <v>1</v>
          </cell>
          <cell r="AR153">
            <v>30</v>
          </cell>
          <cell r="AS153">
            <v>2.851</v>
          </cell>
          <cell r="AU153">
            <v>14.094999999999999</v>
          </cell>
          <cell r="AV153">
            <v>190</v>
          </cell>
          <cell r="AX153">
            <v>130</v>
          </cell>
          <cell r="BA153">
            <v>4</v>
          </cell>
          <cell r="BD153">
            <v>4</v>
          </cell>
          <cell r="BF153">
            <v>4</v>
          </cell>
          <cell r="BG153">
            <v>16</v>
          </cell>
          <cell r="BH153">
            <v>16</v>
          </cell>
          <cell r="BJ153">
            <v>30</v>
          </cell>
          <cell r="BK153">
            <v>15</v>
          </cell>
          <cell r="BL153">
            <v>1</v>
          </cell>
          <cell r="BM153" t="str">
            <v>CLOSE</v>
          </cell>
          <cell r="BN153" t="str">
            <v>PELLEGRINO</v>
          </cell>
          <cell r="BO153" t="str">
            <v>DX (di serie)</v>
          </cell>
          <cell r="BP153" t="str">
            <v>TEL. L</v>
          </cell>
          <cell r="BQ153" t="str">
            <v>TELAIO A L</v>
          </cell>
          <cell r="BR153">
            <v>1</v>
          </cell>
          <cell r="BS153">
            <v>0</v>
          </cell>
          <cell r="BU153">
            <v>1</v>
          </cell>
          <cell r="BV153">
            <v>0</v>
          </cell>
          <cell r="BX153" t="str">
            <v>ACQUA DOLCE</v>
          </cell>
          <cell r="CE153" t="str">
            <v xml:space="preserve">CLOSE: PORTA anti allagamento,  con telaio da posizionarsi nella luce del vano, anta costruita con doghe di alluminio anodizzato argento sovrapposte ; guarnizione di tenuta in EPDM ai  lati; levismo per la  compressione delle tenute laterali in Acciao Inox </v>
          </cell>
          <cell r="CL153">
            <v>1</v>
          </cell>
          <cell r="CM153">
            <v>1</v>
          </cell>
        </row>
        <row r="154">
          <cell r="C154" t="str">
            <v>CONTROTELAIO X CAPPOTTO</v>
          </cell>
          <cell r="D154">
            <v>0</v>
          </cell>
          <cell r="I154">
            <v>0</v>
          </cell>
          <cell r="AM154">
            <v>100</v>
          </cell>
          <cell r="BL154" t="str">
            <v>ND</v>
          </cell>
          <cell r="BM154" t="str">
            <v>CONTROTELAIO</v>
          </cell>
          <cell r="BN154" t="str">
            <v>PELLEGRINO</v>
          </cell>
          <cell r="BO154" t="str">
            <v>ESCLUSA</v>
          </cell>
          <cell r="BU154">
            <v>1</v>
          </cell>
          <cell r="CE154" t="str">
            <v>CONTROTELAIO  DA INSTALLARE SOTTO AL CAPPOTTO, RILIEVO A SPIGOLATURA VANO ED AD INSTALLAZIONE INFISSO INTERNO, NS INSTALLAZIONE PRIMA DELL'ESECUZIONE DEL CAPPOTTO NELLA SPALLETTA</v>
          </cell>
        </row>
        <row r="155">
          <cell r="C155" t="str">
            <v>FULL_D</v>
          </cell>
          <cell r="D155">
            <v>2</v>
          </cell>
          <cell r="I155">
            <v>0</v>
          </cell>
          <cell r="L155">
            <v>99999</v>
          </cell>
          <cell r="N155">
            <v>99998.5</v>
          </cell>
          <cell r="U155">
            <v>1</v>
          </cell>
          <cell r="W155">
            <v>1</v>
          </cell>
          <cell r="X155">
            <v>2</v>
          </cell>
          <cell r="AC155">
            <v>1</v>
          </cell>
          <cell r="AM155">
            <v>200</v>
          </cell>
          <cell r="AO155">
            <v>30</v>
          </cell>
          <cell r="AP155">
            <v>0</v>
          </cell>
          <cell r="AR155">
            <v>30</v>
          </cell>
          <cell r="AS155">
            <v>2.851</v>
          </cell>
          <cell r="AU155">
            <v>14.094999999999999</v>
          </cell>
          <cell r="AV155">
            <v>190</v>
          </cell>
          <cell r="AX155">
            <v>44</v>
          </cell>
          <cell r="BL155" t="str">
            <v>ND</v>
          </cell>
          <cell r="BM155" t="str">
            <v>FULL_D</v>
          </cell>
          <cell r="BN155" t="str">
            <v>PELLEGRINO</v>
          </cell>
          <cell r="BO155" t="str">
            <v>CENTRALE</v>
          </cell>
          <cell r="BP155" t="str">
            <v>TEL. L</v>
          </cell>
          <cell r="BQ155" t="str">
            <v>TELAIO A L</v>
          </cell>
          <cell r="BR155">
            <v>1</v>
          </cell>
          <cell r="BS155">
            <v>0</v>
          </cell>
          <cell r="BU155">
            <v>1</v>
          </cell>
          <cell r="BV155">
            <v>0</v>
          </cell>
          <cell r="BX155" t="str">
            <v>ACQUA DOLCE</v>
          </cell>
          <cell r="CE155" t="str">
            <v>FULL-G - BARRIERA PER CHIUSURA INTEGRALE DI UNA VANO SOTTO AL GRIGLIATO, DECIDERE QUALE CONTROLTELAIO USARE</v>
          </cell>
          <cell r="CL155">
            <v>1</v>
          </cell>
          <cell r="CM155">
            <v>1</v>
          </cell>
        </row>
        <row r="156">
          <cell r="C156" t="str">
            <v>FULL_G</v>
          </cell>
          <cell r="D156">
            <v>2</v>
          </cell>
          <cell r="I156">
            <v>0</v>
          </cell>
          <cell r="L156">
            <v>99999</v>
          </cell>
          <cell r="N156">
            <v>99998.5</v>
          </cell>
          <cell r="U156">
            <v>1</v>
          </cell>
          <cell r="W156">
            <v>1</v>
          </cell>
          <cell r="X156">
            <v>2</v>
          </cell>
          <cell r="AC156">
            <v>1</v>
          </cell>
          <cell r="AM156">
            <v>200</v>
          </cell>
          <cell r="AO156">
            <v>30</v>
          </cell>
          <cell r="AP156">
            <v>0</v>
          </cell>
          <cell r="AR156">
            <v>30</v>
          </cell>
          <cell r="AS156">
            <v>2.851</v>
          </cell>
          <cell r="AU156">
            <v>14.094999999999999</v>
          </cell>
          <cell r="AV156">
            <v>190</v>
          </cell>
          <cell r="AX156">
            <v>44</v>
          </cell>
          <cell r="BL156" t="str">
            <v>ND</v>
          </cell>
          <cell r="BM156" t="str">
            <v>FULL_G</v>
          </cell>
          <cell r="BN156" t="str">
            <v>PELLEGRINO</v>
          </cell>
          <cell r="BO156" t="str">
            <v>CENTRALE</v>
          </cell>
          <cell r="BR156">
            <v>1</v>
          </cell>
          <cell r="BS156">
            <v>0</v>
          </cell>
          <cell r="BU156">
            <v>1</v>
          </cell>
          <cell r="BV156">
            <v>0</v>
          </cell>
          <cell r="BX156" t="str">
            <v>ACQUA DOLCE</v>
          </cell>
          <cell r="CE156" t="str">
            <v>FULL-D: BARRIERA A CHIUSURA INTEGRALE DI UN VANO PORTA COMPRESA DI TELAIO IN ALLUMINIO AI 4 LATI A FORMA DI ELLE</v>
          </cell>
          <cell r="CL156">
            <v>1</v>
          </cell>
          <cell r="CM156">
            <v>1</v>
          </cell>
        </row>
        <row r="157">
          <cell r="C157" t="str">
            <v>FULL_W</v>
          </cell>
          <cell r="D157">
            <v>2</v>
          </cell>
          <cell r="I157">
            <v>0</v>
          </cell>
          <cell r="L157">
            <v>99999</v>
          </cell>
          <cell r="N157">
            <v>99998.5</v>
          </cell>
          <cell r="U157">
            <v>1</v>
          </cell>
          <cell r="W157">
            <v>1</v>
          </cell>
          <cell r="X157">
            <v>2</v>
          </cell>
          <cell r="AC157">
            <v>1</v>
          </cell>
          <cell r="AM157">
            <v>200</v>
          </cell>
          <cell r="AO157">
            <v>30</v>
          </cell>
          <cell r="AP157">
            <v>0</v>
          </cell>
          <cell r="AR157">
            <v>30</v>
          </cell>
          <cell r="AS157">
            <v>2.851</v>
          </cell>
          <cell r="AU157">
            <v>14.094999999999999</v>
          </cell>
          <cell r="AV157">
            <v>190</v>
          </cell>
          <cell r="AX157">
            <v>44</v>
          </cell>
          <cell r="BL157" t="str">
            <v>ND</v>
          </cell>
          <cell r="BM157" t="str">
            <v>FULL_W</v>
          </cell>
          <cell r="BN157" t="str">
            <v>PELLEGRINO</v>
          </cell>
          <cell r="BO157" t="str">
            <v>CENTRALE</v>
          </cell>
          <cell r="BP157" t="str">
            <v>TEL. L</v>
          </cell>
          <cell r="BQ157" t="str">
            <v>TELAIO A L</v>
          </cell>
          <cell r="BR157">
            <v>1</v>
          </cell>
          <cell r="BS157">
            <v>0</v>
          </cell>
          <cell r="BU157">
            <v>1</v>
          </cell>
          <cell r="BV157">
            <v>0</v>
          </cell>
          <cell r="BX157" t="str">
            <v>ACQUA DOLCE</v>
          </cell>
          <cell r="CE157" t="str">
            <v>FULL-W: BARRIERA A CHIUSURA INTEGRALE DI UN VANO FINESTRA COMPRESA DI TELAIO IN ALLUMINIO AI 4 LATI A FORMA DI ELLE</v>
          </cell>
          <cell r="CL157">
            <v>1</v>
          </cell>
          <cell r="CM157">
            <v>1</v>
          </cell>
        </row>
        <row r="158">
          <cell r="C158" t="str">
            <v>GATE</v>
          </cell>
          <cell r="D158">
            <v>2</v>
          </cell>
          <cell r="E158">
            <v>48</v>
          </cell>
          <cell r="G158">
            <v>214.5</v>
          </cell>
          <cell r="H158">
            <v>200</v>
          </cell>
          <cell r="I158">
            <v>14.5</v>
          </cell>
          <cell r="K158">
            <v>5</v>
          </cell>
          <cell r="L158">
            <v>8</v>
          </cell>
          <cell r="M158">
            <v>-44</v>
          </cell>
          <cell r="P158">
            <v>35</v>
          </cell>
          <cell r="Q158">
            <v>2</v>
          </cell>
          <cell r="U158">
            <v>1</v>
          </cell>
          <cell r="X158">
            <v>2</v>
          </cell>
          <cell r="AM158">
            <v>200</v>
          </cell>
          <cell r="AO158">
            <v>30</v>
          </cell>
          <cell r="AP158">
            <v>1</v>
          </cell>
          <cell r="AR158">
            <v>30</v>
          </cell>
          <cell r="AS158">
            <v>2.851</v>
          </cell>
          <cell r="AU158">
            <v>14.094999999999999</v>
          </cell>
          <cell r="BJ158">
            <v>30</v>
          </cell>
          <cell r="BK158">
            <v>15</v>
          </cell>
          <cell r="BL158">
            <v>1</v>
          </cell>
          <cell r="BM158" t="str">
            <v>GATE</v>
          </cell>
          <cell r="BN158" t="str">
            <v>PELLEGRINO</v>
          </cell>
          <cell r="BO158" t="str">
            <v>DX (di serie)</v>
          </cell>
          <cell r="BP158" t="str">
            <v>TEL. L</v>
          </cell>
          <cell r="BQ158" t="str">
            <v>TELAIO A L</v>
          </cell>
          <cell r="BR158">
            <v>1</v>
          </cell>
          <cell r="BS158">
            <v>0</v>
          </cell>
          <cell r="BU158">
            <v>1</v>
          </cell>
          <cell r="BV158">
            <v>0</v>
          </cell>
          <cell r="BX158" t="str">
            <v>ACQUA DOLCE</v>
          </cell>
          <cell r="CE158" t="str">
            <v>GATE: Barriera antillagamaneto A CANCELLO,  da posizionarsi nel vano luce, costruita in doghe di alluminio anodizzato argento; guarnizione di tenuta in EPDM ai  lati; maniglia per la  compressione delle tenute laterali (necessita di 6 cm di spazio libero in mazzetta).</v>
          </cell>
          <cell r="CL158">
            <v>1</v>
          </cell>
          <cell r="CM158">
            <v>1</v>
          </cell>
        </row>
        <row r="159">
          <cell r="C159" t="str">
            <v>IF</v>
          </cell>
          <cell r="D159">
            <v>2</v>
          </cell>
          <cell r="I159">
            <v>0</v>
          </cell>
          <cell r="AP159">
            <v>0</v>
          </cell>
          <cell r="AS159">
            <v>3.0779999999999998</v>
          </cell>
          <cell r="AU159">
            <v>20</v>
          </cell>
          <cell r="BL159" t="str">
            <v>ND</v>
          </cell>
          <cell r="BM159" t="str">
            <v>PARATIA INTEGRA WINDOWS</v>
          </cell>
          <cell r="BN159" t="str">
            <v>PELLEGRINO</v>
          </cell>
          <cell r="BO159" t="str">
            <v>LATERALI</v>
          </cell>
          <cell r="BR159">
            <v>0</v>
          </cell>
          <cell r="BS159">
            <v>0</v>
          </cell>
          <cell r="BU159">
            <v>1</v>
          </cell>
          <cell r="BV159">
            <v>1</v>
          </cell>
          <cell r="BW159" t="str">
            <v>A05000_</v>
          </cell>
          <cell r="BX159" t="str">
            <v>ACQUA DOLCE</v>
          </cell>
          <cell r="CE159" t="str">
            <v>IF: Paratia integrale per finestre, rimovibile e da installare nel vano luce, costruita in doghe di alluminio anodizzato argento; guarnizione di tenuta in EPDM; maniglie pratiche,asportabili e velocizzano il posizionamento e la relativa compressione delle tenute laterali (necessita di 6 cm di spazio libero in mazzetta).</v>
          </cell>
          <cell r="CG159"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59">
            <v>30</v>
          </cell>
          <cell r="CI159">
            <v>0</v>
          </cell>
          <cell r="CJ159">
            <v>0.7</v>
          </cell>
          <cell r="CK159">
            <v>0.62</v>
          </cell>
          <cell r="CL159">
            <v>1</v>
          </cell>
          <cell r="CM159">
            <v>1</v>
          </cell>
        </row>
        <row r="160">
          <cell r="C160" t="str">
            <v>IP</v>
          </cell>
          <cell r="D160">
            <v>2</v>
          </cell>
          <cell r="I160">
            <v>0</v>
          </cell>
          <cell r="AP160">
            <v>0</v>
          </cell>
          <cell r="AS160">
            <v>3.0779999999999998</v>
          </cell>
          <cell r="AU160">
            <v>20</v>
          </cell>
          <cell r="BL160" t="str">
            <v>ND</v>
          </cell>
          <cell r="BM160" t="str">
            <v>PARATIA INTEGRA DOORS</v>
          </cell>
          <cell r="BN160" t="str">
            <v>PELLEGRINO</v>
          </cell>
          <cell r="BO160" t="str">
            <v>LATERALI E SUPERIORE</v>
          </cell>
          <cell r="BR160">
            <v>0</v>
          </cell>
          <cell r="BS160">
            <v>0</v>
          </cell>
          <cell r="BU160">
            <v>1</v>
          </cell>
          <cell r="BV160">
            <v>1</v>
          </cell>
          <cell r="BW160" t="str">
            <v>A05000_</v>
          </cell>
          <cell r="BX160" t="str">
            <v>ACQUA DOLCE</v>
          </cell>
          <cell r="CE160" t="str">
            <v>Ip: Paratia integrale per porta\portafinestra, rimovibile e da installare nel vano luce, costruita in doghe di alluminio anodizzato argento; guarnizione di tenuta in EPDM; maniglie pratiche,asportabili e velocizzano il posizionamento e la relativa compressione delle tenute laterali (necessita di 6 cm di spazio libero in mazzetta).</v>
          </cell>
          <cell r="CG160"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0">
            <v>30</v>
          </cell>
          <cell r="CI160">
            <v>0</v>
          </cell>
          <cell r="CJ160">
            <v>0.7</v>
          </cell>
          <cell r="CK160">
            <v>0.62</v>
          </cell>
          <cell r="CL160">
            <v>1</v>
          </cell>
          <cell r="CM160">
            <v>1</v>
          </cell>
        </row>
        <row r="161">
          <cell r="C161" t="str">
            <v>MODERNA</v>
          </cell>
          <cell r="D161">
            <v>2</v>
          </cell>
          <cell r="E161">
            <v>194</v>
          </cell>
          <cell r="G161">
            <v>214.5</v>
          </cell>
          <cell r="H161">
            <v>200</v>
          </cell>
          <cell r="I161">
            <v>14.5</v>
          </cell>
          <cell r="L161">
            <v>13</v>
          </cell>
          <cell r="N161">
            <v>12.5</v>
          </cell>
          <cell r="O161">
            <v>25</v>
          </cell>
          <cell r="S161">
            <v>10</v>
          </cell>
          <cell r="U161">
            <v>1</v>
          </cell>
          <cell r="X161">
            <v>2</v>
          </cell>
          <cell r="AC161">
            <v>1</v>
          </cell>
          <cell r="AM161">
            <v>200</v>
          </cell>
          <cell r="AO161">
            <v>30</v>
          </cell>
          <cell r="AP161">
            <v>1</v>
          </cell>
          <cell r="AQ161">
            <v>441.5</v>
          </cell>
          <cell r="AR161">
            <v>30</v>
          </cell>
          <cell r="AS161">
            <v>2.851</v>
          </cell>
          <cell r="AV161">
            <v>185</v>
          </cell>
          <cell r="AX161">
            <v>440</v>
          </cell>
          <cell r="AY161">
            <v>130</v>
          </cell>
          <cell r="BA161">
            <v>0.5</v>
          </cell>
          <cell r="BB161">
            <v>4.5</v>
          </cell>
          <cell r="BC161">
            <v>4.5</v>
          </cell>
          <cell r="BD161">
            <v>-1.5</v>
          </cell>
          <cell r="BE161">
            <v>4.5</v>
          </cell>
          <cell r="BF161">
            <v>3</v>
          </cell>
          <cell r="BG161">
            <v>5</v>
          </cell>
          <cell r="BH161">
            <v>9</v>
          </cell>
          <cell r="BI161">
            <v>5</v>
          </cell>
          <cell r="BL161" t="str">
            <v>ND</v>
          </cell>
          <cell r="BM161" t="str">
            <v>MODERNA</v>
          </cell>
          <cell r="BN161" t="str">
            <v>PELLEGRINO</v>
          </cell>
          <cell r="BO161" t="str">
            <v>DX (di serie)</v>
          </cell>
          <cell r="BP161" t="str">
            <v>ESCLUSI</v>
          </cell>
          <cell r="BQ161" t="str">
            <v>COPPIA PROFILI ANGOLARI 60X20X2</v>
          </cell>
          <cell r="BR161">
            <v>0</v>
          </cell>
          <cell r="BS161">
            <v>0</v>
          </cell>
          <cell r="BU161">
            <v>1</v>
          </cell>
          <cell r="BV161">
            <v>1</v>
          </cell>
          <cell r="BX161" t="str">
            <v>ACQUA DOLCE</v>
          </cell>
          <cell r="BY161" t="str">
            <v>PIATTOalu60x3</v>
          </cell>
          <cell r="BZ161" t="str">
            <v>PIATTOalu60x3</v>
          </cell>
          <cell r="CC161" t="str">
            <v>PuCLICK</v>
          </cell>
          <cell r="CD161" t="str">
            <v>PaCLICK</v>
          </cell>
          <cell r="CE161" t="str">
            <v>MODERNA: Barriera antillagamento rimovibile,  da posizionarsi all' occorrenza nel vano luce, costruita in doghe di alluminio anodizzato argento con spessore 30 mm; guarnizione di tenuta in EPDM ai 3 lati; maniglia asportabile dopo aver messo in compressione le tenute laterali (necessita di 6 cm di spazio libero in mazzetta).</v>
          </cell>
          <cell r="CG161"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1">
            <v>30</v>
          </cell>
          <cell r="CI161">
            <v>0</v>
          </cell>
          <cell r="CJ161">
            <v>0.7</v>
          </cell>
          <cell r="CK161">
            <v>0.6</v>
          </cell>
          <cell r="CL161">
            <v>1</v>
          </cell>
          <cell r="CM161">
            <v>0.1</v>
          </cell>
        </row>
        <row r="162">
          <cell r="C162" t="str">
            <v>MODERNA_PLUS</v>
          </cell>
          <cell r="D162">
            <v>2</v>
          </cell>
          <cell r="E162">
            <v>194</v>
          </cell>
          <cell r="G162">
            <v>214.5</v>
          </cell>
          <cell r="H162">
            <v>200</v>
          </cell>
          <cell r="I162">
            <v>14.5</v>
          </cell>
          <cell r="L162">
            <v>13</v>
          </cell>
          <cell r="N162">
            <v>12.5</v>
          </cell>
          <cell r="O162">
            <v>25</v>
          </cell>
          <cell r="S162">
            <v>10</v>
          </cell>
          <cell r="U162">
            <v>1</v>
          </cell>
          <cell r="X162">
            <v>2</v>
          </cell>
          <cell r="AC162">
            <v>1</v>
          </cell>
          <cell r="AM162">
            <v>200</v>
          </cell>
          <cell r="AO162">
            <v>30</v>
          </cell>
          <cell r="AP162">
            <v>1</v>
          </cell>
          <cell r="AR162">
            <v>30</v>
          </cell>
          <cell r="AS162">
            <v>2.851</v>
          </cell>
          <cell r="AV162">
            <v>185</v>
          </cell>
          <cell r="AX162">
            <v>440</v>
          </cell>
          <cell r="AY162">
            <v>130</v>
          </cell>
          <cell r="BA162">
            <v>0.5</v>
          </cell>
          <cell r="BB162">
            <v>4.5</v>
          </cell>
          <cell r="BC162">
            <v>4.5</v>
          </cell>
          <cell r="BD162">
            <v>-1.5</v>
          </cell>
          <cell r="BE162">
            <v>4.5</v>
          </cell>
          <cell r="BF162">
            <v>3</v>
          </cell>
          <cell r="BG162">
            <v>5</v>
          </cell>
          <cell r="BH162">
            <v>9</v>
          </cell>
          <cell r="BI162">
            <v>5</v>
          </cell>
          <cell r="BL162" t="str">
            <v>ND</v>
          </cell>
          <cell r="BM162" t="str">
            <v>MODERNA_PLUS</v>
          </cell>
          <cell r="BN162" t="str">
            <v>PELLEGRINO</v>
          </cell>
          <cell r="BO162" t="str">
            <v>DX (di serie)</v>
          </cell>
          <cell r="BP162" t="str">
            <v>ESCLUSI</v>
          </cell>
          <cell r="BQ162" t="str">
            <v>COPPIA PROFILI ANGOLARI 60X20X3</v>
          </cell>
          <cell r="BR162">
            <v>0</v>
          </cell>
          <cell r="BS162">
            <v>1</v>
          </cell>
          <cell r="BU162">
            <v>1</v>
          </cell>
          <cell r="BV162">
            <v>1</v>
          </cell>
          <cell r="BX162" t="str">
            <v>ACQUA DOLCE</v>
          </cell>
          <cell r="BY162" t="str">
            <v>PIATTOalu60x3</v>
          </cell>
          <cell r="BZ162" t="str">
            <v>PIATTOalu60x3</v>
          </cell>
          <cell r="CC162" t="str">
            <v>PuCLICK</v>
          </cell>
          <cell r="CD162" t="str">
            <v>PaCLICK</v>
          </cell>
          <cell r="CE162" t="str">
            <v>MODERNA PLUS: Barriera antillagamento rimovibile,  da posizionarsi all' occorrenza nel vano luce, costruita in doghe di alluminio anodizzato argento con spessore 30 mm; guarnizione di tenuta in EPDM ai 3 lati; maniglia asportabile dopo aver messo in compressione le tenute laterali (necessita di 6 cm di spazio libero in mazzetta).</v>
          </cell>
          <cell r="CG162"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2">
            <v>30</v>
          </cell>
          <cell r="CI162">
            <v>0</v>
          </cell>
          <cell r="CJ162">
            <v>0.7</v>
          </cell>
          <cell r="CK162">
            <v>0.62</v>
          </cell>
          <cell r="CL162">
            <v>1</v>
          </cell>
          <cell r="CM162">
            <v>0.1</v>
          </cell>
        </row>
        <row r="163">
          <cell r="C163" t="str">
            <v>MODERNACUT</v>
          </cell>
          <cell r="D163">
            <v>2</v>
          </cell>
          <cell r="E163">
            <v>194</v>
          </cell>
          <cell r="G163">
            <v>214.5</v>
          </cell>
          <cell r="H163">
            <v>200</v>
          </cell>
          <cell r="I163">
            <v>14.5</v>
          </cell>
          <cell r="L163">
            <v>13</v>
          </cell>
          <cell r="N163">
            <v>12.5</v>
          </cell>
          <cell r="O163">
            <v>25</v>
          </cell>
          <cell r="S163">
            <v>10</v>
          </cell>
          <cell r="U163">
            <v>1</v>
          </cell>
          <cell r="X163">
            <v>2</v>
          </cell>
          <cell r="AC163">
            <v>1</v>
          </cell>
          <cell r="AM163">
            <v>200</v>
          </cell>
          <cell r="AO163">
            <v>30</v>
          </cell>
          <cell r="AP163">
            <v>1</v>
          </cell>
          <cell r="AR163">
            <v>30</v>
          </cell>
          <cell r="AS163">
            <v>2.851</v>
          </cell>
          <cell r="AV163">
            <v>185</v>
          </cell>
          <cell r="AX163">
            <v>440</v>
          </cell>
          <cell r="AY163">
            <v>130</v>
          </cell>
          <cell r="BA163">
            <v>0.5</v>
          </cell>
          <cell r="BB163">
            <v>4.5</v>
          </cell>
          <cell r="BC163">
            <v>4.5</v>
          </cell>
          <cell r="BD163">
            <v>-1.5</v>
          </cell>
          <cell r="BE163">
            <v>4.5</v>
          </cell>
          <cell r="BF163">
            <v>3</v>
          </cell>
          <cell r="BG163">
            <v>5</v>
          </cell>
          <cell r="BH163">
            <v>9</v>
          </cell>
          <cell r="BI163">
            <v>5</v>
          </cell>
          <cell r="BL163" t="str">
            <v>ND</v>
          </cell>
          <cell r="BM163" t="str">
            <v>MODERNA_CUT</v>
          </cell>
          <cell r="BN163" t="str">
            <v>PELLEGRINO</v>
          </cell>
          <cell r="BO163" t="str">
            <v>DX (di serie)</v>
          </cell>
          <cell r="BP163" t="str">
            <v>ESCLUSI</v>
          </cell>
          <cell r="BQ163" t="str">
            <v>COPPIA PROFILI ANGOLARI 60X20X3</v>
          </cell>
          <cell r="BR163">
            <v>0</v>
          </cell>
          <cell r="BS163">
            <v>1</v>
          </cell>
          <cell r="BU163">
            <v>1</v>
          </cell>
          <cell r="BV163">
            <v>1</v>
          </cell>
          <cell r="BX163" t="str">
            <v>ACQUA DOLCE</v>
          </cell>
          <cell r="BY163" t="str">
            <v>PIATTOalu60x3</v>
          </cell>
          <cell r="BZ163" t="str">
            <v>PIATTOalu60x3</v>
          </cell>
          <cell r="CC163" t="str">
            <v>PuCLICK</v>
          </cell>
          <cell r="CD163" t="str">
            <v>PaCLICK</v>
          </cell>
          <cell r="CE163" t="str">
            <v>MODERNA CUT: Barriera antillagamento, DA ACCORCIARSI E DA FINIRE DI ASSEMBLARE, rimovibile,  da posizionarsi all' occorrenza nel vano luce, costruita in doghe di alluminio anodizzato argento con spessore 30 mm; guarnizione di tenuta in EPDM ai 3 lati; maniglia asportabile dopo aver messo in compressione le tenute laterali (necessita di 6 cm di spazio libero in mazzetta).</v>
          </cell>
          <cell r="CG163"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3">
            <v>30</v>
          </cell>
          <cell r="CI163">
            <v>0</v>
          </cell>
          <cell r="CJ163">
            <v>0.7</v>
          </cell>
          <cell r="CK163">
            <v>0.62</v>
          </cell>
          <cell r="CL163">
            <v>1</v>
          </cell>
          <cell r="CM163">
            <v>1.2</v>
          </cell>
        </row>
        <row r="164">
          <cell r="C164" t="str">
            <v>MODI</v>
          </cell>
          <cell r="D164">
            <v>2</v>
          </cell>
          <cell r="E164">
            <v>50</v>
          </cell>
          <cell r="G164">
            <v>218</v>
          </cell>
          <cell r="H164">
            <v>200.00000000000003</v>
          </cell>
          <cell r="I164">
            <v>17.999999999999972</v>
          </cell>
          <cell r="O164">
            <v>112</v>
          </cell>
          <cell r="R164">
            <v>10</v>
          </cell>
          <cell r="S164">
            <v>5</v>
          </cell>
          <cell r="T164">
            <v>2</v>
          </cell>
          <cell r="U164">
            <v>1</v>
          </cell>
          <cell r="V164">
            <v>2</v>
          </cell>
          <cell r="Z164">
            <v>2</v>
          </cell>
          <cell r="AB164">
            <v>2</v>
          </cell>
          <cell r="AD164">
            <v>94</v>
          </cell>
          <cell r="AE164">
            <v>40</v>
          </cell>
          <cell r="AF164">
            <v>54</v>
          </cell>
          <cell r="AG164">
            <v>19</v>
          </cell>
          <cell r="AH164">
            <v>35</v>
          </cell>
          <cell r="AI164">
            <v>15</v>
          </cell>
          <cell r="AJ164">
            <v>4</v>
          </cell>
          <cell r="AK164">
            <v>5</v>
          </cell>
          <cell r="AM164">
            <v>200</v>
          </cell>
          <cell r="AO164">
            <v>39</v>
          </cell>
          <cell r="AP164">
            <v>1</v>
          </cell>
          <cell r="AR164">
            <v>43</v>
          </cell>
          <cell r="AS164">
            <v>4.9720000000000004</v>
          </cell>
          <cell r="AU164">
            <v>24.86</v>
          </cell>
          <cell r="BL164" t="str">
            <v>ND</v>
          </cell>
          <cell r="BM164" t="str">
            <v>MODI</v>
          </cell>
          <cell r="BN164" t="str">
            <v>PELLEGRINO</v>
          </cell>
          <cell r="BO164" t="str">
            <v>LATERALI</v>
          </cell>
          <cell r="BP164" t="str">
            <v>GUIDAMODI</v>
          </cell>
          <cell r="BQ164" t="str">
            <v>GUIDAMODI</v>
          </cell>
          <cell r="BR164">
            <v>1</v>
          </cell>
          <cell r="BS164">
            <v>1</v>
          </cell>
          <cell r="BT164" t="str">
            <v>LamieraALU485</v>
          </cell>
          <cell r="BU164">
            <v>0</v>
          </cell>
          <cell r="BV164">
            <v>0</v>
          </cell>
          <cell r="BX164" t="str">
            <v>ACQUA DOLCE</v>
          </cell>
          <cell r="BY164" t="str">
            <v>PIATTOinox80X5</v>
          </cell>
          <cell r="CC164" t="str">
            <v>PuMODI</v>
          </cell>
          <cell r="CD164" t="str">
            <v>PaMODI</v>
          </cell>
          <cell r="CE164" t="str">
            <v>MODI: Paratia in doghe di alluminio anodizzate argento impilabili una sopra all'altra dentro ad appositi profilati laterali.</v>
          </cell>
          <cell r="CG164"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4">
            <v>30</v>
          </cell>
          <cell r="CI164">
            <v>0</v>
          </cell>
          <cell r="CJ164">
            <v>0.7</v>
          </cell>
          <cell r="CK164">
            <v>0.62</v>
          </cell>
          <cell r="CL164">
            <v>1</v>
          </cell>
          <cell r="CM164">
            <v>1</v>
          </cell>
        </row>
        <row r="165">
          <cell r="C165" t="str">
            <v>MODI_Minimal</v>
          </cell>
          <cell r="D165">
            <v>2</v>
          </cell>
          <cell r="E165">
            <v>50</v>
          </cell>
          <cell r="G165">
            <v>218</v>
          </cell>
          <cell r="H165">
            <v>200.00000000000003</v>
          </cell>
          <cell r="I165">
            <v>17.999999999999972</v>
          </cell>
          <cell r="O165">
            <v>112</v>
          </cell>
          <cell r="R165">
            <v>10</v>
          </cell>
          <cell r="S165">
            <v>5</v>
          </cell>
          <cell r="T165">
            <v>2</v>
          </cell>
          <cell r="U165">
            <v>1</v>
          </cell>
          <cell r="V165">
            <v>2</v>
          </cell>
          <cell r="W165">
            <v>0</v>
          </cell>
          <cell r="X165">
            <v>0</v>
          </cell>
          <cell r="Y165">
            <v>0</v>
          </cell>
          <cell r="Z165">
            <v>2</v>
          </cell>
          <cell r="AB165">
            <v>2</v>
          </cell>
          <cell r="AD165">
            <v>94</v>
          </cell>
          <cell r="AE165">
            <v>40</v>
          </cell>
          <cell r="AF165">
            <v>54</v>
          </cell>
          <cell r="AG165">
            <v>19</v>
          </cell>
          <cell r="AH165">
            <v>35</v>
          </cell>
          <cell r="AI165">
            <v>15</v>
          </cell>
          <cell r="AJ165">
            <v>4</v>
          </cell>
          <cell r="AK165">
            <v>5</v>
          </cell>
          <cell r="AM165">
            <v>200</v>
          </cell>
          <cell r="AO165">
            <v>39</v>
          </cell>
          <cell r="AP165">
            <v>1</v>
          </cell>
          <cell r="AR165">
            <v>43</v>
          </cell>
          <cell r="AS165">
            <v>4.9720000000000004</v>
          </cell>
          <cell r="AU165">
            <v>24.86</v>
          </cell>
          <cell r="BL165" t="str">
            <v>ND</v>
          </cell>
          <cell r="BM165" t="str">
            <v>MODI_Minimal</v>
          </cell>
          <cell r="BN165" t="str">
            <v>PELLEGRINO</v>
          </cell>
          <cell r="BO165" t="str">
            <v>LATERALI</v>
          </cell>
          <cell r="BP165" t="str">
            <v>GUIDAMODI</v>
          </cell>
          <cell r="BQ165" t="str">
            <v>GUIDAMODI</v>
          </cell>
          <cell r="BR165">
            <v>1</v>
          </cell>
          <cell r="BS165">
            <v>1</v>
          </cell>
          <cell r="BU165">
            <v>1</v>
          </cell>
          <cell r="BV165">
            <v>0</v>
          </cell>
          <cell r="BX165" t="str">
            <v>ACQUA DOLCE</v>
          </cell>
          <cell r="BY165" t="str">
            <v>PIATTOinox80X5</v>
          </cell>
          <cell r="CC165" t="str">
            <v>PuMODI</v>
          </cell>
          <cell r="CD165" t="str">
            <v>PaMODI</v>
          </cell>
          <cell r="CE165" t="str">
            <v>MODI Minimal: Paratia in doghe di alluminio al naturale, impilabili una sopra all'altra dentro ad appositi profilati laterali, fornita con guarnzioni sfuse da assemblare.</v>
          </cell>
          <cell r="CG165"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5">
            <v>30</v>
          </cell>
          <cell r="CI165">
            <v>0</v>
          </cell>
          <cell r="CJ165">
            <v>0.7</v>
          </cell>
          <cell r="CK165">
            <v>0.62</v>
          </cell>
          <cell r="CL165">
            <v>1</v>
          </cell>
          <cell r="CM165">
            <v>1</v>
          </cell>
        </row>
        <row r="166">
          <cell r="C166" t="str">
            <v>MODU</v>
          </cell>
          <cell r="D166">
            <v>2</v>
          </cell>
          <cell r="E166">
            <v>50</v>
          </cell>
          <cell r="G166">
            <v>231</v>
          </cell>
          <cell r="H166">
            <v>201</v>
          </cell>
          <cell r="I166">
            <v>30</v>
          </cell>
          <cell r="R166">
            <v>10</v>
          </cell>
          <cell r="S166">
            <v>5</v>
          </cell>
          <cell r="T166">
            <v>2</v>
          </cell>
          <cell r="U166">
            <v>1</v>
          </cell>
          <cell r="V166">
            <v>2</v>
          </cell>
          <cell r="Z166">
            <v>2</v>
          </cell>
          <cell r="AB166">
            <v>2</v>
          </cell>
          <cell r="AD166">
            <v>94</v>
          </cell>
          <cell r="AE166">
            <v>40</v>
          </cell>
          <cell r="AF166">
            <v>54</v>
          </cell>
          <cell r="AG166">
            <v>19</v>
          </cell>
          <cell r="AH166">
            <v>35</v>
          </cell>
          <cell r="AI166">
            <v>15</v>
          </cell>
          <cell r="AK166">
            <v>5</v>
          </cell>
          <cell r="AM166">
            <v>200</v>
          </cell>
          <cell r="AO166">
            <v>86</v>
          </cell>
          <cell r="AP166">
            <v>1</v>
          </cell>
          <cell r="AR166">
            <v>87.9</v>
          </cell>
          <cell r="AS166">
            <v>6.9539999999999997</v>
          </cell>
          <cell r="AU166">
            <v>34.769999999999996</v>
          </cell>
          <cell r="BL166" t="str">
            <v>ND</v>
          </cell>
          <cell r="BM166" t="str">
            <v>MODU</v>
          </cell>
          <cell r="BN166" t="str">
            <v>PELLEGRINO</v>
          </cell>
          <cell r="BO166" t="str">
            <v>LATERALI</v>
          </cell>
          <cell r="BP166" t="str">
            <v>GUIDAMODU</v>
          </cell>
          <cell r="BQ166" t="str">
            <v>GUIDAMODU</v>
          </cell>
          <cell r="BR166">
            <v>1</v>
          </cell>
          <cell r="BS166">
            <v>1</v>
          </cell>
          <cell r="BT166" t="str">
            <v>LamieraALU985</v>
          </cell>
          <cell r="BU166">
            <v>0</v>
          </cell>
          <cell r="BV166">
            <v>0</v>
          </cell>
          <cell r="BX166" t="str">
            <v>ACQUA DOLCE</v>
          </cell>
          <cell r="BY166" t="str">
            <v>PIATTOinox150X5</v>
          </cell>
          <cell r="BZ166" t="str">
            <v>PIATTOinox150X5</v>
          </cell>
          <cell r="CC166" t="str">
            <v>PuMODU</v>
          </cell>
          <cell r="CD166" t="str">
            <v>PaMODU</v>
          </cell>
          <cell r="CE166" t="str">
            <v>MODU: Paratia in doghe di alluminio anodizzate argento impilabili una sopra all'altra dentro ad appositi profilati laterali.</v>
          </cell>
          <cell r="CG166"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6">
            <v>30</v>
          </cell>
          <cell r="CI166">
            <v>0</v>
          </cell>
          <cell r="CJ166">
            <v>0.7</v>
          </cell>
          <cell r="CK166">
            <v>0.62</v>
          </cell>
          <cell r="CL166">
            <v>1</v>
          </cell>
          <cell r="CM166">
            <v>1</v>
          </cell>
        </row>
        <row r="167">
          <cell r="C167" t="str">
            <v>MODU_Minimal</v>
          </cell>
          <cell r="D167">
            <v>2</v>
          </cell>
          <cell r="E167">
            <v>50</v>
          </cell>
          <cell r="G167">
            <v>231</v>
          </cell>
          <cell r="H167">
            <v>201</v>
          </cell>
          <cell r="I167">
            <v>30</v>
          </cell>
          <cell r="R167">
            <v>10</v>
          </cell>
          <cell r="S167">
            <v>5</v>
          </cell>
          <cell r="T167">
            <v>2</v>
          </cell>
          <cell r="U167">
            <v>1</v>
          </cell>
          <cell r="V167">
            <v>2</v>
          </cell>
          <cell r="W167">
            <v>0</v>
          </cell>
          <cell r="X167">
            <v>0</v>
          </cell>
          <cell r="Y167">
            <v>0</v>
          </cell>
          <cell r="Z167">
            <v>2</v>
          </cell>
          <cell r="AB167">
            <v>2</v>
          </cell>
          <cell r="AD167">
            <v>94</v>
          </cell>
          <cell r="AE167">
            <v>40</v>
          </cell>
          <cell r="AF167">
            <v>54</v>
          </cell>
          <cell r="AG167">
            <v>19</v>
          </cell>
          <cell r="AH167">
            <v>35</v>
          </cell>
          <cell r="AI167">
            <v>15</v>
          </cell>
          <cell r="AK167">
            <v>5</v>
          </cell>
          <cell r="AM167">
            <v>200</v>
          </cell>
          <cell r="AO167">
            <v>86</v>
          </cell>
          <cell r="AP167">
            <v>1</v>
          </cell>
          <cell r="AR167">
            <v>87.9</v>
          </cell>
          <cell r="AS167">
            <v>6.9539999999999997</v>
          </cell>
          <cell r="AU167">
            <v>34.769999999999996</v>
          </cell>
          <cell r="BL167" t="str">
            <v>ND</v>
          </cell>
          <cell r="BM167" t="str">
            <v>MODU_Minimal</v>
          </cell>
          <cell r="BN167" t="str">
            <v>PELLEGRINO</v>
          </cell>
          <cell r="BO167" t="str">
            <v>LATERALI</v>
          </cell>
          <cell r="BP167" t="str">
            <v>GUIDAMODU</v>
          </cell>
          <cell r="BQ167" t="str">
            <v>GUIDAMODU</v>
          </cell>
          <cell r="BR167">
            <v>1</v>
          </cell>
          <cell r="BS167">
            <v>1</v>
          </cell>
          <cell r="BU167">
            <v>1</v>
          </cell>
          <cell r="BV167">
            <v>0</v>
          </cell>
          <cell r="BX167" t="str">
            <v>ACQUA DOLCE</v>
          </cell>
          <cell r="BY167" t="str">
            <v>PIATTOinox150X5</v>
          </cell>
          <cell r="BZ167" t="str">
            <v>PIATTOinox150X5</v>
          </cell>
          <cell r="CC167" t="str">
            <v>PuMODU</v>
          </cell>
          <cell r="CD167" t="str">
            <v>PaMODU</v>
          </cell>
          <cell r="CE167" t="str">
            <v>MODU Minimal: Paratia in doghe di alluminio al naturale, impilabili una sopra all'altra dentro ad appositi profilati laterali, fornita con guarnzioni sfuse da assemblare.</v>
          </cell>
          <cell r="CG167"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7">
            <v>30</v>
          </cell>
          <cell r="CI167">
            <v>0</v>
          </cell>
          <cell r="CJ167">
            <v>0.7</v>
          </cell>
          <cell r="CK167">
            <v>0.62</v>
          </cell>
          <cell r="CL167">
            <v>1</v>
          </cell>
          <cell r="CM167">
            <v>1</v>
          </cell>
        </row>
        <row r="168">
          <cell r="C168" t="str">
            <v>T30</v>
          </cell>
          <cell r="D168">
            <v>3</v>
          </cell>
          <cell r="I168">
            <v>0</v>
          </cell>
          <cell r="AH168">
            <v>0</v>
          </cell>
          <cell r="AM168">
            <v>200</v>
          </cell>
          <cell r="AO168">
            <v>30</v>
          </cell>
          <cell r="AP168">
            <v>1</v>
          </cell>
          <cell r="AR168">
            <v>30.5</v>
          </cell>
          <cell r="AS168">
            <v>3.1</v>
          </cell>
          <cell r="AU168">
            <v>15.5</v>
          </cell>
          <cell r="BL168" t="str">
            <v>ND</v>
          </cell>
          <cell r="BM168" t="str">
            <v>TRITONE</v>
          </cell>
          <cell r="BN168" t="str">
            <v>ALU TECNOLOGY SRL</v>
          </cell>
          <cell r="BO168" t="str">
            <v>CENTRALE/I</v>
          </cell>
          <cell r="BP168" t="str">
            <v>L50x40</v>
          </cell>
          <cell r="BQ168" t="str">
            <v>COPPIA PROFILI ANGOLARI60X30X4</v>
          </cell>
          <cell r="BR168">
            <v>1</v>
          </cell>
          <cell r="BS168">
            <v>1</v>
          </cell>
          <cell r="BU168">
            <v>1</v>
          </cell>
          <cell r="BV168">
            <v>0</v>
          </cell>
          <cell r="BX168" t="str">
            <v>ACQUA DOLCE</v>
          </cell>
          <cell r="BY168" t="str">
            <v>PIATTOinox80x5</v>
          </cell>
          <cell r="BZ168" t="str">
            <v>PIATTOinox80x6</v>
          </cell>
          <cell r="CA168">
            <v>18</v>
          </cell>
          <cell r="CC168" t="str">
            <v>PuCLICK</v>
          </cell>
          <cell r="CD168" t="str">
            <v>PaCLICK</v>
          </cell>
          <cell r="CE168" t="str">
            <v>T30: Paratia "B" rimovibile da 30 mm da installare nel vano luce, costruita in doghe di alluminio anodizzato argento; guarnizione di tenuta in EPDM;  maniglia\e SUPERIORE\I di sollevamento, 2 angolari per la parete laterale muniti di cricchetti di arresto per il mantenimento della paratia in posizione.</v>
          </cell>
          <cell r="CG168"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H168">
            <v>30</v>
          </cell>
          <cell r="CI168">
            <v>0</v>
          </cell>
          <cell r="CJ168">
            <v>0.7</v>
          </cell>
          <cell r="CK168">
            <v>0.75</v>
          </cell>
          <cell r="CL168">
            <v>1</v>
          </cell>
          <cell r="CM168">
            <v>1</v>
          </cell>
        </row>
        <row r="169">
          <cell r="I169">
            <v>0</v>
          </cell>
          <cell r="BL169" t="str">
            <v>ND</v>
          </cell>
          <cell r="BV169">
            <v>1</v>
          </cell>
          <cell r="BX169" t="str">
            <v>ACQUA DOLCE</v>
          </cell>
          <cell r="CG169"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L169">
            <v>1</v>
          </cell>
          <cell r="CM169">
            <v>1</v>
          </cell>
        </row>
        <row r="170">
          <cell r="I170">
            <v>0</v>
          </cell>
          <cell r="BL170" t="str">
            <v>ND</v>
          </cell>
          <cell r="BV170">
            <v>1</v>
          </cell>
          <cell r="BX170" t="str">
            <v>ACQUA DOLCE</v>
          </cell>
          <cell r="CG170" t="str">
            <v>ATTENZIONE !!!! SEGNALARE IN SISTEMA SCRITTO IN TUTTE LE PARTI IN CUI IL CORRIERE CHIEDE LA FIRMA QUALSIASI ANOMALIA DELL' IMBALLO PARTENDO DAL GRAFFIO O LA MINIMA AMMACCATURA DELL' IMBALLO FINO AL CASO PIU' GRAVE, DELL' IMBALLO SCONDIZIONATO, IN CUI CONSIGLIAMO IL MANCATO RITIRO, TUTTO QUESTO PER NON PERDERE DA PARTE VOSTRA L' EVENTUALE RISARCIMENTO DA PARTE DELL' ASSICURAZIONE SUL TRASPORTO, SI RAMMENTA CHE LA MERCE VIAGGIA AD ESCLUSIVA RESPONSABILITA DELL' ACQUIRENTE.</v>
          </cell>
          <cell r="CL170">
            <v>1</v>
          </cell>
          <cell r="CM170">
            <v>1</v>
          </cell>
        </row>
      </sheetData>
      <sheetData sheetId="44"/>
      <sheetData sheetId="45">
        <row r="3">
          <cell r="T3">
            <v>4</v>
          </cell>
          <cell r="V3">
            <v>6</v>
          </cell>
        </row>
        <row r="6">
          <cell r="Q6" t="str">
            <v>Lalu60x20</v>
          </cell>
          <cell r="R6">
            <v>20</v>
          </cell>
          <cell r="S6">
            <v>60</v>
          </cell>
          <cell r="T6">
            <v>4</v>
          </cell>
          <cell r="U6">
            <v>130</v>
          </cell>
          <cell r="V6">
            <v>0</v>
          </cell>
        </row>
        <row r="7">
          <cell r="Q7">
            <v>0</v>
          </cell>
          <cell r="T7">
            <v>0</v>
          </cell>
          <cell r="U7">
            <v>50</v>
          </cell>
          <cell r="V7">
            <v>0</v>
          </cell>
        </row>
        <row r="8">
          <cell r="Q8" t="str">
            <v>ESCLUSI</v>
          </cell>
          <cell r="T8">
            <v>0</v>
          </cell>
          <cell r="U8">
            <v>50</v>
          </cell>
          <cell r="V8">
            <v>0</v>
          </cell>
        </row>
        <row r="9">
          <cell r="Q9" t="str">
            <v>GUIDAMODI</v>
          </cell>
          <cell r="R9">
            <v>80</v>
          </cell>
          <cell r="S9">
            <v>85</v>
          </cell>
          <cell r="T9">
            <v>0</v>
          </cell>
          <cell r="V9">
            <v>0</v>
          </cell>
        </row>
        <row r="10">
          <cell r="Q10" t="str">
            <v>GUIDAMODU</v>
          </cell>
          <cell r="R10">
            <v>130</v>
          </cell>
          <cell r="S10">
            <v>85</v>
          </cell>
          <cell r="T10">
            <v>0</v>
          </cell>
          <cell r="U10">
            <v>265</v>
          </cell>
          <cell r="V10">
            <v>0</v>
          </cell>
        </row>
        <row r="11">
          <cell r="Q11" t="str">
            <v>Lalu60x30</v>
          </cell>
          <cell r="R11">
            <v>30</v>
          </cell>
          <cell r="S11">
            <v>60</v>
          </cell>
          <cell r="T11">
            <v>0</v>
          </cell>
          <cell r="U11">
            <v>140</v>
          </cell>
          <cell r="V11">
            <v>0</v>
          </cell>
          <cell r="W11" t="str">
            <v>DI SERIE NELLA CLICK RAPID</v>
          </cell>
        </row>
        <row r="12">
          <cell r="Q12" t="str">
            <v>Lalu60x60</v>
          </cell>
          <cell r="R12">
            <v>60</v>
          </cell>
          <cell r="S12">
            <v>60</v>
          </cell>
          <cell r="T12">
            <v>0</v>
          </cell>
          <cell r="U12">
            <v>170</v>
          </cell>
          <cell r="V12">
            <v>0</v>
          </cell>
        </row>
        <row r="13">
          <cell r="Q13" t="str">
            <v>Linox60x20</v>
          </cell>
          <cell r="R13">
            <v>20</v>
          </cell>
          <cell r="S13">
            <v>60</v>
          </cell>
          <cell r="T13">
            <v>8</v>
          </cell>
          <cell r="U13">
            <v>130</v>
          </cell>
          <cell r="V13">
            <v>0</v>
          </cell>
        </row>
        <row r="14">
          <cell r="Q14" t="str">
            <v>Linox60x30</v>
          </cell>
          <cell r="R14">
            <v>30</v>
          </cell>
          <cell r="S14">
            <v>60</v>
          </cell>
          <cell r="T14">
            <v>0</v>
          </cell>
          <cell r="U14">
            <v>140</v>
          </cell>
          <cell r="V14">
            <v>0</v>
          </cell>
        </row>
        <row r="15">
          <cell r="Q15" t="str">
            <v>Linox60x60</v>
          </cell>
          <cell r="R15">
            <v>60</v>
          </cell>
          <cell r="S15">
            <v>60</v>
          </cell>
          <cell r="T15">
            <v>2</v>
          </cell>
          <cell r="U15">
            <v>170</v>
          </cell>
          <cell r="V15">
            <v>0</v>
          </cell>
        </row>
        <row r="16">
          <cell r="Q16" t="str">
            <v>PIATTOalu80x5</v>
          </cell>
          <cell r="R16">
            <v>5</v>
          </cell>
          <cell r="S16">
            <v>80</v>
          </cell>
          <cell r="T16">
            <v>10</v>
          </cell>
          <cell r="U16">
            <v>135</v>
          </cell>
          <cell r="V16">
            <v>0</v>
          </cell>
        </row>
        <row r="17">
          <cell r="Q17" t="str">
            <v>PIATTOinox80x3</v>
          </cell>
          <cell r="R17">
            <v>3</v>
          </cell>
          <cell r="S17">
            <v>80</v>
          </cell>
          <cell r="T17">
            <v>6</v>
          </cell>
          <cell r="U17">
            <v>133</v>
          </cell>
          <cell r="V17">
            <v>0</v>
          </cell>
        </row>
        <row r="18">
          <cell r="Q18" t="str">
            <v>TEL. L</v>
          </cell>
          <cell r="R18">
            <v>51</v>
          </cell>
          <cell r="S18">
            <v>60</v>
          </cell>
          <cell r="T18">
            <v>0</v>
          </cell>
          <cell r="U18">
            <v>161</v>
          </cell>
          <cell r="V18">
            <v>0</v>
          </cell>
        </row>
        <row r="19">
          <cell r="R19">
            <v>51</v>
          </cell>
          <cell r="S19">
            <v>60</v>
          </cell>
          <cell r="T19">
            <v>0</v>
          </cell>
          <cell r="U19">
            <v>161</v>
          </cell>
          <cell r="V19">
            <v>0</v>
          </cell>
        </row>
        <row r="20">
          <cell r="Q20" t="str">
            <v>TELAIO L OPTIONAL</v>
          </cell>
          <cell r="R20">
            <v>51</v>
          </cell>
          <cell r="S20">
            <v>60</v>
          </cell>
          <cell r="T20">
            <v>0</v>
          </cell>
          <cell r="U20">
            <v>161</v>
          </cell>
          <cell r="V20">
            <v>0</v>
          </cell>
        </row>
        <row r="21">
          <cell r="U21">
            <v>50</v>
          </cell>
          <cell r="V21">
            <v>0</v>
          </cell>
        </row>
        <row r="24">
          <cell r="R24">
            <v>2</v>
          </cell>
          <cell r="U24">
            <v>5</v>
          </cell>
        </row>
        <row r="26">
          <cell r="Q26" t="str">
            <v>elle130x50</v>
          </cell>
          <cell r="R26">
            <v>50</v>
          </cell>
          <cell r="S26">
            <v>50</v>
          </cell>
          <cell r="U26">
            <v>150</v>
          </cell>
          <cell r="V26">
            <v>20</v>
          </cell>
          <cell r="W26">
            <v>10.928962833333333</v>
          </cell>
        </row>
        <row r="27">
          <cell r="Q27" t="str">
            <v>elle72X50</v>
          </cell>
          <cell r="R27">
            <v>50</v>
          </cell>
          <cell r="S27">
            <v>50</v>
          </cell>
          <cell r="U27">
            <v>150</v>
          </cell>
          <cell r="V27">
            <v>20</v>
          </cell>
          <cell r="W27">
            <v>10.928962833333333</v>
          </cell>
        </row>
        <row r="28">
          <cell r="W28">
            <v>0</v>
          </cell>
        </row>
        <row r="29">
          <cell r="W29">
            <v>0</v>
          </cell>
        </row>
        <row r="30">
          <cell r="W30">
            <v>0</v>
          </cell>
        </row>
        <row r="31">
          <cell r="W31">
            <v>0</v>
          </cell>
        </row>
        <row r="32">
          <cell r="Q32" t="str">
            <v>PIATTOalu120X3</v>
          </cell>
          <cell r="R32">
            <v>3</v>
          </cell>
          <cell r="S32">
            <v>120</v>
          </cell>
          <cell r="U32">
            <v>173</v>
          </cell>
          <cell r="V32">
            <v>10</v>
          </cell>
          <cell r="W32">
            <v>5.4644814166666666</v>
          </cell>
        </row>
        <row r="33">
          <cell r="Q33" t="str">
            <v>PIATTOalu120X5</v>
          </cell>
          <cell r="R33">
            <v>5</v>
          </cell>
          <cell r="S33">
            <v>120</v>
          </cell>
          <cell r="U33">
            <v>175</v>
          </cell>
          <cell r="V33">
            <v>10</v>
          </cell>
          <cell r="W33">
            <v>5.4644814166666666</v>
          </cell>
        </row>
        <row r="34">
          <cell r="Q34" t="str">
            <v>PIATTOalu60X3</v>
          </cell>
          <cell r="R34">
            <v>3</v>
          </cell>
          <cell r="S34">
            <v>60</v>
          </cell>
          <cell r="U34">
            <v>113</v>
          </cell>
          <cell r="V34">
            <v>10</v>
          </cell>
          <cell r="W34">
            <v>5.4644814166666666</v>
          </cell>
        </row>
        <row r="35">
          <cell r="Q35" t="str">
            <v>PIATTOalu60X5</v>
          </cell>
          <cell r="R35">
            <v>5</v>
          </cell>
          <cell r="S35">
            <v>60</v>
          </cell>
          <cell r="U35">
            <v>115</v>
          </cell>
          <cell r="V35">
            <v>10</v>
          </cell>
          <cell r="W35">
            <v>5.4644814166666666</v>
          </cell>
        </row>
        <row r="36">
          <cell r="Q36" t="str">
            <v>PIATTOalu80X3</v>
          </cell>
          <cell r="R36">
            <v>3</v>
          </cell>
          <cell r="S36">
            <v>80</v>
          </cell>
          <cell r="U36">
            <v>133</v>
          </cell>
          <cell r="V36">
            <v>10</v>
          </cell>
          <cell r="W36">
            <v>5.4644814166666666</v>
          </cell>
        </row>
        <row r="37">
          <cell r="Q37" t="str">
            <v>PIATTOalu80X5</v>
          </cell>
          <cell r="R37">
            <v>5</v>
          </cell>
          <cell r="S37">
            <v>80</v>
          </cell>
          <cell r="U37">
            <v>135</v>
          </cell>
          <cell r="V37">
            <v>10</v>
          </cell>
          <cell r="W37">
            <v>5.4644814166666666</v>
          </cell>
        </row>
        <row r="38">
          <cell r="V38">
            <v>10</v>
          </cell>
          <cell r="W38">
            <v>5.4644814166666666</v>
          </cell>
        </row>
        <row r="39">
          <cell r="Q39" t="str">
            <v>PIATTOinox120X3</v>
          </cell>
          <cell r="R39">
            <v>3</v>
          </cell>
          <cell r="S39">
            <v>120</v>
          </cell>
          <cell r="U39">
            <v>173</v>
          </cell>
          <cell r="V39">
            <v>10</v>
          </cell>
          <cell r="W39">
            <v>5.4644814166666666</v>
          </cell>
        </row>
        <row r="40">
          <cell r="Q40" t="str">
            <v>PIATTOinox120X5</v>
          </cell>
          <cell r="R40">
            <v>5</v>
          </cell>
          <cell r="S40">
            <v>120</v>
          </cell>
          <cell r="U40">
            <v>175</v>
          </cell>
          <cell r="V40">
            <v>10</v>
          </cell>
          <cell r="W40">
            <v>5.4644814166666666</v>
          </cell>
        </row>
        <row r="41">
          <cell r="Q41" t="str">
            <v>PIATTOinox60X3</v>
          </cell>
          <cell r="R41">
            <v>3</v>
          </cell>
          <cell r="S41">
            <v>60</v>
          </cell>
          <cell r="U41">
            <v>113</v>
          </cell>
          <cell r="V41">
            <v>10</v>
          </cell>
          <cell r="W41">
            <v>5.4644814166666666</v>
          </cell>
        </row>
        <row r="42">
          <cell r="Q42" t="str">
            <v>PIATTOinox60X5</v>
          </cell>
          <cell r="R42">
            <v>5</v>
          </cell>
          <cell r="S42">
            <v>60</v>
          </cell>
          <cell r="U42">
            <v>115</v>
          </cell>
          <cell r="V42">
            <v>10</v>
          </cell>
          <cell r="W42">
            <v>5.4644814166666666</v>
          </cell>
        </row>
        <row r="43">
          <cell r="Q43" t="str">
            <v>PIATTOinox80X3</v>
          </cell>
          <cell r="R43">
            <v>3</v>
          </cell>
          <cell r="S43">
            <v>80</v>
          </cell>
          <cell r="U43">
            <v>133</v>
          </cell>
          <cell r="V43">
            <v>10</v>
          </cell>
          <cell r="W43">
            <v>5.4644814166666666</v>
          </cell>
        </row>
        <row r="44">
          <cell r="Q44" t="str">
            <v>PIATTOinox80X5</v>
          </cell>
          <cell r="R44">
            <v>5</v>
          </cell>
          <cell r="S44">
            <v>80</v>
          </cell>
          <cell r="U44">
            <v>135</v>
          </cell>
          <cell r="V44">
            <v>10</v>
          </cell>
          <cell r="W44">
            <v>5.4644814166666666</v>
          </cell>
        </row>
        <row r="45">
          <cell r="Q45" t="str">
            <v>PIATTOinox150x5</v>
          </cell>
          <cell r="R45">
            <v>5</v>
          </cell>
          <cell r="S45">
            <v>150</v>
          </cell>
          <cell r="U45">
            <v>205</v>
          </cell>
          <cell r="V45">
            <v>10</v>
          </cell>
          <cell r="W45">
            <v>5.4644814166666666</v>
          </cell>
        </row>
        <row r="46">
          <cell r="W46">
            <v>0</v>
          </cell>
        </row>
        <row r="47">
          <cell r="Q47" t="str">
            <v>TUBalu120x60</v>
          </cell>
          <cell r="R47">
            <v>120</v>
          </cell>
          <cell r="S47">
            <v>60</v>
          </cell>
          <cell r="U47">
            <v>230</v>
          </cell>
          <cell r="V47">
            <v>35</v>
          </cell>
          <cell r="W47">
            <v>19.125684958333338</v>
          </cell>
        </row>
        <row r="48">
          <cell r="Q48" t="str">
            <v>TUBalu60x120</v>
          </cell>
          <cell r="R48">
            <v>60</v>
          </cell>
          <cell r="S48">
            <v>120</v>
          </cell>
          <cell r="U48">
            <v>230</v>
          </cell>
          <cell r="V48">
            <v>20</v>
          </cell>
          <cell r="W48">
            <v>10.928962833333333</v>
          </cell>
        </row>
        <row r="49">
          <cell r="Q49" t="str">
            <v>TUBalu60x20</v>
          </cell>
          <cell r="R49">
            <v>20</v>
          </cell>
          <cell r="S49">
            <v>60</v>
          </cell>
          <cell r="U49">
            <v>130</v>
          </cell>
          <cell r="V49">
            <v>20</v>
          </cell>
          <cell r="W49">
            <v>10.928962833333333</v>
          </cell>
        </row>
        <row r="50">
          <cell r="Q50" t="str">
            <v>TUBalu60x40</v>
          </cell>
          <cell r="R50">
            <v>40</v>
          </cell>
          <cell r="S50">
            <v>60</v>
          </cell>
          <cell r="U50">
            <v>150</v>
          </cell>
          <cell r="V50">
            <v>20</v>
          </cell>
          <cell r="W50">
            <v>10.928962833333333</v>
          </cell>
        </row>
        <row r="51">
          <cell r="Q51" t="str">
            <v>TUBalu60x60</v>
          </cell>
          <cell r="R51">
            <v>60</v>
          </cell>
          <cell r="S51">
            <v>60</v>
          </cell>
          <cell r="U51">
            <v>170</v>
          </cell>
          <cell r="V51">
            <v>20</v>
          </cell>
          <cell r="W51">
            <v>10.928962833333333</v>
          </cell>
        </row>
        <row r="52">
          <cell r="Q52" t="str">
            <v>TUBalu60x80</v>
          </cell>
          <cell r="R52">
            <v>60</v>
          </cell>
          <cell r="S52">
            <v>60</v>
          </cell>
          <cell r="U52">
            <v>170</v>
          </cell>
          <cell r="V52">
            <v>20</v>
          </cell>
          <cell r="W52">
            <v>10.928962833333333</v>
          </cell>
        </row>
        <row r="53">
          <cell r="W53">
            <v>0</v>
          </cell>
        </row>
        <row r="54">
          <cell r="Q54" t="str">
            <v>TUBinox120X60</v>
          </cell>
          <cell r="R54">
            <v>120</v>
          </cell>
          <cell r="S54">
            <v>60</v>
          </cell>
          <cell r="U54">
            <v>230</v>
          </cell>
          <cell r="V54">
            <v>35</v>
          </cell>
          <cell r="W54">
            <v>19.125684958333338</v>
          </cell>
        </row>
        <row r="55">
          <cell r="Q55" t="str">
            <v>TUBinox60x120</v>
          </cell>
          <cell r="R55">
            <v>60</v>
          </cell>
          <cell r="S55">
            <v>60</v>
          </cell>
          <cell r="U55">
            <v>170</v>
          </cell>
          <cell r="V55">
            <v>20</v>
          </cell>
          <cell r="W55">
            <v>10.928962833333333</v>
          </cell>
        </row>
        <row r="56">
          <cell r="Q56" t="str">
            <v>TUBinox60x20</v>
          </cell>
          <cell r="R56">
            <v>20</v>
          </cell>
          <cell r="S56">
            <v>60</v>
          </cell>
          <cell r="U56">
            <v>130</v>
          </cell>
          <cell r="V56">
            <v>20</v>
          </cell>
          <cell r="W56">
            <v>10.928962833333333</v>
          </cell>
        </row>
        <row r="57">
          <cell r="Q57" t="str">
            <v>TUBinox60x40</v>
          </cell>
          <cell r="R57">
            <v>40</v>
          </cell>
          <cell r="S57">
            <v>60</v>
          </cell>
          <cell r="U57">
            <v>150</v>
          </cell>
          <cell r="V57">
            <v>20</v>
          </cell>
          <cell r="W57">
            <v>10.928962833333333</v>
          </cell>
        </row>
        <row r="58">
          <cell r="Q58" t="str">
            <v>TUBinox60x60</v>
          </cell>
          <cell r="R58">
            <v>60</v>
          </cell>
          <cell r="S58">
            <v>60</v>
          </cell>
          <cell r="U58">
            <v>170</v>
          </cell>
          <cell r="V58">
            <v>20</v>
          </cell>
          <cell r="W58">
            <v>10.928962833333333</v>
          </cell>
        </row>
        <row r="59">
          <cell r="W59">
            <v>0</v>
          </cell>
        </row>
        <row r="60">
          <cell r="W60">
            <v>0</v>
          </cell>
        </row>
        <row r="61">
          <cell r="W61">
            <v>0</v>
          </cell>
        </row>
        <row r="62">
          <cell r="W62">
            <v>0</v>
          </cell>
        </row>
        <row r="63">
          <cell r="W63">
            <v>0</v>
          </cell>
        </row>
        <row r="64">
          <cell r="W64">
            <v>0</v>
          </cell>
        </row>
        <row r="65">
          <cell r="W65">
            <v>0</v>
          </cell>
        </row>
      </sheetData>
      <sheetData sheetId="46"/>
      <sheetData sheetId="47"/>
      <sheetData sheetId="48"/>
      <sheetData sheetId="49"/>
      <sheetData sheetId="50"/>
      <sheetData sheetId="51">
        <row r="5">
          <cell r="I5">
            <v>7</v>
          </cell>
          <cell r="J5">
            <v>8</v>
          </cell>
          <cell r="K5">
            <v>9</v>
          </cell>
          <cell r="L5">
            <v>10</v>
          </cell>
          <cell r="M5">
            <v>11</v>
          </cell>
          <cell r="N5">
            <v>12</v>
          </cell>
        </row>
        <row r="7">
          <cell r="C7" t="str">
            <v>CLICK_RAPID</v>
          </cell>
          <cell r="D7">
            <v>4.51</v>
          </cell>
          <cell r="G7">
            <v>2</v>
          </cell>
          <cell r="H7">
            <v>10</v>
          </cell>
          <cell r="I7" t="str">
            <v>YALE 11330X 30 mm</v>
          </cell>
          <cell r="M7" t="str">
            <v>FORO DIAM.6 mm NELLA CAMICIA DEL CATENACCIO DIETRO AL CURSORE E RESINA NELLE IMPRONTA DELLE VITI</v>
          </cell>
        </row>
        <row r="8">
          <cell r="C8" t="str">
            <v>MODERNA</v>
          </cell>
          <cell r="D8">
            <v>4.51</v>
          </cell>
          <cell r="E8">
            <v>3.5</v>
          </cell>
          <cell r="F8">
            <v>4</v>
          </cell>
          <cell r="G8">
            <v>2</v>
          </cell>
          <cell r="H8">
            <v>25</v>
          </cell>
          <cell r="I8" t="str">
            <v>YALE 11330X 30 mm</v>
          </cell>
          <cell r="J8" t="str">
            <v>FORCHETTA INOX</v>
          </cell>
          <cell r="K8" t="str">
            <v>DOPPIA RONDELLA PIEGATA</v>
          </cell>
          <cell r="L8" t="str">
            <v>TESTA BOMBATA CON TORX E PERNO</v>
          </cell>
          <cell r="M8" t="str">
            <v>SOSTITUIRE LA VITE SUPERIORE</v>
          </cell>
          <cell r="N8" t="str">
            <v>SOSTITUIRE</v>
          </cell>
        </row>
        <row r="9">
          <cell r="C9" t="str">
            <v>MODERNA_PLUS</v>
          </cell>
          <cell r="D9">
            <v>4.51</v>
          </cell>
          <cell r="E9">
            <v>3.5</v>
          </cell>
          <cell r="F9">
            <v>4</v>
          </cell>
          <cell r="G9">
            <v>2</v>
          </cell>
          <cell r="H9">
            <v>25</v>
          </cell>
          <cell r="I9" t="str">
            <v>YALE 11330X 30 mm</v>
          </cell>
          <cell r="J9" t="str">
            <v>FORCHETTA INOX</v>
          </cell>
          <cell r="K9" t="str">
            <v>DOPPIA RONDELLA PIEGATA</v>
          </cell>
          <cell r="L9" t="str">
            <v>TESTA BOMBATA CON TORX E PERNO</v>
          </cell>
          <cell r="M9" t="str">
            <v>SOSTITUIRE LA VITE SUPERIORE</v>
          </cell>
          <cell r="N9" t="str">
            <v>SOSTITUIRE</v>
          </cell>
        </row>
        <row r="10">
          <cell r="C10" t="str">
            <v>MODERNACUT</v>
          </cell>
          <cell r="D10">
            <v>4.51</v>
          </cell>
          <cell r="E10">
            <v>3.5</v>
          </cell>
          <cell r="F10">
            <v>4</v>
          </cell>
          <cell r="G10">
            <v>2</v>
          </cell>
          <cell r="H10">
            <v>25</v>
          </cell>
          <cell r="I10" t="str">
            <v>YALE 11330X 30 mm</v>
          </cell>
          <cell r="J10" t="str">
            <v>FORCHETTA INOX</v>
          </cell>
          <cell r="K10" t="str">
            <v>DOPPIA RONDELLA PIEGATA</v>
          </cell>
          <cell r="L10" t="str">
            <v>TESTA BOMBATA CON TORX E PERNO</v>
          </cell>
          <cell r="M10" t="str">
            <v>SOSTITUIRE LA VITE SUPERIORE</v>
          </cell>
          <cell r="N10" t="str">
            <v>SOSTITUIRE</v>
          </cell>
        </row>
        <row r="11">
          <cell r="G11">
            <v>2</v>
          </cell>
          <cell r="H11">
            <v>0</v>
          </cell>
        </row>
        <row r="22">
          <cell r="D22">
            <v>0.4001326</v>
          </cell>
        </row>
        <row r="23">
          <cell r="D23">
            <v>0.08</v>
          </cell>
        </row>
        <row r="24">
          <cell r="D24">
            <v>261</v>
          </cell>
        </row>
        <row r="37">
          <cell r="D37">
            <v>18.5</v>
          </cell>
        </row>
      </sheetData>
      <sheetData sheetId="52"/>
      <sheetData sheetId="53"/>
      <sheetData sheetId="54"/>
      <sheetData sheetId="55"/>
      <sheetData sheetId="56"/>
      <sheetData sheetId="57"/>
      <sheetData sheetId="58">
        <row r="146">
          <cell r="CJ146">
            <v>3.9579740000000001</v>
          </cell>
          <cell r="CK146">
            <v>4.5217740000000006</v>
          </cell>
          <cell r="CL146">
            <v>5.0855740000000011</v>
          </cell>
          <cell r="CM146">
            <v>5.6493739999999999</v>
          </cell>
          <cell r="CN146">
            <v>6.2131740000000004</v>
          </cell>
          <cell r="CO146">
            <v>6.7769740000000009</v>
          </cell>
          <cell r="CP146">
            <v>7.8407739999999997</v>
          </cell>
          <cell r="CQ146">
            <v>8.4045740000000002</v>
          </cell>
          <cell r="CR146">
            <v>8.9683740000000007</v>
          </cell>
          <cell r="CS146">
            <v>9.5321739999999977</v>
          </cell>
          <cell r="CT146">
            <v>10.095973999999998</v>
          </cell>
          <cell r="CU146">
            <v>10.659773999999999</v>
          </cell>
          <cell r="CV146">
            <v>11.723573999999997</v>
          </cell>
          <cell r="CW146">
            <v>12.287373999999998</v>
          </cell>
          <cell r="CX146">
            <v>12.851173999999999</v>
          </cell>
          <cell r="CY146">
            <v>13.414973999999999</v>
          </cell>
          <cell r="CZ146">
            <v>13.978773999999998</v>
          </cell>
          <cell r="DA146">
            <v>14.542573999999997</v>
          </cell>
          <cell r="DB146">
            <v>15.606373999999997</v>
          </cell>
          <cell r="DC146">
            <v>16.170173999999999</v>
          </cell>
          <cell r="DD146">
            <v>16.733974</v>
          </cell>
          <cell r="DE146">
            <v>17.297774</v>
          </cell>
        </row>
        <row r="147">
          <cell r="CJ147">
            <v>6.5224740000000008</v>
          </cell>
          <cell r="CK147">
            <v>7.650074</v>
          </cell>
          <cell r="CL147">
            <v>8.7776740000000011</v>
          </cell>
          <cell r="CM147">
            <v>9.9052739999999986</v>
          </cell>
          <cell r="CN147">
            <v>11.032874</v>
          </cell>
          <cell r="CO147">
            <v>12.160473999999999</v>
          </cell>
          <cell r="CP147">
            <v>13.788073999999998</v>
          </cell>
          <cell r="CQ147">
            <v>14.915673999999999</v>
          </cell>
          <cell r="CR147">
            <v>16.043274</v>
          </cell>
          <cell r="CS147">
            <v>17.170873999999998</v>
          </cell>
          <cell r="CT147">
            <v>18.298473999999999</v>
          </cell>
          <cell r="CU147">
            <v>19.426074</v>
          </cell>
          <cell r="CV147">
            <v>21.053673999999997</v>
          </cell>
          <cell r="CW147">
            <v>22.181273999999998</v>
          </cell>
          <cell r="CX147">
            <v>23.308873999999999</v>
          </cell>
          <cell r="CY147">
            <v>24.436474</v>
          </cell>
          <cell r="CZ147">
            <v>25.564073999999998</v>
          </cell>
          <cell r="DA147">
            <v>26.691673999999995</v>
          </cell>
          <cell r="DB147">
            <v>28.319273999999997</v>
          </cell>
          <cell r="DC147">
            <v>29.446873999999998</v>
          </cell>
          <cell r="DD147">
            <v>30.574473999999999</v>
          </cell>
          <cell r="DE147">
            <v>31.702074</v>
          </cell>
        </row>
        <row r="148">
          <cell r="CJ148">
            <v>9.0869740000000014</v>
          </cell>
          <cell r="CK148">
            <v>10.778373999999999</v>
          </cell>
          <cell r="CL148">
            <v>12.469774000000001</v>
          </cell>
          <cell r="CM148">
            <v>14.161174000000001</v>
          </cell>
          <cell r="CN148">
            <v>15.852574000000001</v>
          </cell>
          <cell r="CO148">
            <v>17.543973999999999</v>
          </cell>
          <cell r="CP148">
            <v>19.735374</v>
          </cell>
          <cell r="CQ148">
            <v>21.426774000000002</v>
          </cell>
          <cell r="CR148">
            <v>23.118174</v>
          </cell>
          <cell r="CS148">
            <v>24.809574000000001</v>
          </cell>
          <cell r="CT148">
            <v>26.500974000000003</v>
          </cell>
          <cell r="CU148">
            <v>28.192374000000001</v>
          </cell>
          <cell r="CV148">
            <v>30.383774000000003</v>
          </cell>
          <cell r="CW148">
            <v>32.075174000000004</v>
          </cell>
          <cell r="CX148">
            <v>33.766574000000006</v>
          </cell>
          <cell r="CY148">
            <v>35.457974000000007</v>
          </cell>
          <cell r="CZ148">
            <v>37.149374000000009</v>
          </cell>
          <cell r="DA148">
            <v>38.940773999999998</v>
          </cell>
          <cell r="DB148">
            <v>41.132173999999999</v>
          </cell>
          <cell r="DC148">
            <v>42.823574000000001</v>
          </cell>
          <cell r="DD148">
            <v>44.514974000000009</v>
          </cell>
          <cell r="DE148">
            <v>46.206374000000011</v>
          </cell>
        </row>
        <row r="149">
          <cell r="CJ149">
            <v>11.651473999999999</v>
          </cell>
          <cell r="CK149">
            <v>13.906673999999999</v>
          </cell>
          <cell r="CL149">
            <v>16.161874000000001</v>
          </cell>
          <cell r="CM149">
            <v>18.417074</v>
          </cell>
          <cell r="CN149">
            <v>20.672274000000002</v>
          </cell>
          <cell r="CO149">
            <v>22.927474</v>
          </cell>
          <cell r="CP149">
            <v>25.682673999999999</v>
          </cell>
          <cell r="CQ149">
            <v>27.937874000000001</v>
          </cell>
          <cell r="CR149">
            <v>30.193073999999999</v>
          </cell>
          <cell r="CS149">
            <v>32.448273999999998</v>
          </cell>
          <cell r="CT149">
            <v>34.703474000000007</v>
          </cell>
          <cell r="CU149">
            <v>36.958674000000009</v>
          </cell>
          <cell r="CV149">
            <v>39.813873999999998</v>
          </cell>
          <cell r="CW149">
            <v>42.069074000000001</v>
          </cell>
          <cell r="CX149">
            <v>44.324274000000003</v>
          </cell>
          <cell r="CY149">
            <v>46.579474000000005</v>
          </cell>
          <cell r="CZ149">
            <v>48.834674</v>
          </cell>
          <cell r="DA149">
            <v>51.089873999999995</v>
          </cell>
          <cell r="DB149">
            <v>53.845073999999997</v>
          </cell>
          <cell r="DC149">
            <v>56.100273999999999</v>
          </cell>
          <cell r="DD149">
            <v>58.355474000000001</v>
          </cell>
          <cell r="DE149">
            <v>60.610674000000003</v>
          </cell>
        </row>
        <row r="150">
          <cell r="CJ150">
            <v>14.215973999999997</v>
          </cell>
          <cell r="CK150">
            <v>17.034973999999998</v>
          </cell>
          <cell r="CL150">
            <v>19.853974000000001</v>
          </cell>
          <cell r="CM150">
            <v>22.672974</v>
          </cell>
          <cell r="CN150">
            <v>25.491973999999999</v>
          </cell>
          <cell r="CO150">
            <v>28.310973999999998</v>
          </cell>
          <cell r="CP150">
            <v>31.629973999999997</v>
          </cell>
          <cell r="CQ150">
            <v>34.448974000000007</v>
          </cell>
          <cell r="CR150">
            <v>37.267974000000002</v>
          </cell>
          <cell r="CS150">
            <v>40.186973999999999</v>
          </cell>
          <cell r="CT150">
            <v>43.005974000000002</v>
          </cell>
          <cell r="CU150">
            <v>45.824973999999997</v>
          </cell>
          <cell r="CV150">
            <v>49.143974</v>
          </cell>
          <cell r="CW150">
            <v>51.962973999999996</v>
          </cell>
          <cell r="CX150">
            <v>54.781973999999998</v>
          </cell>
          <cell r="CY150">
            <v>57.600974000000001</v>
          </cell>
          <cell r="CZ150">
            <v>60.419973999999996</v>
          </cell>
          <cell r="DA150">
            <v>63.238973999999992</v>
          </cell>
          <cell r="DB150">
            <v>66.557974000000002</v>
          </cell>
          <cell r="DC150">
            <v>69.37697399999999</v>
          </cell>
          <cell r="DD150">
            <v>72.195973999999993</v>
          </cell>
          <cell r="DE150">
            <v>75.114974000000004</v>
          </cell>
        </row>
        <row r="151">
          <cell r="CJ151">
            <v>16.780474000000002</v>
          </cell>
          <cell r="CK151">
            <v>20.163274000000001</v>
          </cell>
          <cell r="CL151">
            <v>23.546074000000004</v>
          </cell>
          <cell r="CM151">
            <v>26.928874</v>
          </cell>
          <cell r="CN151">
            <v>30.311674000000004</v>
          </cell>
          <cell r="CO151">
            <v>33.694474000000007</v>
          </cell>
          <cell r="CP151">
            <v>37.57727400000001</v>
          </cell>
          <cell r="CQ151">
            <v>41.060074000000007</v>
          </cell>
          <cell r="CR151">
            <v>44.442874000000003</v>
          </cell>
          <cell r="CS151">
            <v>47.825674000000006</v>
          </cell>
          <cell r="CT151">
            <v>51.20847400000001</v>
          </cell>
          <cell r="CU151">
            <v>54.591274000000006</v>
          </cell>
          <cell r="CV151" t="str">
            <v/>
          </cell>
          <cell r="CW151" t="str">
            <v/>
          </cell>
          <cell r="CX151" t="str">
            <v/>
          </cell>
          <cell r="CY151" t="str">
            <v/>
          </cell>
          <cell r="CZ151" t="str">
            <v/>
          </cell>
          <cell r="DA151" t="str">
            <v/>
          </cell>
          <cell r="DB151" t="str">
            <v/>
          </cell>
          <cell r="DC151" t="str">
            <v/>
          </cell>
          <cell r="DD151" t="str">
            <v/>
          </cell>
          <cell r="DE151" t="str">
            <v/>
          </cell>
        </row>
        <row r="152">
          <cell r="CJ152">
            <v>19.344974000000001</v>
          </cell>
          <cell r="CK152">
            <v>23.291574000000001</v>
          </cell>
          <cell r="CL152">
            <v>27.238174000000001</v>
          </cell>
          <cell r="CM152">
            <v>31.184774000000001</v>
          </cell>
          <cell r="CN152">
            <v>35.131374000000008</v>
          </cell>
          <cell r="CO152" t="str">
            <v/>
          </cell>
          <cell r="CP152" t="str">
            <v/>
          </cell>
          <cell r="CQ152" t="str">
            <v/>
          </cell>
          <cell r="CR152" t="str">
            <v/>
          </cell>
          <cell r="CS152" t="str">
            <v/>
          </cell>
          <cell r="CT152" t="str">
            <v/>
          </cell>
          <cell r="CU152" t="str">
            <v/>
          </cell>
          <cell r="CV152" t="str">
            <v/>
          </cell>
          <cell r="CW152" t="str">
            <v/>
          </cell>
          <cell r="CX152" t="str">
            <v/>
          </cell>
          <cell r="CY152" t="str">
            <v/>
          </cell>
          <cell r="CZ152" t="str">
            <v/>
          </cell>
          <cell r="DA152" t="str">
            <v/>
          </cell>
          <cell r="DB152" t="str">
            <v/>
          </cell>
          <cell r="DC152" t="str">
            <v/>
          </cell>
          <cell r="DD152" t="str">
            <v/>
          </cell>
          <cell r="DE152" t="str">
            <v/>
          </cell>
        </row>
      </sheetData>
      <sheetData sheetId="59"/>
      <sheetData sheetId="60">
        <row r="73">
          <cell r="Y73">
            <v>0</v>
          </cell>
          <cell r="Z73">
            <v>28.1</v>
          </cell>
          <cell r="AA73">
            <v>105.1</v>
          </cell>
          <cell r="AB73">
            <v>115.1</v>
          </cell>
          <cell r="AC73">
            <v>125.1</v>
          </cell>
          <cell r="AD73">
            <v>135.1</v>
          </cell>
          <cell r="AE73">
            <v>145.1</v>
          </cell>
          <cell r="AF73">
            <v>155.1</v>
          </cell>
          <cell r="AG73">
            <v>165.1</v>
          </cell>
          <cell r="AH73">
            <v>175.1</v>
          </cell>
          <cell r="AI73">
            <v>185.1</v>
          </cell>
          <cell r="AJ73">
            <v>195.1</v>
          </cell>
          <cell r="AK73">
            <v>205.1</v>
          </cell>
          <cell r="AL73">
            <v>215.1</v>
          </cell>
          <cell r="AM73">
            <v>225.1</v>
          </cell>
          <cell r="AN73">
            <v>235.1</v>
          </cell>
          <cell r="AO73">
            <v>245.1</v>
          </cell>
          <cell r="AP73">
            <v>255.1</v>
          </cell>
          <cell r="AQ73">
            <v>265.10000000000002</v>
          </cell>
          <cell r="AR73">
            <v>275.10000000000002</v>
          </cell>
          <cell r="AS73">
            <v>285.10000000000002</v>
          </cell>
          <cell r="AT73">
            <v>295.10000000000002</v>
          </cell>
          <cell r="AU73">
            <v>305.10000000000002</v>
          </cell>
          <cell r="AV73">
            <v>9999.1</v>
          </cell>
          <cell r="AW73">
            <v>9999</v>
          </cell>
          <cell r="AX73">
            <v>9999</v>
          </cell>
        </row>
        <row r="76">
          <cell r="V76">
            <v>0</v>
          </cell>
        </row>
        <row r="77">
          <cell r="V77">
            <v>20</v>
          </cell>
        </row>
        <row r="78">
          <cell r="V78">
            <v>40</v>
          </cell>
        </row>
        <row r="79">
          <cell r="V79">
            <v>50</v>
          </cell>
        </row>
        <row r="80">
          <cell r="V80">
            <v>60</v>
          </cell>
        </row>
        <row r="81">
          <cell r="V81">
            <v>70</v>
          </cell>
        </row>
        <row r="82">
          <cell r="V82">
            <v>80</v>
          </cell>
        </row>
        <row r="83">
          <cell r="V83">
            <v>90</v>
          </cell>
        </row>
        <row r="84">
          <cell r="V84">
            <v>100</v>
          </cell>
        </row>
        <row r="85">
          <cell r="V85">
            <v>99999</v>
          </cell>
        </row>
        <row r="86">
          <cell r="V86">
            <v>99999</v>
          </cell>
        </row>
        <row r="133">
          <cell r="E133">
            <v>4.2439999999999998</v>
          </cell>
        </row>
        <row r="134">
          <cell r="E134">
            <v>1.97</v>
          </cell>
        </row>
        <row r="135">
          <cell r="E135">
            <v>2.851</v>
          </cell>
        </row>
        <row r="137">
          <cell r="E137">
            <v>0.72099999999999997</v>
          </cell>
          <cell r="F137">
            <v>0.46250000000000002</v>
          </cell>
        </row>
        <row r="140">
          <cell r="E140">
            <v>1.2290000000000001</v>
          </cell>
        </row>
        <row r="142">
          <cell r="E142">
            <v>0.60499999999999998</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5">
          <cell r="E5" t="str">
            <v>FORNITORI</v>
          </cell>
          <cell r="F5" t="str">
            <v>FOGLIO</v>
          </cell>
          <cell r="G5" t="str">
            <v>ORDINE INTERNO                                               (se 0 no se 1 si)</v>
          </cell>
          <cell r="H5" t="str">
            <v>gg effettivi di scadenza ordine</v>
          </cell>
          <cell r="I5" t="str">
            <v>gg teorici di riordine</v>
          </cell>
          <cell r="J5" t="str">
            <v>gg teorici di riordine prodotto mancante o fallato</v>
          </cell>
          <cell r="K5" t="str">
            <v>gg teorici di riordine accessorio mancante o fallato</v>
          </cell>
          <cell r="L5" t="str">
            <v>PASSA DA MAGAZZINIERE</v>
          </cell>
          <cell r="M5" t="str">
            <v>id_reg</v>
          </cell>
        </row>
        <row r="6">
          <cell r="E6" t="str">
            <v>PRODOTTO</v>
          </cell>
          <cell r="F6" t="str">
            <v>Ordini</v>
          </cell>
          <cell r="G6">
            <v>0</v>
          </cell>
          <cell r="H6">
            <v>63</v>
          </cell>
          <cell r="I6">
            <v>108</v>
          </cell>
          <cell r="J6">
            <v>108</v>
          </cell>
          <cell r="K6">
            <v>108</v>
          </cell>
        </row>
        <row r="7">
          <cell r="E7" t="str">
            <v>PRODOTTONS</v>
          </cell>
          <cell r="F7" t="str">
            <v>prod solatia</v>
          </cell>
          <cell r="G7">
            <v>1</v>
          </cell>
          <cell r="H7">
            <v>63</v>
          </cell>
          <cell r="I7">
            <v>108</v>
          </cell>
          <cell r="J7">
            <v>108</v>
          </cell>
          <cell r="K7">
            <v>108</v>
          </cell>
        </row>
        <row r="8">
          <cell r="H8">
            <v>63</v>
          </cell>
          <cell r="I8">
            <v>108</v>
          </cell>
          <cell r="J8">
            <v>108</v>
          </cell>
          <cell r="K8">
            <v>108</v>
          </cell>
        </row>
        <row r="9">
          <cell r="H9">
            <v>63</v>
          </cell>
          <cell r="I9">
            <v>108</v>
          </cell>
          <cell r="J9">
            <v>108</v>
          </cell>
          <cell r="K9">
            <v>108</v>
          </cell>
        </row>
        <row r="10">
          <cell r="H10">
            <v>63</v>
          </cell>
          <cell r="I10">
            <v>108</v>
          </cell>
          <cell r="J10">
            <v>108</v>
          </cell>
          <cell r="K10">
            <v>108</v>
          </cell>
        </row>
        <row r="11">
          <cell r="H11">
            <v>63</v>
          </cell>
          <cell r="I11">
            <v>108</v>
          </cell>
          <cell r="J11">
            <v>108</v>
          </cell>
          <cell r="K11">
            <v>108</v>
          </cell>
        </row>
        <row r="12">
          <cell r="H12">
            <v>63</v>
          </cell>
          <cell r="I12">
            <v>108</v>
          </cell>
          <cell r="J12">
            <v>108</v>
          </cell>
          <cell r="K12">
            <v>108</v>
          </cell>
        </row>
        <row r="13">
          <cell r="H13">
            <v>63</v>
          </cell>
          <cell r="I13">
            <v>108</v>
          </cell>
          <cell r="J13">
            <v>108</v>
          </cell>
          <cell r="K13">
            <v>108</v>
          </cell>
        </row>
        <row r="14">
          <cell r="H14">
            <v>63</v>
          </cell>
          <cell r="I14">
            <v>108</v>
          </cell>
          <cell r="J14">
            <v>108</v>
          </cell>
          <cell r="K14">
            <v>108</v>
          </cell>
        </row>
        <row r="15">
          <cell r="H15">
            <v>63</v>
          </cell>
          <cell r="I15">
            <v>108</v>
          </cell>
          <cell r="J15">
            <v>108</v>
          </cell>
          <cell r="K15">
            <v>108</v>
          </cell>
        </row>
        <row r="16">
          <cell r="H16">
            <v>63</v>
          </cell>
          <cell r="I16">
            <v>108</v>
          </cell>
          <cell r="J16">
            <v>108</v>
          </cell>
          <cell r="K16">
            <v>108</v>
          </cell>
        </row>
        <row r="17">
          <cell r="H17">
            <v>63</v>
          </cell>
          <cell r="I17">
            <v>108</v>
          </cell>
          <cell r="J17">
            <v>108</v>
          </cell>
          <cell r="K17">
            <v>108</v>
          </cell>
        </row>
        <row r="18">
          <cell r="H18">
            <v>63</v>
          </cell>
          <cell r="I18">
            <v>108</v>
          </cell>
          <cell r="J18">
            <v>108</v>
          </cell>
          <cell r="K18">
            <v>108</v>
          </cell>
        </row>
        <row r="19">
          <cell r="H19">
            <v>63</v>
          </cell>
          <cell r="I19">
            <v>108</v>
          </cell>
          <cell r="J19">
            <v>108</v>
          </cell>
          <cell r="K19">
            <v>108</v>
          </cell>
        </row>
        <row r="20">
          <cell r="H20">
            <v>63</v>
          </cell>
          <cell r="I20">
            <v>108</v>
          </cell>
          <cell r="J20">
            <v>108</v>
          </cell>
          <cell r="K20">
            <v>108</v>
          </cell>
        </row>
        <row r="21">
          <cell r="H21">
            <v>63</v>
          </cell>
          <cell r="I21">
            <v>108</v>
          </cell>
          <cell r="J21">
            <v>108</v>
          </cell>
          <cell r="K21">
            <v>108</v>
          </cell>
        </row>
        <row r="22">
          <cell r="H22">
            <v>63</v>
          </cell>
          <cell r="I22">
            <v>108</v>
          </cell>
          <cell r="J22">
            <v>108</v>
          </cell>
          <cell r="K22">
            <v>108</v>
          </cell>
        </row>
        <row r="23">
          <cell r="H23">
            <v>63</v>
          </cell>
          <cell r="I23">
            <v>108</v>
          </cell>
          <cell r="J23">
            <v>108</v>
          </cell>
          <cell r="K23">
            <v>108</v>
          </cell>
        </row>
        <row r="24">
          <cell r="H24">
            <v>63</v>
          </cell>
          <cell r="I24">
            <v>108</v>
          </cell>
          <cell r="J24">
            <v>108</v>
          </cell>
          <cell r="K24">
            <v>108</v>
          </cell>
        </row>
        <row r="25">
          <cell r="H25">
            <v>63</v>
          </cell>
          <cell r="I25">
            <v>108</v>
          </cell>
          <cell r="J25">
            <v>108</v>
          </cell>
          <cell r="K25">
            <v>108</v>
          </cell>
        </row>
        <row r="26">
          <cell r="H26">
            <v>63</v>
          </cell>
          <cell r="I26">
            <v>108</v>
          </cell>
          <cell r="J26">
            <v>108</v>
          </cell>
          <cell r="K26">
            <v>108</v>
          </cell>
        </row>
        <row r="27">
          <cell r="H27">
            <v>63</v>
          </cell>
          <cell r="I27">
            <v>108</v>
          </cell>
          <cell r="J27">
            <v>108</v>
          </cell>
          <cell r="K27">
            <v>108</v>
          </cell>
          <cell r="L27" t="e">
            <v>#REF!</v>
          </cell>
        </row>
        <row r="28">
          <cell r="H28">
            <v>63</v>
          </cell>
          <cell r="I28">
            <v>108</v>
          </cell>
          <cell r="J28">
            <v>108</v>
          </cell>
          <cell r="K28">
            <v>108</v>
          </cell>
        </row>
        <row r="29">
          <cell r="H29">
            <v>63</v>
          </cell>
          <cell r="I29">
            <v>108</v>
          </cell>
          <cell r="J29">
            <v>108</v>
          </cell>
          <cell r="K29">
            <v>108</v>
          </cell>
        </row>
        <row r="30">
          <cell r="H30">
            <v>63</v>
          </cell>
          <cell r="I30">
            <v>108</v>
          </cell>
          <cell r="J30">
            <v>108</v>
          </cell>
          <cell r="K30">
            <v>108</v>
          </cell>
        </row>
        <row r="31">
          <cell r="H31">
            <v>63</v>
          </cell>
          <cell r="I31">
            <v>108</v>
          </cell>
          <cell r="J31">
            <v>108</v>
          </cell>
          <cell r="K31">
            <v>108</v>
          </cell>
        </row>
        <row r="32">
          <cell r="H32">
            <v>63</v>
          </cell>
          <cell r="I32">
            <v>108</v>
          </cell>
          <cell r="J32">
            <v>108</v>
          </cell>
          <cell r="K32">
            <v>108</v>
          </cell>
        </row>
        <row r="33">
          <cell r="H33">
            <v>63</v>
          </cell>
          <cell r="I33">
            <v>108</v>
          </cell>
          <cell r="J33">
            <v>108</v>
          </cell>
          <cell r="K33">
            <v>108</v>
          </cell>
        </row>
        <row r="34">
          <cell r="H34">
            <v>63</v>
          </cell>
          <cell r="I34">
            <v>108</v>
          </cell>
          <cell r="J34">
            <v>108</v>
          </cell>
          <cell r="K34">
            <v>108</v>
          </cell>
        </row>
        <row r="35">
          <cell r="H35">
            <v>63</v>
          </cell>
          <cell r="I35">
            <v>108</v>
          </cell>
          <cell r="J35">
            <v>108</v>
          </cell>
          <cell r="K35">
            <v>108</v>
          </cell>
        </row>
        <row r="36">
          <cell r="H36">
            <v>63</v>
          </cell>
          <cell r="I36">
            <v>108</v>
          </cell>
          <cell r="J36">
            <v>108</v>
          </cell>
          <cell r="K36">
            <v>108</v>
          </cell>
        </row>
        <row r="37">
          <cell r="H37">
            <v>63</v>
          </cell>
          <cell r="I37">
            <v>108</v>
          </cell>
          <cell r="J37">
            <v>108</v>
          </cell>
          <cell r="K37">
            <v>108</v>
          </cell>
        </row>
        <row r="38">
          <cell r="H38">
            <v>63</v>
          </cell>
          <cell r="I38">
            <v>108</v>
          </cell>
          <cell r="J38">
            <v>108</v>
          </cell>
          <cell r="K38">
            <v>108</v>
          </cell>
        </row>
        <row r="39">
          <cell r="H39">
            <v>63</v>
          </cell>
          <cell r="I39">
            <v>108</v>
          </cell>
          <cell r="J39">
            <v>108</v>
          </cell>
          <cell r="K39">
            <v>108</v>
          </cell>
        </row>
        <row r="40">
          <cell r="H40">
            <v>63</v>
          </cell>
          <cell r="I40">
            <v>108</v>
          </cell>
          <cell r="J40">
            <v>108</v>
          </cell>
          <cell r="K40">
            <v>108</v>
          </cell>
        </row>
        <row r="41">
          <cell r="H41">
            <v>63</v>
          </cell>
          <cell r="I41">
            <v>108</v>
          </cell>
          <cell r="J41">
            <v>108</v>
          </cell>
          <cell r="K41">
            <v>108</v>
          </cell>
        </row>
        <row r="42">
          <cell r="H42">
            <v>63</v>
          </cell>
          <cell r="I42">
            <v>108</v>
          </cell>
          <cell r="J42">
            <v>108</v>
          </cell>
          <cell r="K42">
            <v>108</v>
          </cell>
        </row>
        <row r="43">
          <cell r="H43">
            <v>63</v>
          </cell>
          <cell r="I43">
            <v>108</v>
          </cell>
          <cell r="J43">
            <v>108</v>
          </cell>
          <cell r="K43">
            <v>108</v>
          </cell>
        </row>
        <row r="44">
          <cell r="H44">
            <v>63</v>
          </cell>
          <cell r="I44">
            <v>108</v>
          </cell>
          <cell r="J44">
            <v>108</v>
          </cell>
          <cell r="K44">
            <v>108</v>
          </cell>
        </row>
        <row r="45">
          <cell r="H45">
            <v>63</v>
          </cell>
          <cell r="I45">
            <v>108</v>
          </cell>
          <cell r="J45">
            <v>108</v>
          </cell>
          <cell r="K45">
            <v>108</v>
          </cell>
        </row>
        <row r="46">
          <cell r="H46">
            <v>63</v>
          </cell>
          <cell r="I46">
            <v>108</v>
          </cell>
          <cell r="J46">
            <v>108</v>
          </cell>
          <cell r="K46">
            <v>108</v>
          </cell>
        </row>
        <row r="47">
          <cell r="H47">
            <v>63</v>
          </cell>
          <cell r="I47">
            <v>108</v>
          </cell>
          <cell r="J47">
            <v>108</v>
          </cell>
          <cell r="K47">
            <v>108</v>
          </cell>
        </row>
        <row r="48">
          <cell r="H48">
            <v>63</v>
          </cell>
          <cell r="I48">
            <v>108</v>
          </cell>
          <cell r="J48">
            <v>108</v>
          </cell>
          <cell r="K48">
            <v>108</v>
          </cell>
        </row>
        <row r="49">
          <cell r="H49">
            <v>63</v>
          </cell>
          <cell r="I49">
            <v>108</v>
          </cell>
          <cell r="J49">
            <v>108</v>
          </cell>
          <cell r="K49">
            <v>108</v>
          </cell>
        </row>
        <row r="50">
          <cell r="H50">
            <v>63</v>
          </cell>
          <cell r="I50">
            <v>108</v>
          </cell>
          <cell r="J50">
            <v>108</v>
          </cell>
          <cell r="K50">
            <v>108</v>
          </cell>
        </row>
        <row r="51">
          <cell r="H51">
            <v>63</v>
          </cell>
          <cell r="I51">
            <v>108</v>
          </cell>
          <cell r="J51">
            <v>108</v>
          </cell>
          <cell r="K51">
            <v>108</v>
          </cell>
        </row>
        <row r="52">
          <cell r="H52">
            <v>63</v>
          </cell>
          <cell r="I52">
            <v>108</v>
          </cell>
          <cell r="J52">
            <v>108</v>
          </cell>
          <cell r="K52">
            <v>108</v>
          </cell>
        </row>
        <row r="53">
          <cell r="H53">
            <v>63</v>
          </cell>
          <cell r="I53">
            <v>108</v>
          </cell>
          <cell r="J53">
            <v>108</v>
          </cell>
          <cell r="K53">
            <v>108</v>
          </cell>
        </row>
        <row r="54">
          <cell r="H54">
            <v>63</v>
          </cell>
          <cell r="I54">
            <v>108</v>
          </cell>
          <cell r="J54">
            <v>108</v>
          </cell>
          <cell r="K54">
            <v>108</v>
          </cell>
        </row>
        <row r="55">
          <cell r="H55">
            <v>63</v>
          </cell>
          <cell r="I55">
            <v>108</v>
          </cell>
          <cell r="J55">
            <v>108</v>
          </cell>
          <cell r="K55">
            <v>108</v>
          </cell>
        </row>
        <row r="56">
          <cell r="H56">
            <v>63</v>
          </cell>
          <cell r="I56">
            <v>108</v>
          </cell>
          <cell r="J56">
            <v>108</v>
          </cell>
          <cell r="K56">
            <v>108</v>
          </cell>
        </row>
        <row r="57">
          <cell r="H57">
            <v>63</v>
          </cell>
          <cell r="I57">
            <v>108</v>
          </cell>
          <cell r="J57">
            <v>108</v>
          </cell>
          <cell r="K57">
            <v>108</v>
          </cell>
        </row>
        <row r="58">
          <cell r="H58">
            <v>63</v>
          </cell>
          <cell r="I58">
            <v>108</v>
          </cell>
          <cell r="J58">
            <v>108</v>
          </cell>
          <cell r="K58">
            <v>108</v>
          </cell>
        </row>
        <row r="59">
          <cell r="H59">
            <v>63</v>
          </cell>
          <cell r="I59">
            <v>108</v>
          </cell>
          <cell r="J59">
            <v>108</v>
          </cell>
          <cell r="K59">
            <v>108</v>
          </cell>
        </row>
        <row r="60">
          <cell r="H60">
            <v>63</v>
          </cell>
          <cell r="I60">
            <v>108</v>
          </cell>
          <cell r="J60">
            <v>108</v>
          </cell>
          <cell r="K60">
            <v>108</v>
          </cell>
        </row>
        <row r="61">
          <cell r="H61">
            <v>63</v>
          </cell>
          <cell r="I61">
            <v>108</v>
          </cell>
          <cell r="J61">
            <v>108</v>
          </cell>
          <cell r="K61">
            <v>108</v>
          </cell>
        </row>
        <row r="62">
          <cell r="H62">
            <v>63</v>
          </cell>
          <cell r="I62">
            <v>108</v>
          </cell>
          <cell r="J62">
            <v>108</v>
          </cell>
          <cell r="K62">
            <v>108</v>
          </cell>
        </row>
        <row r="63">
          <cell r="H63">
            <v>63</v>
          </cell>
          <cell r="I63">
            <v>108</v>
          </cell>
          <cell r="J63">
            <v>108</v>
          </cell>
          <cell r="K63">
            <v>108</v>
          </cell>
        </row>
        <row r="64">
          <cell r="H64">
            <v>63</v>
          </cell>
          <cell r="I64">
            <v>108</v>
          </cell>
          <cell r="J64">
            <v>108</v>
          </cell>
          <cell r="K64">
            <v>108</v>
          </cell>
        </row>
        <row r="65">
          <cell r="H65">
            <v>63</v>
          </cell>
          <cell r="I65">
            <v>108</v>
          </cell>
          <cell r="J65">
            <v>108</v>
          </cell>
          <cell r="K65">
            <v>108</v>
          </cell>
        </row>
        <row r="66">
          <cell r="E66" t="str">
            <v>VETRI</v>
          </cell>
          <cell r="H66">
            <v>74</v>
          </cell>
          <cell r="I66">
            <v>128</v>
          </cell>
          <cell r="J66">
            <v>128</v>
          </cell>
          <cell r="K66">
            <v>128</v>
          </cell>
        </row>
        <row r="67">
          <cell r="E67" t="str">
            <v>TUBOLARE</v>
          </cell>
          <cell r="F67" t="str">
            <v>Ordini</v>
          </cell>
          <cell r="G67">
            <v>0</v>
          </cell>
          <cell r="H67">
            <v>63</v>
          </cell>
          <cell r="I67">
            <v>108</v>
          </cell>
          <cell r="J67">
            <v>108</v>
          </cell>
          <cell r="K67">
            <v>108</v>
          </cell>
        </row>
        <row r="68">
          <cell r="E68" t="str">
            <v>LAMIERE</v>
          </cell>
          <cell r="H68">
            <v>74</v>
          </cell>
          <cell r="I68">
            <v>128</v>
          </cell>
          <cell r="J68">
            <v>128</v>
          </cell>
          <cell r="K68">
            <v>128</v>
          </cell>
        </row>
        <row r="69">
          <cell r="E69" t="str">
            <v>GRILLI</v>
          </cell>
          <cell r="H69">
            <v>63</v>
          </cell>
          <cell r="I69">
            <v>108</v>
          </cell>
          <cell r="J69">
            <v>108</v>
          </cell>
          <cell r="K69">
            <v>108</v>
          </cell>
        </row>
        <row r="70">
          <cell r="E70" t="str">
            <v>MANIGLIE</v>
          </cell>
          <cell r="H70">
            <v>63</v>
          </cell>
          <cell r="I70">
            <v>108</v>
          </cell>
          <cell r="J70">
            <v>108</v>
          </cell>
          <cell r="K70">
            <v>108</v>
          </cell>
        </row>
        <row r="71">
          <cell r="E71" t="str">
            <v>TELO</v>
          </cell>
          <cell r="H71">
            <v>63</v>
          </cell>
          <cell r="I71">
            <v>108</v>
          </cell>
          <cell r="J71">
            <v>108</v>
          </cell>
          <cell r="K71">
            <v>108</v>
          </cell>
        </row>
        <row r="72">
          <cell r="E72" t="str">
            <v>ACCESSORI</v>
          </cell>
          <cell r="F72" t="str">
            <v>Ordini</v>
          </cell>
          <cell r="G72">
            <v>0</v>
          </cell>
          <cell r="H72">
            <v>63</v>
          </cell>
          <cell r="I72">
            <v>108</v>
          </cell>
          <cell r="J72">
            <v>108</v>
          </cell>
          <cell r="K72">
            <v>108</v>
          </cell>
        </row>
        <row r="73">
          <cell r="E73" t="str">
            <v>TIPO LEGNO</v>
          </cell>
          <cell r="H73">
            <v>63</v>
          </cell>
          <cell r="I73">
            <v>108</v>
          </cell>
          <cell r="J73">
            <v>108</v>
          </cell>
          <cell r="K73">
            <v>108</v>
          </cell>
        </row>
        <row r="74">
          <cell r="E74" t="str">
            <v>CANOTTO</v>
          </cell>
          <cell r="H74">
            <v>63</v>
          </cell>
          <cell r="I74">
            <v>108</v>
          </cell>
          <cell r="J74">
            <v>108</v>
          </cell>
          <cell r="K74">
            <v>108</v>
          </cell>
        </row>
        <row r="75">
          <cell r="E75" t="str">
            <v>POLICARBONATO</v>
          </cell>
          <cell r="H75">
            <v>74</v>
          </cell>
          <cell r="I75">
            <v>128</v>
          </cell>
          <cell r="J75">
            <v>128</v>
          </cell>
          <cell r="K75">
            <v>128</v>
          </cell>
        </row>
        <row r="76">
          <cell r="E76" t="str">
            <v>INSTALLATORE EST</v>
          </cell>
          <cell r="H76">
            <v>63</v>
          </cell>
          <cell r="I76">
            <v>108</v>
          </cell>
          <cell r="J76">
            <v>108</v>
          </cell>
          <cell r="K76">
            <v>108</v>
          </cell>
        </row>
        <row r="77">
          <cell r="E77" t="str">
            <v>GUIDE</v>
          </cell>
          <cell r="H77">
            <v>63</v>
          </cell>
          <cell r="I77">
            <v>108</v>
          </cell>
          <cell r="J77">
            <v>108</v>
          </cell>
          <cell r="K77">
            <v>108</v>
          </cell>
        </row>
        <row r="78">
          <cell r="E78" t="str">
            <v>CONFEZIONE</v>
          </cell>
          <cell r="H78">
            <v>63</v>
          </cell>
          <cell r="I78">
            <v>108</v>
          </cell>
          <cell r="J78">
            <v>108</v>
          </cell>
          <cell r="K78">
            <v>108</v>
          </cell>
        </row>
        <row r="79">
          <cell r="E79" t="str">
            <v>AUTOMATISMI</v>
          </cell>
          <cell r="H79">
            <v>63</v>
          </cell>
          <cell r="I79">
            <v>108</v>
          </cell>
          <cell r="J79">
            <v>108</v>
          </cell>
          <cell r="K79">
            <v>108</v>
          </cell>
        </row>
        <row r="80">
          <cell r="E80" t="str">
            <v>CAMBIO TELO</v>
          </cell>
          <cell r="H80">
            <v>63</v>
          </cell>
          <cell r="I80">
            <v>108</v>
          </cell>
          <cell r="J80">
            <v>108</v>
          </cell>
          <cell r="K80">
            <v>108</v>
          </cell>
        </row>
        <row r="81">
          <cell r="E81" t="str">
            <v>STAFFE</v>
          </cell>
          <cell r="H81">
            <v>63</v>
          </cell>
          <cell r="I81">
            <v>108</v>
          </cell>
          <cell r="J81">
            <v>108</v>
          </cell>
          <cell r="K81">
            <v>108</v>
          </cell>
        </row>
        <row r="82">
          <cell r="E82" t="str">
            <v>GENERICO1</v>
          </cell>
          <cell r="F82" t="str">
            <v>Ordini</v>
          </cell>
          <cell r="G82">
            <v>0</v>
          </cell>
          <cell r="H82">
            <v>63</v>
          </cell>
          <cell r="I82">
            <v>108</v>
          </cell>
          <cell r="J82">
            <v>108</v>
          </cell>
          <cell r="K82">
            <v>108</v>
          </cell>
        </row>
        <row r="83">
          <cell r="E83" t="str">
            <v>GENERICO2</v>
          </cell>
          <cell r="F83" t="str">
            <v>Ordini</v>
          </cell>
          <cell r="G83">
            <v>0</v>
          </cell>
          <cell r="H83">
            <v>63</v>
          </cell>
          <cell r="I83">
            <v>108</v>
          </cell>
          <cell r="J83">
            <v>108</v>
          </cell>
          <cell r="K83">
            <v>108</v>
          </cell>
        </row>
        <row r="84">
          <cell r="E84" t="str">
            <v>BANCHINA MARMO</v>
          </cell>
          <cell r="H84">
            <v>89</v>
          </cell>
          <cell r="I84">
            <v>153</v>
          </cell>
          <cell r="J84">
            <v>153</v>
          </cell>
          <cell r="K84">
            <v>153</v>
          </cell>
        </row>
        <row r="85">
          <cell r="E85" t="str">
            <v>FERRAMENTA</v>
          </cell>
          <cell r="F85" t="str">
            <v>Ordini</v>
          </cell>
          <cell r="G85">
            <v>0</v>
          </cell>
          <cell r="H85">
            <v>63</v>
          </cell>
          <cell r="I85">
            <v>108</v>
          </cell>
          <cell r="J85">
            <v>108</v>
          </cell>
          <cell r="K85">
            <v>108</v>
          </cell>
        </row>
        <row r="86">
          <cell r="E86" t="str">
            <v>SILICONE</v>
          </cell>
          <cell r="H86">
            <v>63</v>
          </cell>
          <cell r="I86">
            <v>108</v>
          </cell>
          <cell r="J86">
            <v>108</v>
          </cell>
          <cell r="K86">
            <v>108</v>
          </cell>
        </row>
        <row r="87">
          <cell r="E87" t="str">
            <v>CARPENTERIA</v>
          </cell>
          <cell r="F87" t="str">
            <v>Ordini</v>
          </cell>
          <cell r="G87">
            <v>0</v>
          </cell>
          <cell r="H87">
            <v>63</v>
          </cell>
          <cell r="I87">
            <v>108</v>
          </cell>
          <cell r="J87">
            <v>108</v>
          </cell>
          <cell r="K87">
            <v>108</v>
          </cell>
        </row>
        <row r="88">
          <cell r="E88" t="str">
            <v>LATTONERIA</v>
          </cell>
          <cell r="F88" t="str">
            <v>Ordini</v>
          </cell>
          <cell r="G88">
            <v>0</v>
          </cell>
          <cell r="H88">
            <v>63</v>
          </cell>
          <cell r="I88">
            <v>108</v>
          </cell>
          <cell r="J88">
            <v>108</v>
          </cell>
          <cell r="K88">
            <v>108</v>
          </cell>
        </row>
        <row r="89">
          <cell r="E89" t="str">
            <v>PROFILI</v>
          </cell>
          <cell r="F89" t="str">
            <v>Ordini</v>
          </cell>
          <cell r="G89">
            <v>0</v>
          </cell>
          <cell r="H89">
            <v>63</v>
          </cell>
          <cell r="I89">
            <v>108</v>
          </cell>
          <cell r="J89">
            <v>108</v>
          </cell>
          <cell r="K89">
            <v>108</v>
          </cell>
        </row>
        <row r="90">
          <cell r="E90" t="str">
            <v>PANNELLO</v>
          </cell>
          <cell r="F90" t="str">
            <v>Ordini</v>
          </cell>
          <cell r="G90">
            <v>0</v>
          </cell>
          <cell r="H90">
            <v>63</v>
          </cell>
          <cell r="I90">
            <v>108</v>
          </cell>
          <cell r="J90">
            <v>108</v>
          </cell>
          <cell r="K90">
            <v>108</v>
          </cell>
        </row>
        <row r="91">
          <cell r="E91" t="str">
            <v>ALUTECNOLOGY</v>
          </cell>
          <cell r="F91" t="str">
            <v>ORDINE ALUTECNOLOGY</v>
          </cell>
          <cell r="G91">
            <v>0</v>
          </cell>
          <cell r="H91">
            <v>63</v>
          </cell>
          <cell r="I91">
            <v>108</v>
          </cell>
          <cell r="J91">
            <v>108</v>
          </cell>
          <cell r="K91">
            <v>108</v>
          </cell>
        </row>
        <row r="92">
          <cell r="E92" t="str">
            <v>BASICPLUSPAG1</v>
          </cell>
          <cell r="F92" t="str">
            <v>ORDINE BASIC+</v>
          </cell>
          <cell r="G92">
            <v>0</v>
          </cell>
          <cell r="H92">
            <v>63</v>
          </cell>
          <cell r="I92">
            <v>108</v>
          </cell>
          <cell r="J92">
            <v>108</v>
          </cell>
          <cell r="K92">
            <v>108</v>
          </cell>
        </row>
        <row r="93">
          <cell r="E93" t="str">
            <v>CLASSICPAG1</v>
          </cell>
          <cell r="F93" t="str">
            <v>ORDINE CLASSIC</v>
          </cell>
          <cell r="G93">
            <v>0</v>
          </cell>
          <cell r="H93">
            <v>63</v>
          </cell>
          <cell r="I93">
            <v>108</v>
          </cell>
          <cell r="J93">
            <v>108</v>
          </cell>
          <cell r="K93">
            <v>108</v>
          </cell>
        </row>
        <row r="94">
          <cell r="E94" t="str">
            <v>CLASSICPAG2</v>
          </cell>
          <cell r="F94" t="str">
            <v>ORDINE CLASSIC</v>
          </cell>
          <cell r="G94">
            <v>0</v>
          </cell>
          <cell r="H94">
            <v>63</v>
          </cell>
          <cell r="I94">
            <v>108</v>
          </cell>
          <cell r="J94">
            <v>108</v>
          </cell>
          <cell r="K94">
            <v>108</v>
          </cell>
        </row>
        <row r="95">
          <cell r="E95" t="str">
            <v>CLASSICPAG3</v>
          </cell>
          <cell r="F95" t="str">
            <v>ORDINE CLASSIC</v>
          </cell>
          <cell r="G95">
            <v>0</v>
          </cell>
          <cell r="H95">
            <v>63</v>
          </cell>
          <cell r="I95">
            <v>108</v>
          </cell>
          <cell r="J95">
            <v>108</v>
          </cell>
          <cell r="K95">
            <v>108</v>
          </cell>
        </row>
        <row r="96">
          <cell r="E96" t="str">
            <v>CLASSICPAG4</v>
          </cell>
          <cell r="F96" t="str">
            <v>ORDINE CLASSIC</v>
          </cell>
          <cell r="G96">
            <v>0</v>
          </cell>
          <cell r="H96">
            <v>63</v>
          </cell>
          <cell r="I96">
            <v>108</v>
          </cell>
          <cell r="J96">
            <v>108</v>
          </cell>
          <cell r="K96">
            <v>108</v>
          </cell>
        </row>
        <row r="97">
          <cell r="H97">
            <v>63</v>
          </cell>
          <cell r="I97">
            <v>108</v>
          </cell>
          <cell r="J97">
            <v>108</v>
          </cell>
          <cell r="K97">
            <v>108</v>
          </cell>
        </row>
        <row r="98">
          <cell r="H98">
            <v>63</v>
          </cell>
          <cell r="I98">
            <v>108</v>
          </cell>
          <cell r="J98">
            <v>108</v>
          </cell>
          <cell r="K98">
            <v>108</v>
          </cell>
        </row>
        <row r="99">
          <cell r="H99">
            <v>63</v>
          </cell>
          <cell r="I99">
            <v>108</v>
          </cell>
          <cell r="J99">
            <v>108</v>
          </cell>
          <cell r="K99">
            <v>108</v>
          </cell>
        </row>
        <row r="100">
          <cell r="H100">
            <v>63</v>
          </cell>
          <cell r="I100">
            <v>108</v>
          </cell>
          <cell r="J100">
            <v>108</v>
          </cell>
          <cell r="K100">
            <v>108</v>
          </cell>
        </row>
        <row r="101">
          <cell r="H101">
            <v>63</v>
          </cell>
          <cell r="I101">
            <v>108</v>
          </cell>
          <cell r="J101">
            <v>108</v>
          </cell>
          <cell r="K101">
            <v>108</v>
          </cell>
        </row>
        <row r="102">
          <cell r="H102">
            <v>63</v>
          </cell>
          <cell r="I102">
            <v>108</v>
          </cell>
          <cell r="J102">
            <v>108</v>
          </cell>
          <cell r="K102">
            <v>108</v>
          </cell>
        </row>
        <row r="103">
          <cell r="H103">
            <v>63</v>
          </cell>
          <cell r="I103">
            <v>108</v>
          </cell>
          <cell r="J103">
            <v>108</v>
          </cell>
          <cell r="K103">
            <v>108</v>
          </cell>
        </row>
        <row r="104">
          <cell r="H104">
            <v>63</v>
          </cell>
          <cell r="I104">
            <v>108</v>
          </cell>
          <cell r="J104">
            <v>108</v>
          </cell>
          <cell r="K104">
            <v>108</v>
          </cell>
        </row>
        <row r="105">
          <cell r="H105">
            <v>63</v>
          </cell>
          <cell r="I105">
            <v>108</v>
          </cell>
          <cell r="J105">
            <v>108</v>
          </cell>
          <cell r="K105">
            <v>108</v>
          </cell>
        </row>
        <row r="106">
          <cell r="H106">
            <v>63</v>
          </cell>
          <cell r="I106">
            <v>108</v>
          </cell>
          <cell r="J106">
            <v>108</v>
          </cell>
          <cell r="K106">
            <v>108</v>
          </cell>
        </row>
        <row r="107">
          <cell r="H107">
            <v>63</v>
          </cell>
          <cell r="I107">
            <v>108</v>
          </cell>
          <cell r="J107">
            <v>108</v>
          </cell>
          <cell r="K107">
            <v>108</v>
          </cell>
        </row>
        <row r="108">
          <cell r="H108">
            <v>63</v>
          </cell>
          <cell r="I108">
            <v>108</v>
          </cell>
          <cell r="J108">
            <v>108</v>
          </cell>
          <cell r="K108">
            <v>108</v>
          </cell>
        </row>
        <row r="109">
          <cell r="H109">
            <v>63</v>
          </cell>
          <cell r="I109">
            <v>108</v>
          </cell>
          <cell r="J109">
            <v>108</v>
          </cell>
          <cell r="K109">
            <v>108</v>
          </cell>
        </row>
        <row r="110">
          <cell r="H110">
            <v>63</v>
          </cell>
          <cell r="I110">
            <v>108</v>
          </cell>
          <cell r="J110">
            <v>108</v>
          </cell>
          <cell r="K110">
            <v>108</v>
          </cell>
        </row>
        <row r="111">
          <cell r="H111">
            <v>63</v>
          </cell>
          <cell r="I111">
            <v>108</v>
          </cell>
          <cell r="J111">
            <v>108</v>
          </cell>
          <cell r="K111">
            <v>108</v>
          </cell>
        </row>
        <row r="112">
          <cell r="H112">
            <v>63</v>
          </cell>
          <cell r="I112">
            <v>108</v>
          </cell>
          <cell r="J112">
            <v>108</v>
          </cell>
          <cell r="K112">
            <v>108</v>
          </cell>
        </row>
        <row r="113">
          <cell r="H113">
            <v>63</v>
          </cell>
          <cell r="I113">
            <v>108</v>
          </cell>
          <cell r="J113">
            <v>108</v>
          </cell>
          <cell r="K113">
            <v>108</v>
          </cell>
        </row>
        <row r="114">
          <cell r="H114">
            <v>63</v>
          </cell>
          <cell r="I114">
            <v>108</v>
          </cell>
          <cell r="J114">
            <v>108</v>
          </cell>
          <cell r="K114">
            <v>108</v>
          </cell>
        </row>
        <row r="115">
          <cell r="H115">
            <v>63</v>
          </cell>
          <cell r="I115">
            <v>108</v>
          </cell>
          <cell r="J115">
            <v>108</v>
          </cell>
          <cell r="K115">
            <v>108</v>
          </cell>
        </row>
        <row r="116">
          <cell r="H116">
            <v>63</v>
          </cell>
          <cell r="I116">
            <v>108</v>
          </cell>
          <cell r="J116">
            <v>108</v>
          </cell>
          <cell r="K116">
            <v>108</v>
          </cell>
        </row>
        <row r="117">
          <cell r="H117">
            <v>63</v>
          </cell>
          <cell r="I117">
            <v>108</v>
          </cell>
          <cell r="J117">
            <v>108</v>
          </cell>
          <cell r="K117">
            <v>108</v>
          </cell>
        </row>
        <row r="118">
          <cell r="H118">
            <v>63</v>
          </cell>
          <cell r="I118">
            <v>108</v>
          </cell>
          <cell r="J118">
            <v>108</v>
          </cell>
          <cell r="K118">
            <v>108</v>
          </cell>
        </row>
        <row r="119">
          <cell r="H119">
            <v>63</v>
          </cell>
          <cell r="I119">
            <v>108</v>
          </cell>
          <cell r="J119">
            <v>108</v>
          </cell>
          <cell r="K119">
            <v>108</v>
          </cell>
        </row>
        <row r="120">
          <cell r="H120">
            <v>63</v>
          </cell>
          <cell r="I120">
            <v>108</v>
          </cell>
          <cell r="J120">
            <v>108</v>
          </cell>
          <cell r="K120">
            <v>108</v>
          </cell>
        </row>
        <row r="121">
          <cell r="H121">
            <v>63</v>
          </cell>
          <cell r="I121">
            <v>108</v>
          </cell>
          <cell r="J121">
            <v>108</v>
          </cell>
          <cell r="K121">
            <v>108</v>
          </cell>
        </row>
        <row r="122">
          <cell r="H122">
            <v>63</v>
          </cell>
          <cell r="I122">
            <v>108</v>
          </cell>
          <cell r="J122">
            <v>108</v>
          </cell>
          <cell r="K122">
            <v>108</v>
          </cell>
        </row>
        <row r="123">
          <cell r="H123">
            <v>63</v>
          </cell>
          <cell r="I123">
            <v>108</v>
          </cell>
          <cell r="J123">
            <v>108</v>
          </cell>
          <cell r="K123">
            <v>108</v>
          </cell>
        </row>
        <row r="124">
          <cell r="H124">
            <v>63</v>
          </cell>
          <cell r="I124">
            <v>108</v>
          </cell>
          <cell r="J124">
            <v>108</v>
          </cell>
          <cell r="K124">
            <v>108</v>
          </cell>
        </row>
        <row r="125">
          <cell r="H125">
            <v>63</v>
          </cell>
          <cell r="I125">
            <v>108</v>
          </cell>
          <cell r="J125">
            <v>108</v>
          </cell>
          <cell r="K125">
            <v>108</v>
          </cell>
        </row>
        <row r="126">
          <cell r="H126">
            <v>63</v>
          </cell>
          <cell r="I126">
            <v>108</v>
          </cell>
          <cell r="J126">
            <v>108</v>
          </cell>
          <cell r="K126">
            <v>108</v>
          </cell>
        </row>
        <row r="127">
          <cell r="H127">
            <v>63</v>
          </cell>
          <cell r="I127">
            <v>108</v>
          </cell>
          <cell r="J127">
            <v>108</v>
          </cell>
          <cell r="K127">
            <v>108</v>
          </cell>
        </row>
        <row r="128">
          <cell r="H128">
            <v>63</v>
          </cell>
          <cell r="I128">
            <v>108</v>
          </cell>
          <cell r="J128">
            <v>108</v>
          </cell>
          <cell r="K128">
            <v>108</v>
          </cell>
        </row>
        <row r="129">
          <cell r="H129">
            <v>63</v>
          </cell>
          <cell r="I129">
            <v>108</v>
          </cell>
          <cell r="J129">
            <v>108</v>
          </cell>
          <cell r="K129">
            <v>108</v>
          </cell>
        </row>
        <row r="130">
          <cell r="H130">
            <v>63</v>
          </cell>
          <cell r="I130">
            <v>108</v>
          </cell>
          <cell r="J130">
            <v>108</v>
          </cell>
          <cell r="K130">
            <v>108</v>
          </cell>
        </row>
        <row r="131">
          <cell r="H131">
            <v>63</v>
          </cell>
          <cell r="I131">
            <v>108</v>
          </cell>
          <cell r="J131">
            <v>108</v>
          </cell>
          <cell r="K131">
            <v>108</v>
          </cell>
        </row>
        <row r="132">
          <cell r="H132">
            <v>63</v>
          </cell>
          <cell r="I132">
            <v>108</v>
          </cell>
          <cell r="J132">
            <v>108</v>
          </cell>
          <cell r="K132">
            <v>108</v>
          </cell>
        </row>
        <row r="133">
          <cell r="H133">
            <v>63</v>
          </cell>
          <cell r="I133">
            <v>108</v>
          </cell>
          <cell r="J133">
            <v>108</v>
          </cell>
          <cell r="K133">
            <v>108</v>
          </cell>
        </row>
        <row r="134">
          <cell r="H134">
            <v>63</v>
          </cell>
          <cell r="I134">
            <v>108</v>
          </cell>
          <cell r="J134">
            <v>108</v>
          </cell>
          <cell r="K134">
            <v>108</v>
          </cell>
        </row>
        <row r="135">
          <cell r="H135">
            <v>63</v>
          </cell>
          <cell r="I135">
            <v>108</v>
          </cell>
          <cell r="J135">
            <v>108</v>
          </cell>
          <cell r="K135">
            <v>108</v>
          </cell>
        </row>
        <row r="136">
          <cell r="H136">
            <v>63</v>
          </cell>
          <cell r="I136">
            <v>108</v>
          </cell>
          <cell r="J136">
            <v>108</v>
          </cell>
          <cell r="K136">
            <v>108</v>
          </cell>
        </row>
        <row r="137">
          <cell r="H137">
            <v>63</v>
          </cell>
          <cell r="I137">
            <v>108</v>
          </cell>
          <cell r="J137">
            <v>108</v>
          </cell>
          <cell r="K137">
            <v>108</v>
          </cell>
        </row>
        <row r="138">
          <cell r="H138">
            <v>63</v>
          </cell>
          <cell r="I138">
            <v>108</v>
          </cell>
          <cell r="J138">
            <v>108</v>
          </cell>
          <cell r="K138">
            <v>108</v>
          </cell>
        </row>
        <row r="139">
          <cell r="H139">
            <v>63</v>
          </cell>
          <cell r="I139">
            <v>108</v>
          </cell>
          <cell r="J139">
            <v>108</v>
          </cell>
          <cell r="K139">
            <v>108</v>
          </cell>
        </row>
        <row r="140">
          <cell r="H140">
            <v>63</v>
          </cell>
          <cell r="I140">
            <v>108</v>
          </cell>
          <cell r="J140">
            <v>108</v>
          </cell>
          <cell r="K140">
            <v>108</v>
          </cell>
        </row>
        <row r="141">
          <cell r="H141">
            <v>63</v>
          </cell>
          <cell r="I141">
            <v>108</v>
          </cell>
          <cell r="J141">
            <v>108</v>
          </cell>
          <cell r="K141">
            <v>108</v>
          </cell>
        </row>
        <row r="142">
          <cell r="H142">
            <v>63</v>
          </cell>
          <cell r="I142">
            <v>108</v>
          </cell>
          <cell r="J142">
            <v>108</v>
          </cell>
          <cell r="K142">
            <v>108</v>
          </cell>
        </row>
        <row r="143">
          <cell r="H143">
            <v>63</v>
          </cell>
          <cell r="I143">
            <v>108</v>
          </cell>
          <cell r="J143">
            <v>108</v>
          </cell>
          <cell r="K143">
            <v>108</v>
          </cell>
        </row>
        <row r="144">
          <cell r="H144">
            <v>63</v>
          </cell>
          <cell r="I144">
            <v>108</v>
          </cell>
          <cell r="J144">
            <v>108</v>
          </cell>
          <cell r="K144">
            <v>108</v>
          </cell>
        </row>
        <row r="145">
          <cell r="H145">
            <v>63</v>
          </cell>
          <cell r="I145">
            <v>108</v>
          </cell>
          <cell r="J145">
            <v>108</v>
          </cell>
          <cell r="K145">
            <v>108</v>
          </cell>
        </row>
        <row r="146">
          <cell r="H146">
            <v>63</v>
          </cell>
          <cell r="I146">
            <v>108</v>
          </cell>
          <cell r="J146">
            <v>108</v>
          </cell>
          <cell r="K146">
            <v>108</v>
          </cell>
        </row>
        <row r="147">
          <cell r="H147">
            <v>63</v>
          </cell>
          <cell r="I147">
            <v>108</v>
          </cell>
          <cell r="J147">
            <v>108</v>
          </cell>
          <cell r="K147">
            <v>108</v>
          </cell>
        </row>
        <row r="148">
          <cell r="H148">
            <v>63</v>
          </cell>
          <cell r="I148">
            <v>108</v>
          </cell>
          <cell r="J148">
            <v>108</v>
          </cell>
          <cell r="K148">
            <v>108</v>
          </cell>
        </row>
        <row r="149">
          <cell r="H149">
            <v>63</v>
          </cell>
          <cell r="I149">
            <v>108</v>
          </cell>
          <cell r="J149">
            <v>108</v>
          </cell>
          <cell r="K149">
            <v>108</v>
          </cell>
        </row>
        <row r="150">
          <cell r="H150">
            <v>63</v>
          </cell>
          <cell r="I150">
            <v>108</v>
          </cell>
          <cell r="J150">
            <v>108</v>
          </cell>
          <cell r="K150">
            <v>108</v>
          </cell>
        </row>
        <row r="151">
          <cell r="H151">
            <v>63</v>
          </cell>
          <cell r="I151">
            <v>108</v>
          </cell>
          <cell r="J151">
            <v>108</v>
          </cell>
          <cell r="K151">
            <v>108</v>
          </cell>
        </row>
        <row r="152">
          <cell r="H152">
            <v>63</v>
          </cell>
          <cell r="I152">
            <v>108</v>
          </cell>
          <cell r="J152">
            <v>108</v>
          </cell>
          <cell r="K152">
            <v>108</v>
          </cell>
        </row>
        <row r="153">
          <cell r="H153">
            <v>63</v>
          </cell>
          <cell r="I153">
            <v>108</v>
          </cell>
          <cell r="J153">
            <v>108</v>
          </cell>
          <cell r="K153">
            <v>108</v>
          </cell>
        </row>
        <row r="154">
          <cell r="H154">
            <v>63</v>
          </cell>
          <cell r="I154">
            <v>108</v>
          </cell>
          <cell r="J154">
            <v>108</v>
          </cell>
          <cell r="K154">
            <v>108</v>
          </cell>
        </row>
        <row r="155">
          <cell r="H155">
            <v>63</v>
          </cell>
          <cell r="I155">
            <v>108</v>
          </cell>
          <cell r="J155">
            <v>108</v>
          </cell>
          <cell r="K155">
            <v>108</v>
          </cell>
        </row>
        <row r="156">
          <cell r="H156">
            <v>63</v>
          </cell>
          <cell r="I156">
            <v>108</v>
          </cell>
          <cell r="J156">
            <v>108</v>
          </cell>
          <cell r="K156">
            <v>108</v>
          </cell>
        </row>
        <row r="157">
          <cell r="H157">
            <v>63</v>
          </cell>
          <cell r="I157">
            <v>108</v>
          </cell>
          <cell r="J157">
            <v>108</v>
          </cell>
          <cell r="K157">
            <v>108</v>
          </cell>
        </row>
        <row r="158">
          <cell r="H158">
            <v>63</v>
          </cell>
          <cell r="I158">
            <v>108</v>
          </cell>
          <cell r="J158">
            <v>108</v>
          </cell>
          <cell r="K158">
            <v>108</v>
          </cell>
        </row>
        <row r="159">
          <cell r="H159">
            <v>63</v>
          </cell>
          <cell r="I159">
            <v>108</v>
          </cell>
          <cell r="J159">
            <v>108</v>
          </cell>
          <cell r="K159">
            <v>108</v>
          </cell>
        </row>
        <row r="160">
          <cell r="H160">
            <v>63</v>
          </cell>
          <cell r="I160">
            <v>108</v>
          </cell>
          <cell r="J160">
            <v>108</v>
          </cell>
          <cell r="K160">
            <v>108</v>
          </cell>
        </row>
        <row r="161">
          <cell r="H161">
            <v>63</v>
          </cell>
          <cell r="I161">
            <v>108</v>
          </cell>
          <cell r="J161">
            <v>108</v>
          </cell>
          <cell r="K161">
            <v>108</v>
          </cell>
        </row>
        <row r="162">
          <cell r="H162">
            <v>63</v>
          </cell>
          <cell r="I162">
            <v>108</v>
          </cell>
          <cell r="J162">
            <v>108</v>
          </cell>
          <cell r="K162">
            <v>108</v>
          </cell>
        </row>
        <row r="163">
          <cell r="H163">
            <v>63</v>
          </cell>
          <cell r="I163">
            <v>108</v>
          </cell>
          <cell r="J163">
            <v>108</v>
          </cell>
          <cell r="K163">
            <v>108</v>
          </cell>
        </row>
        <row r="164">
          <cell r="H164">
            <v>63</v>
          </cell>
          <cell r="I164">
            <v>108</v>
          </cell>
          <cell r="J164">
            <v>108</v>
          </cell>
          <cell r="K164">
            <v>108</v>
          </cell>
        </row>
        <row r="165">
          <cell r="H165">
            <v>63</v>
          </cell>
          <cell r="I165">
            <v>108</v>
          </cell>
          <cell r="J165">
            <v>108</v>
          </cell>
          <cell r="K165">
            <v>108</v>
          </cell>
        </row>
        <row r="166">
          <cell r="H166">
            <v>63</v>
          </cell>
          <cell r="I166">
            <v>108</v>
          </cell>
          <cell r="J166">
            <v>108</v>
          </cell>
          <cell r="K166">
            <v>108</v>
          </cell>
        </row>
        <row r="167">
          <cell r="H167">
            <v>63</v>
          </cell>
          <cell r="I167">
            <v>108</v>
          </cell>
          <cell r="J167">
            <v>108</v>
          </cell>
          <cell r="K167">
            <v>108</v>
          </cell>
        </row>
        <row r="168">
          <cell r="H168">
            <v>63</v>
          </cell>
          <cell r="I168">
            <v>108</v>
          </cell>
          <cell r="J168">
            <v>108</v>
          </cell>
          <cell r="K168">
            <v>108</v>
          </cell>
        </row>
        <row r="169">
          <cell r="H169">
            <v>63</v>
          </cell>
          <cell r="I169">
            <v>108</v>
          </cell>
          <cell r="J169">
            <v>108</v>
          </cell>
          <cell r="K169">
            <v>108</v>
          </cell>
        </row>
        <row r="170">
          <cell r="H170">
            <v>63</v>
          </cell>
          <cell r="I170">
            <v>108</v>
          </cell>
          <cell r="J170">
            <v>108</v>
          </cell>
          <cell r="K170">
            <v>108</v>
          </cell>
        </row>
        <row r="171">
          <cell r="H171">
            <v>63</v>
          </cell>
          <cell r="I171">
            <v>108</v>
          </cell>
          <cell r="J171">
            <v>108</v>
          </cell>
          <cell r="K171">
            <v>108</v>
          </cell>
        </row>
        <row r="172">
          <cell r="H172">
            <v>63</v>
          </cell>
          <cell r="I172">
            <v>108</v>
          </cell>
          <cell r="J172">
            <v>108</v>
          </cell>
          <cell r="K172">
            <v>108</v>
          </cell>
        </row>
        <row r="173">
          <cell r="H173">
            <v>63</v>
          </cell>
          <cell r="I173">
            <v>108</v>
          </cell>
          <cell r="J173">
            <v>108</v>
          </cell>
          <cell r="K173">
            <v>108</v>
          </cell>
        </row>
        <row r="174">
          <cell r="H174">
            <v>63</v>
          </cell>
          <cell r="I174">
            <v>108</v>
          </cell>
          <cell r="J174">
            <v>108</v>
          </cell>
          <cell r="K174">
            <v>108</v>
          </cell>
        </row>
        <row r="175">
          <cell r="H175">
            <v>63</v>
          </cell>
          <cell r="I175">
            <v>108</v>
          </cell>
          <cell r="J175">
            <v>108</v>
          </cell>
          <cell r="K175">
            <v>108</v>
          </cell>
        </row>
        <row r="176">
          <cell r="H176">
            <v>63</v>
          </cell>
          <cell r="I176">
            <v>108</v>
          </cell>
          <cell r="J176">
            <v>108</v>
          </cell>
          <cell r="K176">
            <v>108</v>
          </cell>
        </row>
        <row r="177">
          <cell r="H177">
            <v>63</v>
          </cell>
          <cell r="I177">
            <v>108</v>
          </cell>
          <cell r="J177">
            <v>108</v>
          </cell>
          <cell r="K177">
            <v>108</v>
          </cell>
        </row>
        <row r="178">
          <cell r="H178">
            <v>63</v>
          </cell>
          <cell r="I178">
            <v>108</v>
          </cell>
          <cell r="J178">
            <v>108</v>
          </cell>
          <cell r="K178">
            <v>108</v>
          </cell>
        </row>
        <row r="179">
          <cell r="H179">
            <v>63</v>
          </cell>
          <cell r="I179">
            <v>108</v>
          </cell>
          <cell r="J179">
            <v>108</v>
          </cell>
          <cell r="K179">
            <v>108</v>
          </cell>
        </row>
        <row r="180">
          <cell r="H180">
            <v>63</v>
          </cell>
          <cell r="I180">
            <v>108</v>
          </cell>
          <cell r="J180">
            <v>108</v>
          </cell>
          <cell r="K180">
            <v>108</v>
          </cell>
        </row>
        <row r="181">
          <cell r="H181">
            <v>63</v>
          </cell>
          <cell r="I181">
            <v>108</v>
          </cell>
          <cell r="J181">
            <v>108</v>
          </cell>
          <cell r="K181">
            <v>108</v>
          </cell>
        </row>
        <row r="182">
          <cell r="H182">
            <v>63</v>
          </cell>
          <cell r="I182">
            <v>108</v>
          </cell>
          <cell r="J182">
            <v>108</v>
          </cell>
          <cell r="K182">
            <v>108</v>
          </cell>
        </row>
        <row r="183">
          <cell r="H183">
            <v>63</v>
          </cell>
          <cell r="I183">
            <v>108</v>
          </cell>
          <cell r="J183">
            <v>108</v>
          </cell>
          <cell r="K183">
            <v>108</v>
          </cell>
        </row>
        <row r="184">
          <cell r="H184">
            <v>63</v>
          </cell>
          <cell r="I184">
            <v>108</v>
          </cell>
          <cell r="J184">
            <v>108</v>
          </cell>
          <cell r="K184">
            <v>108</v>
          </cell>
        </row>
        <row r="185">
          <cell r="H185">
            <v>63</v>
          </cell>
          <cell r="I185">
            <v>108</v>
          </cell>
          <cell r="J185">
            <v>108</v>
          </cell>
          <cell r="K185">
            <v>108</v>
          </cell>
        </row>
        <row r="186">
          <cell r="H186">
            <v>63</v>
          </cell>
          <cell r="I186">
            <v>108</v>
          </cell>
          <cell r="J186">
            <v>108</v>
          </cell>
          <cell r="K186">
            <v>108</v>
          </cell>
        </row>
        <row r="187">
          <cell r="H187">
            <v>63</v>
          </cell>
          <cell r="I187">
            <v>108</v>
          </cell>
          <cell r="J187">
            <v>108</v>
          </cell>
          <cell r="K187">
            <v>108</v>
          </cell>
        </row>
        <row r="188">
          <cell r="H188">
            <v>63</v>
          </cell>
          <cell r="I188">
            <v>108</v>
          </cell>
          <cell r="J188">
            <v>108</v>
          </cell>
          <cell r="K188">
            <v>108</v>
          </cell>
        </row>
        <row r="189">
          <cell r="H189">
            <v>63</v>
          </cell>
          <cell r="I189">
            <v>108</v>
          </cell>
          <cell r="J189">
            <v>108</v>
          </cell>
          <cell r="K189">
            <v>108</v>
          </cell>
        </row>
        <row r="190">
          <cell r="H190">
            <v>63</v>
          </cell>
          <cell r="I190">
            <v>108</v>
          </cell>
          <cell r="J190">
            <v>108</v>
          </cell>
          <cell r="K190">
            <v>108</v>
          </cell>
        </row>
        <row r="191">
          <cell r="H191">
            <v>63</v>
          </cell>
          <cell r="I191">
            <v>108</v>
          </cell>
          <cell r="J191">
            <v>108</v>
          </cell>
          <cell r="K191">
            <v>108</v>
          </cell>
        </row>
        <row r="192">
          <cell r="H192">
            <v>63</v>
          </cell>
          <cell r="I192">
            <v>108</v>
          </cell>
          <cell r="J192">
            <v>108</v>
          </cell>
          <cell r="K192">
            <v>108</v>
          </cell>
        </row>
        <row r="193">
          <cell r="H193">
            <v>63</v>
          </cell>
          <cell r="I193">
            <v>108</v>
          </cell>
          <cell r="J193">
            <v>108</v>
          </cell>
          <cell r="K193">
            <v>108</v>
          </cell>
        </row>
        <row r="194">
          <cell r="H194">
            <v>63</v>
          </cell>
          <cell r="I194">
            <v>108</v>
          </cell>
          <cell r="J194">
            <v>108</v>
          </cell>
          <cell r="K194">
            <v>108</v>
          </cell>
        </row>
        <row r="195">
          <cell r="H195">
            <v>63</v>
          </cell>
          <cell r="I195">
            <v>108</v>
          </cell>
          <cell r="J195">
            <v>108</v>
          </cell>
          <cell r="K195">
            <v>108</v>
          </cell>
        </row>
        <row r="196">
          <cell r="H196">
            <v>63</v>
          </cell>
          <cell r="I196">
            <v>108</v>
          </cell>
          <cell r="J196">
            <v>108</v>
          </cell>
          <cell r="K196">
            <v>108</v>
          </cell>
        </row>
        <row r="197">
          <cell r="H197">
            <v>63</v>
          </cell>
          <cell r="I197">
            <v>108</v>
          </cell>
          <cell r="J197">
            <v>108</v>
          </cell>
          <cell r="K197">
            <v>108</v>
          </cell>
        </row>
        <row r="198">
          <cell r="H198">
            <v>63</v>
          </cell>
          <cell r="I198">
            <v>108</v>
          </cell>
          <cell r="J198">
            <v>108</v>
          </cell>
          <cell r="K198">
            <v>108</v>
          </cell>
        </row>
        <row r="199">
          <cell r="H199">
            <v>63</v>
          </cell>
          <cell r="I199">
            <v>108</v>
          </cell>
          <cell r="J199">
            <v>108</v>
          </cell>
          <cell r="K199">
            <v>108</v>
          </cell>
        </row>
        <row r="200">
          <cell r="H200">
            <v>63</v>
          </cell>
          <cell r="I200">
            <v>108</v>
          </cell>
          <cell r="J200">
            <v>108</v>
          </cell>
          <cell r="K200">
            <v>108</v>
          </cell>
        </row>
        <row r="201">
          <cell r="H201">
            <v>63</v>
          </cell>
          <cell r="I201">
            <v>108</v>
          </cell>
          <cell r="J201">
            <v>108</v>
          </cell>
          <cell r="K201">
            <v>108</v>
          </cell>
        </row>
        <row r="202">
          <cell r="H202">
            <v>63</v>
          </cell>
          <cell r="I202">
            <v>108</v>
          </cell>
          <cell r="J202">
            <v>108</v>
          </cell>
          <cell r="K202">
            <v>108</v>
          </cell>
        </row>
        <row r="203">
          <cell r="H203">
            <v>63</v>
          </cell>
          <cell r="I203">
            <v>108</v>
          </cell>
          <cell r="J203">
            <v>108</v>
          </cell>
          <cell r="K203">
            <v>108</v>
          </cell>
        </row>
        <row r="204">
          <cell r="H204">
            <v>63</v>
          </cell>
          <cell r="I204">
            <v>108</v>
          </cell>
          <cell r="J204">
            <v>108</v>
          </cell>
          <cell r="K204">
            <v>108</v>
          </cell>
        </row>
        <row r="205">
          <cell r="H205">
            <v>63</v>
          </cell>
          <cell r="I205">
            <v>108</v>
          </cell>
          <cell r="J205">
            <v>108</v>
          </cell>
          <cell r="K205">
            <v>108</v>
          </cell>
        </row>
      </sheetData>
      <sheetData sheetId="86"/>
      <sheetData sheetId="87"/>
      <sheetData sheetId="88"/>
      <sheetData sheetId="89"/>
      <sheetData sheetId="90"/>
      <sheetData sheetId="91"/>
      <sheetData sheetId="92"/>
      <sheetData sheetId="93"/>
      <sheetData sheetId="94"/>
      <sheetData sheetId="95"/>
      <sheetData sheetId="9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oli"/>
      <sheetName val="MODIFICHE AL PROSSIMO LISTINO"/>
      <sheetName val="CONDIZIONI"/>
      <sheetName val="RILIEVO E PROFILI AI 3 LATI"/>
      <sheetName val="tecnico"/>
      <sheetName val="certificati"/>
      <sheetName val="LISTINO PREZZI INSTALLAZIONE ES"/>
      <sheetName val="prev de"/>
      <sheetName val="conf de"/>
      <sheetName val="prev en"/>
      <sheetName val="conf en"/>
      <sheetName val="prev es"/>
      <sheetName val="conf es"/>
      <sheetName val="prev fr"/>
      <sheetName val="conf fr"/>
      <sheetName val="preventivo a venditore"/>
      <sheetName val="conferme d' ordine a venditore"/>
      <sheetName val="rivenditori"/>
      <sheetName val="IMMISSIONE DATI"/>
      <sheetName val="FULL_G"/>
      <sheetName val="prev vert"/>
      <sheetName val="Preventivo CLIENTE"/>
      <sheetName val="PREVENTIVO RICH WEB S INTALL"/>
      <sheetName val="CONTRATTO"/>
      <sheetName val="prod CLICK_RAPID"/>
      <sheetName val="PROD CLOSE"/>
      <sheetName val="prod modi "/>
      <sheetName val="MODI PROVA LIST"/>
      <sheetName val="DATI"/>
      <sheetName val="prod modu"/>
      <sheetName val="PROD MODERNA"/>
      <sheetName val="DICHIARAZIONE DI INSTALLAZIONE"/>
      <sheetName val="pulsanti E convalida dati"/>
      <sheetName val="COLORI"/>
      <sheetName val="imballi"/>
      <sheetName val="TRASPORTI"/>
      <sheetName val="REVERSE PROFILI"/>
      <sheetName val="REVERSE TABELLA"/>
      <sheetName val="MATERIALI"/>
      <sheetName val="profili ALU "/>
      <sheetName val="ProfiliINOX"/>
      <sheetName val="ROMPITRATTO INOX"/>
      <sheetName val="Foglio2"/>
      <sheetName val="ORD CTEL FULLG"/>
      <sheetName val="LAVORAZIONI"/>
      <sheetName val="CLEAR F"/>
      <sheetName val="CLICK RAPID"/>
      <sheetName val="CLOSE"/>
      <sheetName val="GATE"/>
      <sheetName val="MODERNA"/>
      <sheetName val="MODERNACUT"/>
      <sheetName val="MODERNA_PLUS"/>
      <sheetName val="FULL_W"/>
      <sheetName val="FULL_GIC"/>
      <sheetName val="FULL_GIF"/>
      <sheetName val="FULL_D"/>
      <sheetName val="MODi"/>
      <sheetName val="MODI_Minimal"/>
      <sheetName val="MODU"/>
      <sheetName val="MODU_minimal"/>
      <sheetName val="AC25"/>
      <sheetName val="REVERSE EGINEERING  LISTINI"/>
      <sheetName val="BT30"/>
      <sheetName val="Tab Ordini"/>
      <sheetName val="ord click rapid"/>
      <sheetName val="STAMPA RICHIESTA PREVENTIVO"/>
      <sheetName val="COPERTINA ORDINI AUTOMAT"/>
      <sheetName val="DDTprodotto"/>
      <sheetName val="MATRICE"/>
      <sheetName val="TAPPI"/>
      <sheetName val="AB25"/>
      <sheetName val="AB40"/>
      <sheetName val="AC40"/>
      <sheetName val="IF"/>
      <sheetName val="IP"/>
      <sheetName val="Tab Mail"/>
      <sheetName val="pagamenti"/>
      <sheetName val="calcolo IVA"/>
      <sheetName val="calcoloRATE"/>
      <sheetName val="fattACCONTO1"/>
      <sheetName val="fattACCONTO2"/>
      <sheetName val="fattSALDO"/>
      <sheetName val="fattSALDOaccompagnatoria"/>
      <sheetName val="tmp"/>
      <sheetName val="Foglio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15">
          <cell r="D15">
            <v>15</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oli"/>
      <sheetName val="MODIFICHE AL PROSSIMO LISTINO"/>
      <sheetName val="CONDIZIONI"/>
      <sheetName val="RILIEVO E PROFILI AI 3 LATI"/>
      <sheetName val="tecnico"/>
      <sheetName val="certificati"/>
      <sheetName val="rivenditori"/>
      <sheetName val="LISTINO PREZZI INSTALLAZIONE ES"/>
      <sheetName val="prev de"/>
      <sheetName val="conf de"/>
      <sheetName val="prev en"/>
      <sheetName val="conf en"/>
      <sheetName val="prev es"/>
      <sheetName val="conf es"/>
      <sheetName val="prev fr"/>
      <sheetName val="conf fr"/>
      <sheetName val="preventivo a venditore"/>
      <sheetName val="conferme d' ordine a venditore"/>
      <sheetName val="prod modi "/>
      <sheetName val="prod modu"/>
      <sheetName val="IMMISSIONE DATI"/>
      <sheetName val="prev vert"/>
      <sheetName val="Preventivo CLIENTE"/>
      <sheetName val="PREVENTIVO RICH WEB S INTALL"/>
      <sheetName val="CONTRATTO"/>
      <sheetName val="prod MODERNA"/>
      <sheetName val="prod CLICK_RAPID"/>
      <sheetName val="DICHIARAZIONE DI INSTALLAZIONE"/>
      <sheetName val="pulsanti E convalida dati"/>
      <sheetName val="COLORI"/>
      <sheetName val="TRASPORTI"/>
      <sheetName val="REVERSE PROFILI"/>
      <sheetName val="REVERSE TABELLA"/>
      <sheetName val="DATI"/>
      <sheetName val="MATERIALI"/>
      <sheetName val="profili ALU "/>
      <sheetName val="ProfiliINOX"/>
      <sheetName val="ROMPITRATTO INOX"/>
      <sheetName val="CLEAR F"/>
      <sheetName val="MODI PROVA LIST"/>
      <sheetName val="CLICK RAPID"/>
      <sheetName val="CLOSE"/>
      <sheetName val="GATE"/>
      <sheetName val="LAVORAZIONI"/>
      <sheetName val="MODERNA"/>
      <sheetName val="MODERNACUT"/>
      <sheetName val="MODERNA_PLUS"/>
      <sheetName val="FULL_W"/>
      <sheetName val="FULL_G"/>
      <sheetName val="FULL_GIC"/>
      <sheetName val="FULL_GIF"/>
      <sheetName val="FULL_D"/>
      <sheetName val="MODi"/>
      <sheetName val="MODI_Minimal"/>
      <sheetName val="MODU"/>
      <sheetName val="MODU_minimal"/>
      <sheetName val="AC25"/>
      <sheetName val="REVERSE EGINEERING  LISTINI"/>
      <sheetName val="BT30"/>
      <sheetName val="Tab Ordini"/>
      <sheetName val="Ordini"/>
      <sheetName val="ORDINE ALUTECNOLOGY"/>
      <sheetName val="ORDINE BASIC+"/>
      <sheetName val="ORDINE CLASSIC"/>
      <sheetName val="STAMPA RICHIESTA PREVENTIVO"/>
      <sheetName val="COPERTINA ORDINI AUTOMAT"/>
      <sheetName val="DDTprodotto"/>
      <sheetName val="MATRICE"/>
      <sheetName val="TAPPI"/>
      <sheetName val="AB25"/>
      <sheetName val="AB40"/>
      <sheetName val="AC40"/>
      <sheetName val="IF"/>
      <sheetName val="IP"/>
      <sheetName val="Tab Mail"/>
      <sheetName val="pagamenti"/>
      <sheetName val="calcolo IVA"/>
      <sheetName val="calcoloRATE"/>
      <sheetName val="fattACCONTO1"/>
      <sheetName val="fattACCONTO2"/>
      <sheetName val="fattSALDO"/>
      <sheetName val="fattSALDOaccompagnatoria"/>
      <sheetName val="tmp"/>
      <sheetName val="Foglio4"/>
      <sheetName val="BARRIERA_ANTIALLAGAMENTO ap p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row r="7">
          <cell r="C7" t="str">
            <v>UNO</v>
          </cell>
        </row>
        <row r="153">
          <cell r="C153" t="str">
            <v>MODERNA</v>
          </cell>
        </row>
      </sheetData>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131EE-4012-A949-8568-DB2B793986A6}">
  <dimension ref="A1:OV105"/>
  <sheetViews>
    <sheetView tabSelected="1" workbookViewId="0">
      <selection activeCell="C9" sqref="C9:H11"/>
    </sheetView>
  </sheetViews>
  <sheetFormatPr baseColWidth="10" defaultColWidth="9.1640625" defaultRowHeight="16" outlineLevelCol="2"/>
  <cols>
    <col min="1" max="1" width="9.33203125" bestFit="1" customWidth="1"/>
    <col min="2" max="2" width="22.5" customWidth="1"/>
    <col min="3" max="3" width="33.6640625" customWidth="1"/>
    <col min="4" max="4" width="14.5" customWidth="1"/>
    <col min="5" max="5" width="17.33203125" customWidth="1"/>
    <col min="6" max="7" width="13.5" customWidth="1"/>
    <col min="8" max="8" width="36" customWidth="1"/>
    <col min="9" max="9" width="22.5" customWidth="1"/>
    <col min="10" max="10" width="6.6640625" customWidth="1"/>
    <col min="11" max="11" width="13.6640625" bestFit="1" customWidth="1"/>
    <col min="12" max="12" width="2" customWidth="1"/>
    <col min="13" max="13" width="37.5" customWidth="1"/>
    <col min="14" max="14" width="39" customWidth="1"/>
    <col min="15" max="15" width="14.33203125" customWidth="1"/>
    <col min="16" max="16" width="22.1640625" customWidth="1"/>
    <col min="17" max="17" width="4.5" customWidth="1"/>
    <col min="18" max="18" width="32" customWidth="1"/>
    <col min="19" max="19" width="18.1640625" customWidth="1"/>
    <col min="20" max="20" width="32" customWidth="1"/>
    <col min="21" max="21" width="16.6640625" customWidth="1"/>
    <col min="22" max="22" width="44.5" customWidth="1"/>
    <col min="23" max="23" width="47.1640625" customWidth="1"/>
    <col min="24" max="24" width="3.83203125" customWidth="1"/>
    <col min="25" max="25" width="29.6640625" customWidth="1"/>
    <col min="26" max="26" width="15.33203125" customWidth="1"/>
    <col min="27" max="27" width="2.5" customWidth="1"/>
    <col min="28" max="28" width="32" customWidth="1"/>
    <col min="29" max="29" width="31.83203125" customWidth="1"/>
    <col min="30" max="30" width="3.33203125" customWidth="1"/>
    <col min="31" max="31" width="41.1640625" customWidth="1"/>
    <col min="32" max="32" width="16.6640625" customWidth="1"/>
    <col min="33" max="33" width="11" customWidth="1"/>
    <col min="34" max="34" width="2.5" customWidth="1"/>
    <col min="35" max="35" width="10.83203125" customWidth="1"/>
    <col min="36" max="36" width="18.5" style="31" customWidth="1"/>
    <col min="37" max="37" width="14.1640625" customWidth="1"/>
    <col min="38" max="40" width="13.5" customWidth="1"/>
    <col min="41" max="41" width="3" customWidth="1"/>
    <col min="42" max="42" width="14.1640625" customWidth="1"/>
    <col min="43" max="43" width="19.5" customWidth="1"/>
    <col min="44" max="44" width="13.1640625" customWidth="1"/>
    <col min="45" max="45" width="1.33203125" customWidth="1"/>
    <col min="46" max="46" width="32.5" customWidth="1"/>
    <col min="47" max="47" width="2.6640625" customWidth="1"/>
    <col min="48" max="48" width="23.5" customWidth="1"/>
    <col min="49" max="49" width="3.83203125" customWidth="1"/>
    <col min="50" max="50" width="7.5" customWidth="1"/>
    <col min="51" max="51" width="26.83203125" customWidth="1"/>
    <col min="52" max="52" width="25" customWidth="1"/>
    <col min="53" max="53" width="2.83203125" customWidth="1"/>
    <col min="54" max="54" width="25.33203125" customWidth="1"/>
    <col min="55" max="55" width="7.1640625" customWidth="1"/>
    <col min="56" max="56" width="8.5" customWidth="1"/>
    <col min="57" max="57" width="27.83203125" customWidth="1"/>
    <col min="58" max="58" width="19.5" customWidth="1"/>
    <col min="59" max="59" width="3.5" customWidth="1"/>
    <col min="60" max="60" width="25" customWidth="1"/>
    <col min="61" max="61" width="12.1640625" customWidth="1"/>
    <col min="62" max="62" width="13.5" customWidth="1"/>
    <col min="63" max="63" width="45" customWidth="1"/>
    <col min="64" max="64" width="16" customWidth="1"/>
    <col min="65" max="65" width="4.33203125" customWidth="1"/>
    <col min="66" max="66" width="30.6640625" customWidth="1"/>
    <col min="67" max="67" width="6.6640625" customWidth="1"/>
    <col min="68" max="68" width="12.1640625" customWidth="1"/>
    <col min="69" max="69" width="11.5" customWidth="1"/>
    <col min="70" max="70" width="15.5" customWidth="1"/>
    <col min="71" max="71" width="10.5" customWidth="1"/>
    <col min="72" max="77" width="11.6640625" customWidth="1"/>
    <col min="78" max="78" width="1.6640625" customWidth="1"/>
    <col min="79" max="79" width="10.33203125" customWidth="1"/>
    <col min="80" max="80" width="35.5" customWidth="1"/>
    <col min="81" max="81" width="3.1640625" customWidth="1" outlineLevel="1"/>
    <col min="82" max="82" width="9.83203125" customWidth="1" outlineLevel="1"/>
    <col min="83" max="83" width="42.1640625" customWidth="1" outlineLevel="1"/>
    <col min="84" max="84" width="7.6640625" customWidth="1" outlineLevel="1"/>
    <col min="85" max="85" width="10.1640625" customWidth="1" outlineLevel="1"/>
    <col min="86" max="86" width="1.5" customWidth="1" outlineLevel="1"/>
    <col min="87" max="87" width="14.33203125" customWidth="1" outlineLevel="1"/>
    <col min="88" max="88" width="18.83203125" customWidth="1" outlineLevel="1"/>
    <col min="89" max="89" width="2.1640625" customWidth="1" outlineLevel="1"/>
    <col min="90" max="90" width="25.83203125" hidden="1" customWidth="1" outlineLevel="2"/>
    <col min="91" max="91" width="24.83203125" hidden="1" customWidth="1" outlineLevel="2"/>
    <col min="92" max="92" width="25.83203125" customWidth="1" outlineLevel="1" collapsed="1"/>
    <col min="93" max="94" width="25.83203125" customWidth="1" outlineLevel="1"/>
    <col min="95" max="95" width="13.5" customWidth="1"/>
    <col min="96" max="97" width="40.83203125" customWidth="1"/>
    <col min="98" max="98" width="36.5" customWidth="1"/>
    <col min="99" max="99" width="7.33203125" customWidth="1"/>
    <col min="100" max="101" width="23.33203125" hidden="1" customWidth="1" outlineLevel="2"/>
    <col min="102" max="104" width="29.6640625" hidden="1" customWidth="1" outlineLevel="2"/>
    <col min="105" max="105" width="6.83203125" hidden="1" customWidth="1" outlineLevel="2"/>
    <col min="106" max="106" width="15.83203125" hidden="1" customWidth="1" outlineLevel="2"/>
    <col min="107" max="107" width="23" hidden="1" customWidth="1" outlineLevel="2"/>
    <col min="108" max="108" width="4" hidden="1" customWidth="1" outlineLevel="2"/>
    <col min="109" max="109" width="7.83203125" hidden="1" customWidth="1" outlineLevel="2"/>
    <col min="110" max="110" width="15.5" hidden="1" customWidth="1" outlineLevel="2"/>
    <col min="111" max="111" width="24" hidden="1" customWidth="1" outlineLevel="2"/>
    <col min="112" max="112" width="5" hidden="1" customWidth="1" outlineLevel="2"/>
    <col min="113" max="113" width="7.33203125" hidden="1" customWidth="1" outlineLevel="2"/>
    <col min="114" max="114" width="15.5" hidden="1" customWidth="1" outlineLevel="2"/>
    <col min="115" max="115" width="24.33203125" hidden="1" customWidth="1" outlineLevel="2"/>
    <col min="116" max="116" width="4.6640625" hidden="1" customWidth="1" outlineLevel="2"/>
    <col min="117" max="117" width="8.5" hidden="1" customWidth="1" outlineLevel="2"/>
    <col min="118" max="118" width="16.1640625" hidden="1" customWidth="1" outlineLevel="2"/>
    <col min="119" max="125" width="23.33203125" hidden="1" customWidth="1" outlineLevel="2"/>
    <col min="126" max="126" width="5.1640625" hidden="1" customWidth="1" outlineLevel="2"/>
    <col min="127" max="132" width="13.6640625" hidden="1" customWidth="1" outlineLevel="2"/>
    <col min="133" max="133" width="4.33203125" hidden="1" customWidth="1" outlineLevel="2"/>
    <col min="134" max="136" width="24.1640625" hidden="1" customWidth="1" outlineLevel="2"/>
    <col min="137" max="137" width="4.33203125" hidden="1" customWidth="1" outlineLevel="2"/>
    <col min="138" max="138" width="11.5" hidden="1" customWidth="1" outlineLevel="2"/>
    <col min="139" max="140" width="23.33203125" hidden="1" customWidth="1" outlineLevel="2"/>
    <col min="141" max="141" width="11.33203125" hidden="1" customWidth="1" outlineLevel="2"/>
    <col min="142" max="142" width="12.6640625" customWidth="1" collapsed="1"/>
    <col min="143" max="143" width="22.83203125" customWidth="1"/>
    <col min="144" max="144" width="7.6640625" customWidth="1"/>
    <col min="145" max="145" width="20.33203125" customWidth="1"/>
    <col min="146" max="146" width="35.83203125" customWidth="1"/>
    <col min="147" max="147" width="6.1640625" customWidth="1"/>
    <col min="148" max="148" width="9.6640625" customWidth="1"/>
    <col min="149" max="149" width="25.1640625" customWidth="1"/>
    <col min="150" max="150" width="8" customWidth="1"/>
    <col min="151" max="151" width="1.5" customWidth="1"/>
    <col min="152" max="152" width="17.5" customWidth="1"/>
    <col min="153" max="153" width="38.83203125" customWidth="1"/>
    <col min="154" max="154" width="30.5" customWidth="1"/>
    <col min="155" max="155" width="1.1640625" customWidth="1"/>
    <col min="156" max="156" width="19.6640625" customWidth="1"/>
    <col min="157" max="157" width="29.6640625" customWidth="1"/>
    <col min="158" max="158" width="3" customWidth="1"/>
    <col min="159" max="159" width="35.5" customWidth="1"/>
    <col min="160" max="160" width="5.6640625" customWidth="1"/>
    <col min="161" max="176" width="37.33203125" hidden="1" customWidth="1" outlineLevel="1"/>
    <col min="177" max="177" width="37.33203125" customWidth="1" collapsed="1"/>
    <col min="178" max="178" width="25.1640625" customWidth="1"/>
    <col min="179" max="179" width="21.6640625" customWidth="1"/>
    <col min="180" max="180" width="17.5" customWidth="1"/>
    <col min="181" max="184" width="24.83203125" customWidth="1"/>
    <col min="185" max="190" width="19.83203125" customWidth="1"/>
    <col min="191" max="195" width="33" customWidth="1"/>
    <col min="196" max="196" width="23.5" customWidth="1"/>
    <col min="197" max="220" width="3.5" customWidth="1"/>
    <col min="221" max="221" width="11.33203125" hidden="1" customWidth="1" outlineLevel="2"/>
    <col min="222" max="222" width="19.5" hidden="1" customWidth="1" outlineLevel="2"/>
    <col min="223" max="223" width="3.83203125" hidden="1" customWidth="1" outlineLevel="2"/>
    <col min="224" max="224" width="9.6640625" customWidth="1" collapsed="1"/>
    <col min="225" max="225" width="24.33203125" customWidth="1"/>
    <col min="226" max="226" width="4.5" customWidth="1"/>
    <col min="227" max="228" width="4.5" hidden="1" customWidth="1" outlineLevel="1"/>
    <col min="229" max="236" width="4.5" hidden="1" customWidth="1" outlineLevel="2"/>
    <col min="237" max="237" width="16.1640625" customWidth="1" outlineLevel="1" collapsed="1"/>
    <col min="238" max="238" width="25.33203125" customWidth="1"/>
    <col min="239" max="239" width="34.33203125" customWidth="1"/>
    <col min="240" max="240" width="32.5" customWidth="1"/>
    <col min="241" max="241" width="3" customWidth="1"/>
    <col min="242" max="242" width="25.33203125" customWidth="1"/>
    <col min="243" max="243" width="5.5" customWidth="1"/>
    <col min="244" max="244" width="16" customWidth="1"/>
    <col min="245" max="245" width="32.1640625" customWidth="1"/>
    <col min="246" max="246" width="22.1640625" customWidth="1"/>
    <col min="247" max="247" width="16" customWidth="1"/>
    <col min="248" max="248" width="25.6640625" customWidth="1"/>
    <col min="249" max="249" width="6.6640625" customWidth="1"/>
    <col min="250" max="250" width="13.1640625" customWidth="1"/>
    <col min="251" max="251" width="39.5" customWidth="1"/>
    <col min="252" max="253" width="15.33203125" customWidth="1"/>
    <col min="254" max="254" width="8.5" customWidth="1"/>
    <col min="255" max="255" width="32.6640625" bestFit="1" customWidth="1"/>
    <col min="256" max="256" width="72" bestFit="1" customWidth="1"/>
    <col min="257" max="257" width="44.1640625" bestFit="1" customWidth="1"/>
    <col min="258" max="258" width="94.83203125" bestFit="1" customWidth="1"/>
    <col min="259" max="259" width="81.83203125" customWidth="1"/>
    <col min="260" max="260" width="6.6640625" customWidth="1"/>
    <col min="261" max="279" width="15.33203125" customWidth="1"/>
    <col min="280" max="280" width="9.5" customWidth="1"/>
    <col min="281" max="281" width="19.5" customWidth="1"/>
    <col min="282" max="282" width="39" customWidth="1"/>
    <col min="283" max="284" width="19.5" customWidth="1"/>
    <col min="285" max="285" width="32.1640625" customWidth="1"/>
    <col min="286" max="288" width="19.5" customWidth="1"/>
    <col min="297" max="297" width="9.33203125" hidden="1" customWidth="1" outlineLevel="1"/>
    <col min="298" max="298" width="24.83203125" hidden="1" customWidth="1" outlineLevel="1"/>
    <col min="299" max="299" width="18.33203125" hidden="1" customWidth="1" outlineLevel="1"/>
    <col min="300" max="300" width="21.5" hidden="1" customWidth="1" outlineLevel="1"/>
    <col min="301" max="301" width="38.5" hidden="1" customWidth="1" outlineLevel="1"/>
    <col min="302" max="308" width="0" hidden="1" customWidth="1" outlineLevel="1"/>
    <col min="309" max="309" width="28.5" hidden="1" customWidth="1" outlineLevel="1"/>
    <col min="310" max="331" width="0" hidden="1" customWidth="1" outlineLevel="1"/>
    <col min="332" max="332" width="59.1640625" hidden="1" customWidth="1" outlineLevel="1"/>
    <col min="333" max="333" width="9.1640625" collapsed="1"/>
    <col min="335" max="335" width="14.1640625" customWidth="1"/>
    <col min="336" max="336" width="41.6640625" customWidth="1"/>
    <col min="337" max="337" width="9.33203125" customWidth="1"/>
    <col min="338" max="338" width="24.83203125" customWidth="1"/>
    <col min="339" max="339" width="28.83203125" customWidth="1"/>
    <col min="340" max="340" width="3.83203125" customWidth="1"/>
    <col min="341" max="341" width="22.6640625" customWidth="1"/>
    <col min="342" max="342" width="16.33203125" customWidth="1"/>
    <col min="343" max="343" width="31.1640625" customWidth="1"/>
    <col min="344" max="344" width="15.5" customWidth="1"/>
    <col min="345" max="345" width="16.33203125" customWidth="1"/>
    <col min="346" max="346" width="13.5" customWidth="1"/>
    <col min="347" max="347" width="23.83203125" customWidth="1"/>
    <col min="348" max="348" width="20.1640625" customWidth="1"/>
    <col min="349" max="349" width="8.33203125" customWidth="1"/>
    <col min="350" max="350" width="11.5" customWidth="1"/>
    <col min="351" max="351" width="19.5" customWidth="1"/>
    <col min="352" max="352" width="18" customWidth="1"/>
    <col min="353" max="353" width="3.6640625" customWidth="1"/>
    <col min="354" max="356" width="18" customWidth="1"/>
    <col min="357" max="357" width="4" customWidth="1"/>
    <col min="358" max="360" width="18" customWidth="1"/>
    <col min="361" max="361" width="8.33203125" customWidth="1"/>
    <col min="362" max="362" width="18" customWidth="1"/>
    <col min="363" max="363" width="22.1640625" customWidth="1"/>
    <col min="364" max="364" width="23.6640625" customWidth="1"/>
    <col min="365" max="365" width="23.1640625" customWidth="1"/>
    <col min="366" max="366" width="37.5" customWidth="1"/>
    <col min="367" max="367" width="35.6640625" customWidth="1"/>
    <col min="368" max="368" width="4.5" customWidth="1"/>
    <col min="369" max="370" width="14.5" customWidth="1"/>
    <col min="371" max="371" width="40.33203125" bestFit="1" customWidth="1"/>
    <col min="372" max="372" width="44.83203125" bestFit="1" customWidth="1"/>
    <col min="373" max="373" width="23" customWidth="1"/>
    <col min="374" max="374" width="40.6640625" bestFit="1" customWidth="1"/>
    <col min="375" max="375" width="21.5" customWidth="1"/>
    <col min="376" max="376" width="14.5" customWidth="1"/>
    <col min="377" max="377" width="44.83203125" customWidth="1"/>
    <col min="378" max="378" width="14.5" customWidth="1"/>
    <col min="379" max="379" width="17.83203125" bestFit="1" customWidth="1"/>
    <col min="380" max="387" width="17.83203125" customWidth="1"/>
    <col min="388" max="388" width="59.1640625" bestFit="1" customWidth="1"/>
    <col min="389" max="390" width="17.83203125" customWidth="1"/>
    <col min="391" max="391" width="37.5" bestFit="1" customWidth="1"/>
    <col min="392" max="399" width="14.5" customWidth="1"/>
    <col min="400" max="400" width="34.5" customWidth="1"/>
    <col min="401" max="401" width="14.5" customWidth="1"/>
    <col min="406" max="406" width="68.6640625" bestFit="1" customWidth="1"/>
  </cols>
  <sheetData>
    <row r="1" spans="1:412" s="4" customFormat="1" ht="56">
      <c r="A1" s="1"/>
      <c r="B1" s="1"/>
      <c r="C1" s="1"/>
      <c r="D1" s="1"/>
      <c r="E1" s="1"/>
      <c r="F1" s="1"/>
      <c r="G1" s="1"/>
      <c r="H1" s="1"/>
      <c r="I1" s="1"/>
      <c r="J1" s="1"/>
      <c r="K1" s="1"/>
      <c r="L1" s="1"/>
      <c r="M1" s="1" t="s">
        <v>0</v>
      </c>
      <c r="N1" s="1"/>
      <c r="O1" s="1"/>
      <c r="P1" s="1"/>
      <c r="Q1" s="1"/>
      <c r="R1" s="1"/>
      <c r="S1" s="1"/>
      <c r="T1" s="1"/>
      <c r="U1" s="1"/>
      <c r="V1" s="1"/>
      <c r="W1" s="2"/>
      <c r="X1" s="2"/>
      <c r="Y1" s="3" t="str">
        <f ca="1">"COMMESSSA "&amp;" N° "&amp;DATE(YEAR(dataCONTRATTO),MONTH(dataCONTRATTO),DAY(dataCONTRATTO))</f>
        <v>COMMESSSA  N° 45377</v>
      </c>
      <c r="Z1" s="1"/>
      <c r="AA1" s="1"/>
      <c r="AB1" s="2"/>
      <c r="AC1" s="1"/>
      <c r="AD1" s="1"/>
      <c r="AE1" s="1"/>
      <c r="AF1" s="1"/>
      <c r="AI1" s="5" t="s">
        <v>1</v>
      </c>
      <c r="AJ1" s="6"/>
      <c r="AL1" s="1"/>
      <c r="AM1" s="1"/>
      <c r="AN1" s="1"/>
      <c r="AO1"/>
      <c r="BO1"/>
      <c r="BP1"/>
      <c r="BZ1"/>
      <c r="CC1"/>
      <c r="CD1"/>
      <c r="CF1"/>
      <c r="CI1" s="7" t="s">
        <v>2</v>
      </c>
      <c r="CK1"/>
      <c r="CP1" s="1"/>
      <c r="CQ1" s="1"/>
      <c r="CR1"/>
      <c r="DL1"/>
      <c r="EL1"/>
      <c r="EO1"/>
      <c r="ER1"/>
      <c r="EX1" s="1" t="s">
        <v>3</v>
      </c>
      <c r="FJ1"/>
      <c r="FK1"/>
      <c r="FL1"/>
      <c r="FM1" s="8" t="s">
        <v>4</v>
      </c>
      <c r="FN1" s="9">
        <f>DOGA_MODERNA_200/CENTO*DODICI/TRE+TUBOLARE_30_30_2/CENTO*DODICI</f>
        <v>0.18663999999999997</v>
      </c>
      <c r="FO1" s="10"/>
      <c r="FP1" s="10"/>
      <c r="FQ1" s="10"/>
      <c r="FR1" s="10"/>
      <c r="FT1"/>
      <c r="FU1"/>
      <c r="FV1"/>
      <c r="FW1"/>
      <c r="FX1"/>
      <c r="FY1"/>
      <c r="FZ1"/>
      <c r="GA1"/>
      <c r="GB1"/>
      <c r="GC1"/>
      <c r="GD1"/>
      <c r="GE1"/>
      <c r="GF1"/>
      <c r="GG1"/>
      <c r="GH1"/>
      <c r="GI1"/>
      <c r="GJ1"/>
      <c r="GK1"/>
      <c r="HQ1"/>
      <c r="HR1" s="11" t="s">
        <v>5</v>
      </c>
      <c r="HS1" s="11"/>
      <c r="HT1" s="11"/>
      <c r="HW1"/>
      <c r="HX1" s="12" t="s">
        <v>6</v>
      </c>
      <c r="HY1"/>
      <c r="HZ1" s="13" t="s">
        <v>6</v>
      </c>
      <c r="IA1" s="14"/>
      <c r="IB1" s="14"/>
      <c r="IC1" s="12"/>
      <c r="ID1" s="12"/>
      <c r="IE1" s="14"/>
      <c r="IF1" s="12"/>
      <c r="IG1" s="12"/>
      <c r="IH1"/>
      <c r="II1" s="15" t="s">
        <v>7</v>
      </c>
      <c r="JD1"/>
      <c r="JE1"/>
      <c r="JF1"/>
      <c r="JG1"/>
      <c r="JH1"/>
      <c r="JI1"/>
      <c r="JJ1"/>
      <c r="JK1"/>
      <c r="JL1"/>
      <c r="JM1"/>
      <c r="JN1"/>
      <c r="JO1"/>
      <c r="JP1"/>
      <c r="KG1"/>
      <c r="KH1"/>
      <c r="KI1"/>
      <c r="KJ1"/>
      <c r="KK1"/>
      <c r="KL1"/>
      <c r="KM1"/>
      <c r="KN1"/>
      <c r="KQ1" s="4" t="s">
        <v>8</v>
      </c>
      <c r="MC1" s="4" t="s">
        <v>9</v>
      </c>
      <c r="MD1"/>
      <c r="MP1"/>
      <c r="MS1" s="6" t="s">
        <v>10</v>
      </c>
      <c r="MT1" s="16" t="str">
        <f>CLIENTE_NOME</f>
        <v>Giovanni Antonioni</v>
      </c>
      <c r="MU1" s="16"/>
      <c r="MX1" s="17"/>
      <c r="NC1" s="18"/>
      <c r="NH1" s="4" t="s">
        <v>11</v>
      </c>
      <c r="NR1" s="19">
        <f ca="1">NOW()</f>
        <v>45377.746028587964</v>
      </c>
    </row>
    <row r="2" spans="1:412" s="4" customFormat="1" ht="45">
      <c r="B2" s="20" t="s">
        <v>12</v>
      </c>
      <c r="F2" s="21"/>
      <c r="G2" s="21"/>
      <c r="H2" s="21"/>
      <c r="N2" s="6" t="s">
        <v>10</v>
      </c>
      <c r="O2" s="16" t="str">
        <f>CLIENTE_NOME</f>
        <v>Giovanni Antonioni</v>
      </c>
      <c r="P2" s="16"/>
      <c r="T2" s="18"/>
      <c r="U2" s="18"/>
      <c r="V2" s="18"/>
      <c r="W2" s="19">
        <f ca="1">NOW()</f>
        <v>45377.746028587964</v>
      </c>
      <c r="Z2" s="6"/>
      <c r="AH2" s="18"/>
      <c r="AI2" s="22" t="str">
        <f>B2</f>
        <v>MODERNA</v>
      </c>
      <c r="AJ2" s="23"/>
      <c r="AK2" s="18"/>
      <c r="AL2" s="21"/>
      <c r="AM2" s="21"/>
      <c r="AN2" s="21"/>
      <c r="AO2"/>
      <c r="BB2" s="6" t="s">
        <v>10</v>
      </c>
      <c r="BC2" s="16" t="str">
        <f>CLIENTE_NOME</f>
        <v>Giovanni Antonioni</v>
      </c>
      <c r="BD2" s="16"/>
      <c r="BG2" s="17"/>
      <c r="BO2"/>
      <c r="CI2" s="22" t="str">
        <f>B2</f>
        <v>MODERNA</v>
      </c>
      <c r="CK2"/>
      <c r="CO2" s="21"/>
      <c r="CP2" s="21"/>
      <c r="CQ2"/>
      <c r="DL2"/>
      <c r="DM2"/>
      <c r="DN2"/>
      <c r="DO2"/>
      <c r="DP2"/>
      <c r="DQ2"/>
      <c r="DR2"/>
      <c r="DS2"/>
      <c r="DT2"/>
      <c r="DU2"/>
      <c r="DV2"/>
      <c r="DW2"/>
      <c r="DX2"/>
      <c r="DY2"/>
      <c r="DZ2"/>
      <c r="EA2"/>
      <c r="EB2"/>
      <c r="EC2"/>
      <c r="ED2"/>
      <c r="EE2"/>
      <c r="EF2"/>
      <c r="EG2"/>
      <c r="EH2"/>
      <c r="EI2"/>
      <c r="EJ2"/>
      <c r="EK2"/>
      <c r="EN2"/>
      <c r="EQ2"/>
      <c r="EX2" s="6" t="s">
        <v>10</v>
      </c>
      <c r="EY2" s="16" t="str">
        <f>CLIENTE_NOME</f>
        <v>Giovanni Antonioni</v>
      </c>
      <c r="EZ2" s="16"/>
      <c r="FC2" s="17"/>
      <c r="FI2" s="10"/>
      <c r="FJ2" s="10"/>
      <c r="FK2" s="10"/>
      <c r="FL2" s="24" t="s">
        <v>13</v>
      </c>
      <c r="FM2" s="25">
        <f>H_classic25*DUE</f>
        <v>0.92500000000000004</v>
      </c>
      <c r="FN2" s="10"/>
      <c r="FO2" s="10"/>
      <c r="FP2" s="10"/>
      <c r="FQ2" s="10"/>
      <c r="FR2" s="10"/>
      <c r="FS2"/>
      <c r="FT2"/>
      <c r="FU2"/>
      <c r="FV2"/>
      <c r="FW2"/>
      <c r="FX2"/>
      <c r="FY2"/>
      <c r="FZ2"/>
      <c r="GA2"/>
      <c r="GB2"/>
      <c r="GC2"/>
      <c r="GD2"/>
      <c r="GE2"/>
      <c r="GF2"/>
      <c r="GG2"/>
      <c r="GH2"/>
      <c r="GI2" s="4">
        <v>1</v>
      </c>
      <c r="GJ2" s="4">
        <v>2</v>
      </c>
      <c r="GK2" s="4">
        <v>3</v>
      </c>
      <c r="GL2" s="4">
        <v>4</v>
      </c>
      <c r="GM2" s="4">
        <v>5</v>
      </c>
      <c r="GN2" s="4">
        <v>6</v>
      </c>
      <c r="HO2" s="4">
        <v>9</v>
      </c>
      <c r="HP2" s="4">
        <v>10</v>
      </c>
      <c r="HV2"/>
      <c r="HW2" s="18"/>
      <c r="HX2"/>
      <c r="HY2"/>
      <c r="HZ2"/>
      <c r="IA2"/>
      <c r="IB2" s="18"/>
      <c r="IC2" s="18"/>
      <c r="ID2"/>
      <c r="IE2" s="18"/>
      <c r="IF2" s="18"/>
      <c r="IH2" s="22" t="str">
        <f>B2</f>
        <v>MODERNA</v>
      </c>
      <c r="II2" s="18"/>
      <c r="IJ2" s="18"/>
      <c r="IK2" s="18"/>
      <c r="JP2" s="18"/>
      <c r="JQ2" s="18"/>
      <c r="JR2" s="18"/>
      <c r="JS2" s="18"/>
      <c r="JT2" s="6" t="s">
        <v>10</v>
      </c>
      <c r="JU2" s="16" t="str">
        <f>CLIENTE_NOME</f>
        <v>Giovanni Antonioni</v>
      </c>
      <c r="JV2" s="16"/>
      <c r="JY2" s="17"/>
      <c r="KF2"/>
      <c r="KG2"/>
      <c r="KH2"/>
      <c r="KI2"/>
      <c r="KJ2"/>
      <c r="KK2"/>
      <c r="KL2"/>
      <c r="KM2"/>
      <c r="KP2" s="22" t="str">
        <f>B2</f>
        <v>MODERNA</v>
      </c>
      <c r="LL2" s="6" t="s">
        <v>10</v>
      </c>
      <c r="LM2" s="16" t="str">
        <f>CLIENTE_NOME</f>
        <v>Giovanni Antonioni</v>
      </c>
      <c r="LN2" s="16"/>
      <c r="LQ2" s="17"/>
      <c r="LV2" s="18"/>
      <c r="MA2" s="22" t="str">
        <f>B2</f>
        <v>MODERNA</v>
      </c>
      <c r="ML2" s="7" t="s">
        <v>14</v>
      </c>
      <c r="MR2" s="26" t="s">
        <v>15</v>
      </c>
      <c r="MS2" s="27" t="str">
        <f>IF(stanza1="","",stanza1)</f>
        <v/>
      </c>
      <c r="MT2" s="27"/>
      <c r="MU2"/>
      <c r="MV2"/>
      <c r="MW2" s="28"/>
      <c r="MX2"/>
      <c r="MY2"/>
      <c r="MZ2"/>
      <c r="NA2"/>
      <c r="NB2"/>
      <c r="NC2"/>
      <c r="ND2" s="29" t="str">
        <f ca="1">"COMMESSSA "&amp;" N° "&amp;DATE(YEAR(dataCONTRATTO),MONTH(dataCONTRATTO),DAY(dataCONTRATTO))</f>
        <v>COMMESSSA  N° 45377</v>
      </c>
      <c r="NK2" s="4" t="s">
        <v>16</v>
      </c>
      <c r="NL2" s="16"/>
      <c r="NP2" s="6" t="s">
        <v>10</v>
      </c>
      <c r="NQ2" s="16" t="str">
        <f>CLIENTE_NOME</f>
        <v>Giovanni Antonioni</v>
      </c>
      <c r="NR2" s="16"/>
      <c r="NU2" s="17"/>
      <c r="NZ2" s="18"/>
      <c r="OC2"/>
      <c r="OD2"/>
      <c r="OE2"/>
    </row>
    <row r="3" spans="1:412" ht="36" customHeight="1">
      <c r="N3" s="26" t="s">
        <v>15</v>
      </c>
      <c r="O3" s="27" t="str">
        <f>IF(stanza1="","",stanza1)</f>
        <v/>
      </c>
      <c r="P3" s="27"/>
      <c r="W3" s="30" t="e">
        <f ca="1">code128(x_cod_barre_or_prodottons)</f>
        <v>#NAME?</v>
      </c>
      <c r="AZ3" s="28"/>
      <c r="BB3" s="26" t="s">
        <v>15</v>
      </c>
      <c r="BC3" s="27" t="str">
        <f>IF(stanza1="","",stanza1)</f>
        <v/>
      </c>
      <c r="BD3" s="27"/>
      <c r="BG3" s="28"/>
      <c r="BK3" s="29" t="str">
        <f ca="1">"COMMESSSA "&amp;" N° "&amp;DATE(YEAR(dataCONTRATTO),MONTH(dataCONTRATTO),DAY(dataCONTRATTO))</f>
        <v>COMMESSSA  N° 45377</v>
      </c>
      <c r="CG3" s="32"/>
      <c r="EX3" s="26" t="s">
        <v>15</v>
      </c>
      <c r="EY3" s="27" t="str">
        <f>IF(stanza1="","",stanza1)</f>
        <v/>
      </c>
      <c r="EZ3" s="27"/>
      <c r="FC3" s="28"/>
      <c r="FI3" s="10"/>
      <c r="FJ3" s="10"/>
      <c r="FK3" s="10"/>
      <c r="FL3" s="33" t="s">
        <v>17</v>
      </c>
      <c r="FM3" s="34">
        <v>0.3</v>
      </c>
      <c r="FN3" s="10"/>
      <c r="FO3" s="10"/>
      <c r="FP3" s="10"/>
      <c r="FQ3" s="10"/>
      <c r="FR3" s="10"/>
      <c r="GL3" s="29" t="str">
        <f ca="1">"COMMESSSA "&amp;" N° "&amp;DATE(YEAR(dataCONTRATTO),MONTH(dataCONTRATTO),DAY(dataCONTRATTO))</f>
        <v>COMMESSSA  N° 45377</v>
      </c>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S3" s="29"/>
      <c r="HT3" s="29"/>
      <c r="HU3" s="29"/>
      <c r="HW3" s="28"/>
      <c r="IB3" s="28"/>
      <c r="IC3" s="28"/>
      <c r="IE3" s="28"/>
      <c r="IF3" s="28"/>
      <c r="JP3" s="28"/>
      <c r="JQ3" s="28"/>
      <c r="JR3" s="28"/>
      <c r="JS3" s="28"/>
      <c r="JT3" s="26" t="s">
        <v>15</v>
      </c>
      <c r="JU3" s="27" t="str">
        <f>IF(stanza1="","",stanza1)</f>
        <v/>
      </c>
      <c r="JV3" s="27"/>
      <c r="JY3" s="28"/>
      <c r="KN3" s="29"/>
      <c r="LL3" s="26" t="s">
        <v>15</v>
      </c>
      <c r="LM3" s="27" t="str">
        <f>IF(stanza1="","",stanza1)</f>
        <v/>
      </c>
      <c r="LN3" s="27"/>
      <c r="LQ3" s="28"/>
      <c r="LX3" s="29" t="str">
        <f ca="1">"COMMESSSA "&amp;" N° "&amp;DATE(YEAR(dataCONTRATTO),MONTH(dataCONTRATTO),DAY(dataCONTRATTO))</f>
        <v>COMMESSSA  N° 45377</v>
      </c>
      <c r="ME3" s="7" t="s">
        <v>18</v>
      </c>
      <c r="MR3" s="6" t="s">
        <v>19</v>
      </c>
      <c r="MS3" s="36" t="e">
        <f>VLOOKUP(rivenditore,ElencoRivenditori,COLstato,FALSE)</f>
        <v>#N/A</v>
      </c>
      <c r="ND3" s="37">
        <f ca="1">NOW()</f>
        <v>45377.746028587964</v>
      </c>
      <c r="NJ3" s="38"/>
      <c r="NP3" s="26" t="s">
        <v>15</v>
      </c>
      <c r="NQ3" s="27" t="str">
        <f>IF(stanza1="","",stanza1)</f>
        <v/>
      </c>
      <c r="NR3" s="27"/>
      <c r="NU3" s="28"/>
      <c r="OB3" s="29" t="str">
        <f ca="1">"COMMESSSA "&amp;" N° "&amp;DATE(YEAR(dataCONTRATTO),MONTH(dataCONTRATTO),DAY(dataCONTRATTO))</f>
        <v>COMMESSSA  N° 45377</v>
      </c>
    </row>
    <row r="4" spans="1:412" ht="33" customHeight="1" thickBot="1">
      <c r="C4" s="26" t="s">
        <v>20</v>
      </c>
      <c r="D4" s="39" t="e">
        <f>VLOOKUP(rivenditore,ElencoRivenditori,colCORRIEREusuale,FALSE)</f>
        <v>#N/A</v>
      </c>
      <c r="O4" s="6" t="s">
        <v>19</v>
      </c>
      <c r="P4" s="36" t="e">
        <f>VLOOKUP(rivenditore,ElencoRivenditori,COLstato,FALSE)</f>
        <v>#N/A</v>
      </c>
      <c r="W4" s="40" t="e">
        <f>IF(AND(ordine_n&lt;&gt;"",ns_sede&lt;&gt;"",VLOOKUP("prodottons",elenco_fornitori,MATCH("id_reg",int_elenco_fornitori,0),FALSE)&lt;&gt;""),"OR" &amp; ROUND(ordine_n,0)&amp; "D" &amp;VLOOKUP("prodottons",elenco_fornitori,MATCH("id_reg",int_elenco_fornitori,0),FALSE)&amp;ns_sede,"")</f>
        <v>#REF!</v>
      </c>
      <c r="Z4" s="35"/>
      <c r="BB4" s="6" t="s">
        <v>19</v>
      </c>
      <c r="BC4" s="36" t="e">
        <f>VLOOKUP(rivenditore,ElencoRivenditori,COLstato,FALSE)</f>
        <v>#N/A</v>
      </c>
      <c r="BK4" s="37">
        <f ca="1">NOW()</f>
        <v>45377.746028587964</v>
      </c>
      <c r="EX4" s="6" t="s">
        <v>19</v>
      </c>
      <c r="EY4" s="36" t="e">
        <f>VLOOKUP(rivenditore,ElencoRivenditori,COLstato,FALSE)</f>
        <v>#N/A</v>
      </c>
      <c r="FI4" s="10"/>
      <c r="FJ4" s="10"/>
      <c r="FK4" s="10"/>
      <c r="FL4" s="41" t="s">
        <v>21</v>
      </c>
      <c r="FM4" s="42">
        <v>0.7</v>
      </c>
      <c r="FN4" s="10"/>
      <c r="FO4" s="10"/>
      <c r="FP4" s="10"/>
      <c r="FQ4" s="10"/>
      <c r="FR4" s="10"/>
      <c r="GL4" s="37">
        <f ca="1">NOW()</f>
        <v>45377.746028587964</v>
      </c>
      <c r="HW4" s="35"/>
      <c r="IB4" s="35"/>
      <c r="IC4" s="35"/>
      <c r="IE4" s="35"/>
      <c r="IF4" s="35"/>
      <c r="IK4" s="35"/>
      <c r="JP4" s="35"/>
      <c r="JQ4" s="35"/>
      <c r="JR4" s="35"/>
      <c r="JS4" s="35"/>
      <c r="JT4" s="6" t="s">
        <v>19</v>
      </c>
      <c r="JU4" s="36" t="e">
        <f>VLOOKUP(rivenditore,ElencoRivenditori,COLstato,FALSE)</f>
        <v>#N/A</v>
      </c>
      <c r="KB4" s="29" t="str">
        <f ca="1">"COMMESSSA "&amp;" N° "&amp;DATE(YEAR(dataCONTRATTO),MONTH(dataCONTRATTO),DAY(dataCONTRATTO))</f>
        <v>COMMESSSA  N° 45377</v>
      </c>
      <c r="LL4" s="6" t="s">
        <v>19</v>
      </c>
      <c r="LM4" s="36" t="e">
        <f>VLOOKUP(rivenditore,ElencoRivenditori,COLstato,FALSE)</f>
        <v>#N/A</v>
      </c>
      <c r="LX4" s="37">
        <f ca="1">NOW()</f>
        <v>45377.746028587964</v>
      </c>
      <c r="MG4" s="43" t="s">
        <v>22</v>
      </c>
      <c r="MH4" s="43"/>
      <c r="MI4" s="43"/>
      <c r="MJ4" s="43"/>
      <c r="ML4" s="32" t="s">
        <v>23</v>
      </c>
      <c r="MP4" s="32" t="s">
        <v>24</v>
      </c>
      <c r="MZ4" s="44"/>
      <c r="NA4" s="44"/>
      <c r="NB4" s="32" t="s">
        <v>25</v>
      </c>
      <c r="NP4" s="6" t="s">
        <v>19</v>
      </c>
      <c r="NQ4" s="36" t="e">
        <f>VLOOKUP(rivenditore,ElencoRivenditori,COLstato,FALSE)</f>
        <v>#N/A</v>
      </c>
      <c r="OB4" s="37">
        <f ca="1">NOW()</f>
        <v>45377.746028587964</v>
      </c>
    </row>
    <row r="5" spans="1:412" s="44" customFormat="1" ht="46.5" customHeight="1" thickTop="1" thickBot="1">
      <c r="D5" s="45"/>
      <c r="AI5" s="46" t="s">
        <v>26</v>
      </c>
      <c r="AJ5" s="47"/>
      <c r="AK5" s="48"/>
      <c r="AO5"/>
      <c r="BO5"/>
      <c r="CI5" s="49" t="s">
        <v>27</v>
      </c>
      <c r="CJ5" s="50"/>
      <c r="CK5"/>
      <c r="CL5" s="51" t="s">
        <v>28</v>
      </c>
      <c r="CM5" s="51"/>
      <c r="CN5" s="52"/>
      <c r="CQ5"/>
      <c r="CR5" s="49" t="s">
        <v>29</v>
      </c>
      <c r="CS5" s="52"/>
      <c r="CT5" s="53"/>
      <c r="CU5" s="53"/>
      <c r="CV5" s="53" t="s">
        <v>30</v>
      </c>
      <c r="CW5" s="53"/>
      <c r="CX5" s="53"/>
      <c r="CY5" s="53"/>
      <c r="CZ5" s="51"/>
      <c r="DA5" s="54" t="s">
        <v>31</v>
      </c>
      <c r="DB5" s="55"/>
      <c r="DC5" s="55"/>
      <c r="DD5" s="51"/>
      <c r="DE5" s="51"/>
      <c r="DF5" s="51"/>
      <c r="DG5" s="51"/>
      <c r="DH5" s="51"/>
      <c r="DI5" s="51"/>
      <c r="DJ5" s="55"/>
      <c r="DK5" s="55"/>
      <c r="DL5"/>
      <c r="DM5" s="51" t="s">
        <v>32</v>
      </c>
      <c r="DN5" s="51"/>
      <c r="DO5" s="51"/>
      <c r="DP5" s="51"/>
      <c r="DQ5" s="51" t="s">
        <v>33</v>
      </c>
      <c r="DR5" s="51"/>
      <c r="DS5" s="51"/>
      <c r="DT5" s="51"/>
      <c r="DU5" s="51"/>
      <c r="DV5" s="51"/>
      <c r="DW5" s="51" t="s">
        <v>34</v>
      </c>
      <c r="DX5" s="51"/>
      <c r="DY5" s="51"/>
      <c r="DZ5"/>
      <c r="EA5" s="51"/>
      <c r="EB5" s="51"/>
      <c r="EC5" s="51"/>
      <c r="ED5" s="51"/>
      <c r="EE5" s="51"/>
      <c r="EF5" s="51"/>
      <c r="EG5" s="51"/>
      <c r="EH5" s="51" t="s">
        <v>35</v>
      </c>
      <c r="EI5" s="51"/>
      <c r="EJ5" s="51"/>
      <c r="EK5" s="56"/>
      <c r="EL5" s="49" t="s">
        <v>36</v>
      </c>
      <c r="EM5" s="52"/>
      <c r="EN5" s="56"/>
      <c r="EO5" s="49" t="s">
        <v>37</v>
      </c>
      <c r="EP5" s="52"/>
      <c r="EQ5" s="56"/>
      <c r="ER5" s="49"/>
      <c r="ES5" s="52" t="s">
        <v>38</v>
      </c>
      <c r="EU5" s="49" t="s">
        <v>39</v>
      </c>
      <c r="EV5" s="50"/>
      <c r="EW5" s="50"/>
      <c r="EX5" s="52"/>
      <c r="EZ5" s="49" t="s">
        <v>40</v>
      </c>
      <c r="FA5" s="50"/>
      <c r="FB5" s="52"/>
      <c r="FD5" s="49" t="s">
        <v>41</v>
      </c>
      <c r="FE5" s="50"/>
      <c r="FF5" s="50"/>
      <c r="FG5" s="52"/>
      <c r="FH5"/>
      <c r="FI5" s="57" t="s">
        <v>42</v>
      </c>
      <c r="FJ5" s="57"/>
      <c r="FK5" s="57"/>
      <c r="FL5" s="57"/>
      <c r="FM5" s="57"/>
      <c r="FN5" s="57"/>
      <c r="FO5" s="57"/>
      <c r="FP5" s="57"/>
      <c r="FQ5" s="57"/>
      <c r="FR5" s="57"/>
      <c r="FS5" s="57"/>
      <c r="FT5" s="57"/>
      <c r="FU5" s="57"/>
      <c r="FV5" s="57"/>
      <c r="FW5" s="57"/>
      <c r="FX5" s="57"/>
      <c r="FZ5"/>
      <c r="GA5"/>
      <c r="GB5"/>
      <c r="GI5" s="58" t="s">
        <v>43</v>
      </c>
      <c r="GJ5" s="59"/>
      <c r="GK5" s="60"/>
      <c r="GL5" s="60"/>
      <c r="GM5" s="60"/>
      <c r="GN5" s="61"/>
      <c r="HN5" s="49" t="s">
        <v>44</v>
      </c>
      <c r="HO5" s="50"/>
      <c r="HP5" s="53"/>
      <c r="HQ5" s="53"/>
      <c r="HR5" s="53"/>
      <c r="HS5" s="53"/>
      <c r="HT5" s="53"/>
      <c r="HU5" s="53"/>
      <c r="HV5" s="56"/>
      <c r="HW5" s="53"/>
      <c r="HX5" s="56"/>
      <c r="HY5" s="53"/>
      <c r="HZ5" s="53"/>
      <c r="IA5" s="56"/>
      <c r="IB5" s="53"/>
      <c r="IC5" s="53"/>
      <c r="ID5" s="56"/>
      <c r="IE5" s="53"/>
      <c r="IF5" s="62"/>
      <c r="IG5"/>
      <c r="IH5"/>
      <c r="II5"/>
      <c r="IJ5"/>
      <c r="IK5"/>
      <c r="JC5"/>
      <c r="JD5"/>
      <c r="JE5"/>
      <c r="JF5"/>
      <c r="JG5"/>
      <c r="JH5"/>
      <c r="JI5"/>
      <c r="JJ5"/>
      <c r="JK5"/>
      <c r="JL5"/>
      <c r="JM5"/>
      <c r="JN5"/>
      <c r="JO5"/>
      <c r="KF5"/>
      <c r="KG5"/>
      <c r="KH5"/>
      <c r="KI5"/>
      <c r="KJ5"/>
      <c r="KK5"/>
      <c r="KL5"/>
      <c r="KM5"/>
      <c r="KO5" s="63" t="s">
        <v>45</v>
      </c>
      <c r="KP5" s="64"/>
      <c r="KQ5" s="64"/>
      <c r="KR5" s="64"/>
      <c r="KS5" s="64"/>
      <c r="KT5" s="64"/>
      <c r="KU5" s="64"/>
      <c r="KV5" s="64"/>
      <c r="KW5" s="65"/>
      <c r="KX5" s="65"/>
      <c r="KY5" s="65"/>
      <c r="KZ5" s="65"/>
      <c r="LA5" s="65"/>
      <c r="LB5" s="65"/>
      <c r="LC5" s="65"/>
      <c r="LD5" s="65"/>
      <c r="LE5" s="65"/>
      <c r="LF5" s="65"/>
      <c r="LG5" s="65"/>
      <c r="LH5" s="65"/>
      <c r="LI5" s="65"/>
      <c r="LJ5" s="65"/>
      <c r="LK5" s="65"/>
      <c r="LL5" s="65"/>
      <c r="LM5" s="65"/>
      <c r="LN5" s="65"/>
      <c r="LO5" s="65"/>
      <c r="LP5" s="65"/>
      <c r="LQ5" s="65"/>
      <c r="LR5" s="65"/>
      <c r="LS5" s="65"/>
      <c r="LT5" s="65"/>
      <c r="LU5" s="65"/>
      <c r="LV5" s="65"/>
      <c r="LW5" s="65"/>
      <c r="LX5" s="65"/>
      <c r="MD5" s="66" t="s">
        <v>46</v>
      </c>
      <c r="ME5" s="66"/>
      <c r="MG5" s="67"/>
      <c r="MH5" s="68" t="s">
        <v>47</v>
      </c>
      <c r="MI5" s="69"/>
      <c r="MJ5" s="70"/>
      <c r="ML5" s="71" t="s">
        <v>48</v>
      </c>
      <c r="MM5" s="50"/>
      <c r="MN5" s="72"/>
      <c r="MP5" s="73" t="s">
        <v>49</v>
      </c>
      <c r="MQ5" s="74"/>
      <c r="MR5" s="74"/>
      <c r="MS5" s="74"/>
      <c r="MT5" s="74"/>
      <c r="MU5" s="74"/>
      <c r="MV5" s="74"/>
      <c r="MW5" s="74"/>
      <c r="MX5" s="74"/>
      <c r="MY5" s="74"/>
      <c r="MZ5" s="75"/>
      <c r="NB5" s="76" t="s">
        <v>50</v>
      </c>
      <c r="NC5" s="77"/>
      <c r="ND5" s="78"/>
      <c r="NO5"/>
      <c r="NS5" s="79" t="str">
        <f>tiposaldo</f>
        <v>ATTENZIONE! Bonifico bancario da effettuare ad AVVISO di MERCE PRONTA, l'appuntamento d'installazione verrà concordato a pagamento liquido ed esigibile.</v>
      </c>
      <c r="NT5" s="79"/>
      <c r="NU5" s="79"/>
      <c r="NV5" s="79"/>
      <c r="NW5" s="79"/>
      <c r="NX5" s="79"/>
      <c r="NY5" s="79"/>
      <c r="NZ5" s="79"/>
      <c r="OA5" s="79"/>
      <c r="OB5" s="79"/>
      <c r="OC5"/>
      <c r="OD5"/>
      <c r="OE5"/>
      <c r="OH5" s="80"/>
      <c r="OI5" s="80"/>
      <c r="OJ5" s="80"/>
      <c r="OK5" s="80"/>
      <c r="OL5" s="80"/>
      <c r="OM5" s="80"/>
      <c r="ON5" s="80"/>
      <c r="OO5" s="80"/>
    </row>
    <row r="6" spans="1:412" s="102" customFormat="1" ht="119.25" customHeight="1" thickBot="1">
      <c r="A6" s="81" t="s">
        <v>51</v>
      </c>
      <c r="B6" s="81" t="s">
        <v>52</v>
      </c>
      <c r="C6" s="82" t="s">
        <v>53</v>
      </c>
      <c r="D6" s="82" t="s">
        <v>54</v>
      </c>
      <c r="E6" s="82" t="s">
        <v>55</v>
      </c>
      <c r="F6" s="82" t="s">
        <v>56</v>
      </c>
      <c r="G6" s="82" t="s">
        <v>57</v>
      </c>
      <c r="H6" s="82" t="s">
        <v>58</v>
      </c>
      <c r="I6" s="83" t="s">
        <v>59</v>
      </c>
      <c r="J6" s="84" t="s">
        <v>60</v>
      </c>
      <c r="K6" s="84" t="s">
        <v>61</v>
      </c>
      <c r="L6" s="85"/>
      <c r="M6" s="86" t="s">
        <v>62</v>
      </c>
      <c r="N6" s="83" t="s">
        <v>63</v>
      </c>
      <c r="O6" s="87" t="s">
        <v>64</v>
      </c>
      <c r="P6" s="83" t="s">
        <v>65</v>
      </c>
      <c r="Q6" s="85"/>
      <c r="R6" s="83" t="s">
        <v>66</v>
      </c>
      <c r="S6" s="82" t="s">
        <v>67</v>
      </c>
      <c r="T6" s="83" t="s">
        <v>68</v>
      </c>
      <c r="U6" s="82" t="s">
        <v>67</v>
      </c>
      <c r="V6" s="88" t="s">
        <v>69</v>
      </c>
      <c r="W6" s="83" t="s">
        <v>70</v>
      </c>
      <c r="X6" s="85"/>
      <c r="Y6" s="83" t="s">
        <v>71</v>
      </c>
      <c r="Z6" s="83" t="s">
        <v>72</v>
      </c>
      <c r="AA6" s="85"/>
      <c r="AB6" s="83" t="s">
        <v>73</v>
      </c>
      <c r="AC6" s="83" t="s">
        <v>74</v>
      </c>
      <c r="AD6" s="85"/>
      <c r="AE6" s="83" t="s">
        <v>75</v>
      </c>
      <c r="AF6" s="89" t="s">
        <v>76</v>
      </c>
      <c r="AG6" s="83" t="s">
        <v>77</v>
      </c>
      <c r="AH6" s="85"/>
      <c r="AI6" s="90" t="s">
        <v>54</v>
      </c>
      <c r="AJ6" s="91" t="s">
        <v>55</v>
      </c>
      <c r="AK6" s="92" t="s">
        <v>56</v>
      </c>
      <c r="AL6" s="82" t="s">
        <v>57</v>
      </c>
      <c r="AM6" s="82" t="s">
        <v>58</v>
      </c>
      <c r="AN6" s="93"/>
      <c r="AO6"/>
      <c r="AP6" s="94" t="s">
        <v>78</v>
      </c>
      <c r="AQ6" s="95" t="s">
        <v>79</v>
      </c>
      <c r="AR6" s="96" t="s">
        <v>80</v>
      </c>
      <c r="AS6" s="97"/>
      <c r="AT6" s="98" t="s">
        <v>81</v>
      </c>
      <c r="AU6" s="97"/>
      <c r="AV6" s="83" t="s">
        <v>59</v>
      </c>
      <c r="AW6" s="85"/>
      <c r="AX6" s="99" t="s">
        <v>54</v>
      </c>
      <c r="AY6" s="100" t="s">
        <v>82</v>
      </c>
      <c r="AZ6" s="100" t="s">
        <v>83</v>
      </c>
      <c r="BA6" s="99"/>
      <c r="BB6" s="101" t="s">
        <v>84</v>
      </c>
      <c r="BD6" s="99" t="s">
        <v>54</v>
      </c>
      <c r="BE6" s="100" t="s">
        <v>85</v>
      </c>
      <c r="BF6" s="100" t="s">
        <v>86</v>
      </c>
      <c r="BG6" s="99"/>
      <c r="BH6" s="101" t="s">
        <v>87</v>
      </c>
      <c r="BJ6" s="99" t="s">
        <v>54</v>
      </c>
      <c r="BK6" s="99" t="s">
        <v>88</v>
      </c>
      <c r="BL6" s="99" t="s">
        <v>89</v>
      </c>
      <c r="BM6" s="85"/>
      <c r="BN6" s="103" t="s">
        <v>90</v>
      </c>
      <c r="BO6"/>
      <c r="BP6" s="84" t="s">
        <v>61</v>
      </c>
      <c r="BQ6" s="104" t="s">
        <v>41</v>
      </c>
      <c r="BR6" s="104" t="s">
        <v>91</v>
      </c>
      <c r="BS6" s="104" t="s">
        <v>92</v>
      </c>
      <c r="BT6" s="104" t="s">
        <v>93</v>
      </c>
      <c r="BU6" s="104"/>
      <c r="BV6" s="104"/>
      <c r="BW6" s="104"/>
      <c r="BX6" s="104"/>
      <c r="BY6" s="104"/>
      <c r="BZ6" s="85"/>
      <c r="CA6" s="99" t="s">
        <v>54</v>
      </c>
      <c r="CB6" s="99" t="s">
        <v>94</v>
      </c>
      <c r="CD6" s="99" t="s">
        <v>54</v>
      </c>
      <c r="CE6" s="99" t="s">
        <v>95</v>
      </c>
      <c r="CF6" s="85"/>
      <c r="CG6" s="105" t="s">
        <v>51</v>
      </c>
      <c r="CH6" s="85"/>
      <c r="CI6" s="90" t="s">
        <v>54</v>
      </c>
      <c r="CJ6" s="106" t="s">
        <v>89</v>
      </c>
      <c r="CK6"/>
      <c r="CL6" s="107" t="s">
        <v>54</v>
      </c>
      <c r="CM6" s="108" t="s">
        <v>96</v>
      </c>
      <c r="CN6" s="83" t="s">
        <v>59</v>
      </c>
      <c r="CO6" s="82" t="s">
        <v>57</v>
      </c>
      <c r="CP6" s="82" t="s">
        <v>58</v>
      </c>
      <c r="CQ6"/>
      <c r="CR6" s="109" t="s">
        <v>54</v>
      </c>
      <c r="CS6" s="102" t="s">
        <v>89</v>
      </c>
      <c r="CT6" s="108" t="s">
        <v>97</v>
      </c>
      <c r="CU6" s="110"/>
      <c r="CV6" s="108" t="s">
        <v>54</v>
      </c>
      <c r="CW6" s="111" t="s">
        <v>56</v>
      </c>
      <c r="CX6" s="108" t="s">
        <v>98</v>
      </c>
      <c r="CY6" s="112"/>
      <c r="CZ6" s="113" t="s">
        <v>99</v>
      </c>
      <c r="DA6" s="114" t="s">
        <v>54</v>
      </c>
      <c r="DB6" s="112" t="s">
        <v>56</v>
      </c>
      <c r="DC6" s="112" t="s">
        <v>98</v>
      </c>
      <c r="DD6" s="115"/>
      <c r="DE6" s="114" t="s">
        <v>54</v>
      </c>
      <c r="DF6" s="112" t="s">
        <v>56</v>
      </c>
      <c r="DG6" s="112" t="s">
        <v>98</v>
      </c>
      <c r="DH6" s="115"/>
      <c r="DI6" s="114" t="s">
        <v>54</v>
      </c>
      <c r="DJ6" s="112" t="s">
        <v>55</v>
      </c>
      <c r="DK6" s="112"/>
      <c r="DL6"/>
      <c r="DM6" s="114" t="s">
        <v>54</v>
      </c>
      <c r="DN6" s="112" t="s">
        <v>55</v>
      </c>
      <c r="DO6" s="112" t="s">
        <v>98</v>
      </c>
      <c r="DP6" s="115"/>
      <c r="DQ6" s="116" t="s">
        <v>100</v>
      </c>
      <c r="DR6" s="116">
        <v>2</v>
      </c>
      <c r="DS6" s="116">
        <v>3</v>
      </c>
      <c r="DT6" s="116">
        <v>4</v>
      </c>
      <c r="DU6" s="116">
        <v>5</v>
      </c>
      <c r="DV6" s="112"/>
      <c r="DW6" s="112" t="s">
        <v>101</v>
      </c>
      <c r="DX6" s="112" t="s">
        <v>102</v>
      </c>
      <c r="DY6" s="112" t="s">
        <v>103</v>
      </c>
      <c r="DZ6" s="112" t="s">
        <v>104</v>
      </c>
      <c r="EA6" s="112" t="s">
        <v>105</v>
      </c>
      <c r="EB6" s="112" t="s">
        <v>106</v>
      </c>
      <c r="ED6" s="117" t="s">
        <v>107</v>
      </c>
      <c r="EE6" s="117" t="s">
        <v>108</v>
      </c>
      <c r="EF6" s="117" t="s">
        <v>109</v>
      </c>
      <c r="EG6" s="118"/>
      <c r="EH6" s="112" t="s">
        <v>110</v>
      </c>
      <c r="EI6" s="112" t="s">
        <v>111</v>
      </c>
      <c r="EJ6" s="112" t="s">
        <v>112</v>
      </c>
      <c r="EK6"/>
      <c r="EL6" s="109" t="s">
        <v>54</v>
      </c>
      <c r="EM6" s="119" t="s">
        <v>56</v>
      </c>
      <c r="EN6"/>
      <c r="EO6" s="109" t="s">
        <v>54</v>
      </c>
      <c r="EP6" s="119" t="s">
        <v>56</v>
      </c>
      <c r="EQ6"/>
      <c r="ER6" s="109" t="s">
        <v>54</v>
      </c>
      <c r="ES6" s="119" t="s">
        <v>89</v>
      </c>
      <c r="ET6" s="85"/>
      <c r="EU6" s="120" t="s">
        <v>54</v>
      </c>
      <c r="EV6" s="120" t="s">
        <v>113</v>
      </c>
      <c r="EW6" s="98" t="s">
        <v>81</v>
      </c>
      <c r="EX6" s="121" t="s">
        <v>89</v>
      </c>
      <c r="EZ6" s="122" t="s">
        <v>54</v>
      </c>
      <c r="FA6" s="96" t="s">
        <v>114</v>
      </c>
      <c r="FB6" s="123" t="s">
        <v>115</v>
      </c>
      <c r="FD6" s="122" t="s">
        <v>116</v>
      </c>
      <c r="FE6" s="124" t="s">
        <v>117</v>
      </c>
      <c r="FF6" s="125"/>
      <c r="FG6" s="123" t="s">
        <v>118</v>
      </c>
      <c r="FH6"/>
      <c r="FI6" s="89" t="s">
        <v>119</v>
      </c>
      <c r="FJ6" s="89" t="s">
        <v>120</v>
      </c>
      <c r="FK6" s="89" t="s">
        <v>121</v>
      </c>
      <c r="FL6" s="89" t="s">
        <v>122</v>
      </c>
      <c r="FM6" s="89" t="s">
        <v>123</v>
      </c>
      <c r="FN6" s="89" t="s">
        <v>124</v>
      </c>
      <c r="FO6" s="89" t="s">
        <v>125</v>
      </c>
      <c r="FP6" s="89" t="s">
        <v>126</v>
      </c>
      <c r="FQ6" s="89" t="s">
        <v>127</v>
      </c>
      <c r="FR6" s="89" t="s">
        <v>128</v>
      </c>
      <c r="FS6" s="89" t="s">
        <v>129</v>
      </c>
      <c r="FT6" s="126" t="s">
        <v>130</v>
      </c>
      <c r="FU6" s="126" t="s">
        <v>131</v>
      </c>
      <c r="FV6" s="126" t="s">
        <v>132</v>
      </c>
      <c r="FW6" s="126"/>
      <c r="FX6" s="89" t="s">
        <v>133</v>
      </c>
      <c r="FY6" s="127" t="s">
        <v>134</v>
      </c>
      <c r="FZ6"/>
      <c r="GH6"/>
      <c r="GI6" s="128" t="s">
        <v>135</v>
      </c>
      <c r="GJ6" s="129" t="s">
        <v>136</v>
      </c>
      <c r="GK6" s="129" t="s">
        <v>137</v>
      </c>
      <c r="GL6" s="129" t="s">
        <v>138</v>
      </c>
      <c r="GM6" s="129" t="s">
        <v>139</v>
      </c>
      <c r="GN6" s="129" t="s">
        <v>140</v>
      </c>
      <c r="GO6" s="130"/>
      <c r="GP6" s="130"/>
      <c r="GQ6" s="130"/>
      <c r="GR6" s="130"/>
      <c r="GS6" s="130"/>
      <c r="GT6" s="130"/>
      <c r="GU6" s="130"/>
      <c r="GV6" s="130"/>
      <c r="HN6" s="131" t="s">
        <v>141</v>
      </c>
      <c r="HO6" s="132"/>
      <c r="HP6" s="133"/>
      <c r="HQ6" s="134" t="s">
        <v>142</v>
      </c>
      <c r="HR6" s="135"/>
      <c r="HS6" s="136"/>
      <c r="HT6" s="134" t="s">
        <v>143</v>
      </c>
      <c r="HU6" s="135"/>
      <c r="HV6"/>
      <c r="HW6" s="128" t="s">
        <v>144</v>
      </c>
      <c r="HX6"/>
      <c r="HY6" s="134" t="s">
        <v>145</v>
      </c>
      <c r="HZ6" s="135"/>
      <c r="IA6"/>
      <c r="IB6" s="134" t="s">
        <v>143</v>
      </c>
      <c r="IC6" s="135"/>
      <c r="ID6"/>
      <c r="IE6" s="134" t="s">
        <v>146</v>
      </c>
      <c r="IF6" s="135"/>
      <c r="IG6"/>
      <c r="IH6" s="99" t="s">
        <v>54</v>
      </c>
      <c r="II6" s="100" t="s">
        <v>82</v>
      </c>
      <c r="IJ6" s="100" t="s">
        <v>83</v>
      </c>
      <c r="IK6" s="99"/>
      <c r="IL6" s="101" t="s">
        <v>84</v>
      </c>
      <c r="IN6" s="99" t="s">
        <v>54</v>
      </c>
      <c r="IO6" s="100" t="s">
        <v>85</v>
      </c>
      <c r="IP6" s="100" t="s">
        <v>86</v>
      </c>
      <c r="IQ6" s="99"/>
      <c r="IR6" s="101" t="s">
        <v>87</v>
      </c>
      <c r="IT6" s="99" t="s">
        <v>54</v>
      </c>
      <c r="IU6" s="99" t="s">
        <v>88</v>
      </c>
      <c r="IV6" s="99" t="s">
        <v>89</v>
      </c>
      <c r="IW6"/>
      <c r="IX6" s="137" t="s">
        <v>51</v>
      </c>
      <c r="IY6" s="138" t="s">
        <v>147</v>
      </c>
      <c r="IZ6"/>
      <c r="JA6"/>
      <c r="JB6"/>
      <c r="JC6"/>
      <c r="JD6"/>
      <c r="JE6"/>
      <c r="JF6"/>
      <c r="JG6"/>
      <c r="JH6"/>
      <c r="JI6"/>
      <c r="JJ6"/>
      <c r="JK6"/>
      <c r="JL6"/>
      <c r="JM6"/>
      <c r="JN6"/>
      <c r="JO6"/>
      <c r="JP6"/>
      <c r="JQ6"/>
      <c r="JR6"/>
      <c r="JS6"/>
      <c r="JT6"/>
      <c r="JU6"/>
      <c r="JV6"/>
      <c r="JW6"/>
      <c r="JX6" s="137" t="s">
        <v>51</v>
      </c>
      <c r="JY6" s="139" t="s">
        <v>54</v>
      </c>
      <c r="JZ6" s="139" t="s">
        <v>94</v>
      </c>
      <c r="KA6" s="140"/>
      <c r="KB6" s="139" t="s">
        <v>54</v>
      </c>
      <c r="KC6" s="139" t="s">
        <v>95</v>
      </c>
      <c r="KD6" s="140"/>
      <c r="KE6" s="140"/>
      <c r="KF6"/>
      <c r="KG6"/>
      <c r="KH6"/>
      <c r="KI6"/>
      <c r="KJ6"/>
      <c r="KK6"/>
      <c r="KL6"/>
      <c r="KM6"/>
      <c r="KN6" s="140"/>
      <c r="KP6" s="137" t="s">
        <v>51</v>
      </c>
      <c r="KQ6" s="139" t="s">
        <v>54</v>
      </c>
      <c r="KR6" s="139" t="s">
        <v>148</v>
      </c>
      <c r="KS6" s="139" t="s">
        <v>80</v>
      </c>
      <c r="KT6" s="140"/>
      <c r="KU6" s="140"/>
      <c r="KV6" s="140"/>
      <c r="KW6" s="140"/>
      <c r="KX6" s="140"/>
      <c r="KY6" s="140"/>
      <c r="MA6" s="81" t="s">
        <v>51</v>
      </c>
      <c r="MB6" s="81" t="s">
        <v>52</v>
      </c>
      <c r="MC6" s="85"/>
      <c r="MD6" s="99" t="s">
        <v>149</v>
      </c>
      <c r="ME6" s="99" t="s">
        <v>150</v>
      </c>
      <c r="MG6" s="99" t="s">
        <v>151</v>
      </c>
      <c r="MH6" s="99" t="s">
        <v>152</v>
      </c>
      <c r="MI6" s="99" t="s">
        <v>153</v>
      </c>
      <c r="MJ6" s="99" t="s">
        <v>154</v>
      </c>
      <c r="MK6" s="85"/>
      <c r="ML6" s="141" t="s">
        <v>54</v>
      </c>
      <c r="MM6" s="142" t="s">
        <v>148</v>
      </c>
      <c r="MN6" s="143" t="s">
        <v>80</v>
      </c>
      <c r="MO6" s="85"/>
      <c r="MP6" s="144" t="s">
        <v>54</v>
      </c>
      <c r="MQ6" s="99" t="s">
        <v>56</v>
      </c>
      <c r="MR6" s="99" t="s">
        <v>155</v>
      </c>
      <c r="MT6" s="89" t="s">
        <v>54</v>
      </c>
      <c r="MU6" s="89" t="s">
        <v>156</v>
      </c>
      <c r="MV6" s="89" t="s">
        <v>157</v>
      </c>
      <c r="MW6" s="85"/>
      <c r="MX6" s="89" t="s">
        <v>54</v>
      </c>
      <c r="MY6" s="89" t="s">
        <v>156</v>
      </c>
      <c r="MZ6" s="145"/>
      <c r="NB6" s="146" t="s">
        <v>54</v>
      </c>
      <c r="NC6" s="147" t="s">
        <v>155</v>
      </c>
      <c r="ND6" s="147" t="s">
        <v>56</v>
      </c>
      <c r="NG6" s="85"/>
      <c r="NH6" s="85"/>
      <c r="NI6" s="81" t="s">
        <v>51</v>
      </c>
      <c r="NJ6" s="99" t="s">
        <v>54</v>
      </c>
      <c r="NK6" s="82" t="s">
        <v>53</v>
      </c>
      <c r="NL6" s="99" t="s">
        <v>55</v>
      </c>
      <c r="NM6" s="99" t="s">
        <v>56</v>
      </c>
      <c r="NO6" s="44"/>
      <c r="NP6" s="44"/>
      <c r="NR6"/>
      <c r="NS6"/>
      <c r="NT6"/>
      <c r="NU6"/>
      <c r="NV6"/>
      <c r="NW6"/>
      <c r="NX6"/>
      <c r="NY6"/>
      <c r="NZ6"/>
      <c r="OA6"/>
      <c r="OB6"/>
      <c r="OC6"/>
      <c r="OD6"/>
      <c r="OE6"/>
      <c r="OG6" s="148"/>
      <c r="OH6" s="149"/>
      <c r="OI6" s="149"/>
      <c r="OJ6" s="149"/>
      <c r="OK6" s="149"/>
      <c r="OL6" s="149"/>
      <c r="OM6" s="149"/>
      <c r="ON6" s="149"/>
      <c r="OO6" s="149"/>
      <c r="OT6" s="85"/>
      <c r="OU6" s="85"/>
      <c r="OV6" s="85"/>
    </row>
    <row r="7" spans="1:412" s="150" customFormat="1" ht="129" customHeight="1" thickBot="1">
      <c r="M7" s="151" t="s">
        <v>158</v>
      </c>
      <c r="O7" s="152" t="s">
        <v>159</v>
      </c>
      <c r="AI7" s="153"/>
      <c r="AJ7" s="154"/>
      <c r="AK7" s="155"/>
      <c r="AO7"/>
      <c r="AP7" s="153"/>
      <c r="AQ7" s="156" t="str">
        <f>M7</f>
        <v>ESCLUSI</v>
      </c>
      <c r="AR7" s="156" t="str">
        <f>O7</f>
        <v>ALT BARRIERA +29 mm</v>
      </c>
      <c r="AX7" s="153"/>
      <c r="AZ7" s="156" t="str">
        <f>O7</f>
        <v>ALT BARRIERA +29 mm</v>
      </c>
      <c r="BB7" s="155"/>
      <c r="BD7" s="153"/>
      <c r="BE7" s="157"/>
      <c r="BH7" s="155"/>
      <c r="BO7"/>
      <c r="CI7"/>
      <c r="CK7"/>
      <c r="CL7"/>
      <c r="CM7" s="158" t="s">
        <v>160</v>
      </c>
      <c r="CQ7"/>
      <c r="CR7" s="153"/>
      <c r="CS7" s="155"/>
      <c r="CT7"/>
      <c r="CU7"/>
      <c r="CV7"/>
      <c r="CW7"/>
      <c r="CX7"/>
      <c r="CY7"/>
      <c r="CZ7"/>
      <c r="DA7"/>
      <c r="DB7" s="32" t="s">
        <v>161</v>
      </c>
      <c r="DC7"/>
      <c r="DD7"/>
      <c r="DE7"/>
      <c r="DF7" s="32" t="s">
        <v>162</v>
      </c>
      <c r="DG7"/>
      <c r="DH7"/>
      <c r="DI7" s="32" t="s">
        <v>163</v>
      </c>
      <c r="DJ7"/>
      <c r="DK7"/>
      <c r="DL7"/>
      <c r="DM7"/>
      <c r="DN7"/>
      <c r="DO7"/>
      <c r="DP7"/>
      <c r="DQ7"/>
      <c r="DR7"/>
      <c r="DS7"/>
      <c r="DT7"/>
      <c r="DU7"/>
      <c r="DV7"/>
      <c r="DW7" s="4" t="s">
        <v>164</v>
      </c>
      <c r="DX7"/>
      <c r="DY7"/>
      <c r="DZ7"/>
      <c r="EA7"/>
      <c r="EB7"/>
      <c r="ED7"/>
      <c r="EE7"/>
      <c r="EF7"/>
      <c r="EG7"/>
      <c r="EH7" s="51" t="s">
        <v>165</v>
      </c>
      <c r="EI7"/>
      <c r="EJ7"/>
      <c r="EK7"/>
      <c r="EL7"/>
      <c r="EM7"/>
      <c r="EN7"/>
      <c r="EO7" s="153"/>
      <c r="EP7" s="155"/>
      <c r="EQ7"/>
      <c r="ER7" s="153"/>
      <c r="ES7" s="155"/>
      <c r="EU7" s="153"/>
      <c r="EV7" s="156" t="str">
        <f>M7</f>
        <v>ESCLUSI</v>
      </c>
      <c r="EX7" s="156" t="str">
        <f>O7</f>
        <v>ALT BARRIERA +29 mm</v>
      </c>
      <c r="EZ7" s="153"/>
      <c r="FB7" s="155"/>
      <c r="FD7" s="153"/>
      <c r="FE7" s="159"/>
      <c r="FG7" s="155"/>
      <c r="FH7"/>
      <c r="FI7" s="10"/>
      <c r="FJ7" s="10"/>
      <c r="FK7" s="10"/>
      <c r="FL7" s="10"/>
      <c r="FM7" s="10"/>
      <c r="FN7" s="10"/>
      <c r="FO7" s="10"/>
      <c r="FP7" s="10"/>
      <c r="FQ7"/>
      <c r="FR7"/>
      <c r="FS7"/>
      <c r="FT7"/>
      <c r="FU7"/>
      <c r="FV7"/>
      <c r="FW7"/>
      <c r="FX7"/>
      <c r="FY7"/>
      <c r="FZ7"/>
      <c r="GH7"/>
      <c r="GI7" s="160"/>
      <c r="GJ7" s="161"/>
      <c r="GK7" s="161"/>
      <c r="GL7" s="161"/>
      <c r="GM7" s="161"/>
      <c r="GN7" s="153"/>
      <c r="GO7" s="4">
        <v>7</v>
      </c>
      <c r="GP7" s="4">
        <v>8</v>
      </c>
      <c r="GQ7" s="4">
        <v>9</v>
      </c>
      <c r="GR7" s="4">
        <v>10</v>
      </c>
      <c r="GS7" s="4">
        <v>11</v>
      </c>
      <c r="GT7" s="4">
        <v>12</v>
      </c>
      <c r="GU7" s="4">
        <v>13</v>
      </c>
      <c r="GV7" s="4">
        <v>14</v>
      </c>
      <c r="HM7"/>
      <c r="HN7" s="162" t="s">
        <v>26</v>
      </c>
      <c r="HO7" s="163"/>
      <c r="HP7" s="163"/>
      <c r="HQ7" s="164"/>
      <c r="HR7" s="164"/>
      <c r="HS7" s="163"/>
      <c r="HT7" s="164"/>
      <c r="HU7" s="164"/>
      <c r="HV7" s="163"/>
      <c r="HW7" s="165"/>
      <c r="HX7"/>
      <c r="HY7" s="166" t="s">
        <v>166</v>
      </c>
      <c r="HZ7" s="164"/>
      <c r="IA7" s="163"/>
      <c r="IB7" s="164"/>
      <c r="IC7" s="164"/>
      <c r="ID7" s="163"/>
      <c r="IE7" s="164"/>
      <c r="IF7" s="165"/>
      <c r="IG7"/>
      <c r="IH7" s="153"/>
      <c r="IJ7" s="156" t="str">
        <f>O7</f>
        <v>ALT BARRIERA +29 mm</v>
      </c>
      <c r="IL7" s="155"/>
      <c r="IN7" s="153"/>
      <c r="IO7" s="157"/>
      <c r="IP7" s="167" t="str">
        <f>IJ7</f>
        <v>ALT BARRIERA +29 mm</v>
      </c>
      <c r="IR7" s="155"/>
      <c r="IW7"/>
      <c r="IY7" s="89" t="s">
        <v>167</v>
      </c>
      <c r="IZ7" s="89" t="s">
        <v>168</v>
      </c>
      <c r="JA7" s="89" t="s">
        <v>169</v>
      </c>
      <c r="JB7" s="89" t="s">
        <v>170</v>
      </c>
      <c r="JC7" s="89" t="s">
        <v>171</v>
      </c>
      <c r="JD7"/>
      <c r="JE7"/>
      <c r="JF7"/>
      <c r="JG7"/>
      <c r="JH7"/>
      <c r="JI7"/>
      <c r="JJ7"/>
      <c r="JK7"/>
      <c r="JL7"/>
      <c r="JM7"/>
      <c r="JN7"/>
      <c r="JO7"/>
      <c r="JP7"/>
      <c r="JQ7"/>
      <c r="JR7"/>
      <c r="JS7"/>
      <c r="JT7"/>
      <c r="JU7"/>
      <c r="JV7"/>
      <c r="JW7"/>
      <c r="ML7" s="150" t="s">
        <v>23</v>
      </c>
      <c r="MP7" s="153" t="s">
        <v>172</v>
      </c>
      <c r="MT7" s="150" t="s">
        <v>173</v>
      </c>
      <c r="MX7" s="150" t="s">
        <v>173</v>
      </c>
      <c r="MZ7" s="155"/>
      <c r="NB7" s="150" t="s">
        <v>174</v>
      </c>
      <c r="NR7"/>
      <c r="NS7"/>
      <c r="NT7"/>
      <c r="NU7"/>
      <c r="NV7"/>
      <c r="NW7"/>
      <c r="NX7"/>
      <c r="NY7"/>
      <c r="NZ7"/>
      <c r="OA7"/>
      <c r="OB7"/>
      <c r="OC7"/>
      <c r="OD7"/>
      <c r="OE7"/>
    </row>
    <row r="8" spans="1:412" s="150" customFormat="1" ht="34.5" customHeight="1">
      <c r="A8" s="168">
        <v>1</v>
      </c>
      <c r="B8" s="169" t="str">
        <f>IF(stanza1="","",stanza1)</f>
        <v/>
      </c>
      <c r="C8" s="170" t="str">
        <f>IF(modelloAUTO1="","",modelloAUTO1)</f>
        <v>MODERNA</v>
      </c>
      <c r="D8" s="171">
        <f>IF(pezzi1="","",pezzi1)</f>
        <v>1</v>
      </c>
      <c r="E8" s="172">
        <f>IF(larghezza1="","",LARGortogonalitaADEGUATA1)</f>
        <v>100</v>
      </c>
      <c r="F8" s="173">
        <f>IF(altezza1="","",altezza1)</f>
        <v>80</v>
      </c>
      <c r="G8" s="174" t="str">
        <f t="shared" ref="G8:G23" si="0">IF(MANIGLIAoptional1="","",MANIGLIAoptional1)</f>
        <v/>
      </c>
      <c r="H8" s="175" t="str">
        <f>IF(LATOcomAUTO1="","",LATOcomAUTO1)</f>
        <v>DX (di serie)</v>
      </c>
      <c r="I8" s="176" t="str">
        <f>IF(modelloAUTO1="","",IF(vernBarriera1="","",vernBarriera1))</f>
        <v/>
      </c>
      <c r="J8" s="177" t="str">
        <f>IF(modelloAUTO1=$B$2,IF(PELLICOLA1="","",pezzi1),"")</f>
        <v/>
      </c>
      <c r="K8" s="178" t="str">
        <f t="shared" ref="K8:K23" si="1">IF(SYSTEMantiFURTO1="","",pezzi1)</f>
        <v/>
      </c>
      <c r="M8" s="179" t="str">
        <f>IF(modelloAUTO1=$B$2,IF(PROFlatAUTO1="ESCLUSI","",IF(PROFlatRICH1="","STD",PROFlatRICH1)),"")</f>
        <v/>
      </c>
      <c r="N8" s="180" t="str">
        <f>IF(AND(modelloAUTO1=$B$2,COPERTINAauto1&lt;&gt;""),TIPOcopertina1,"")</f>
        <v/>
      </c>
      <c r="O8" s="181" t="str">
        <f>IF(AND(modelloAUTO1=$B$2,PROFlatAUTO1&lt;&gt;"ESCLUSI"),IF(AND(COPERTINAauto1&lt;&gt;"",ALTprofLATrich1=""),"STD",ALTprofLATrich1*DIECI),"")</f>
        <v/>
      </c>
      <c r="P8" s="176" t="str">
        <f>IF(modelloAUTO1="","",IF(vernPROFlatTEN1="","",vernPROFlatTEN1))</f>
        <v/>
      </c>
      <c r="R8" s="176" t="str">
        <f>IF(PROFoTUBsxRICH1="","",PROFoTUBsxRICH1)</f>
        <v/>
      </c>
      <c r="S8" s="182"/>
      <c r="T8" s="176" t="str">
        <f>IF(modelloAUTO1="","",IF(PROFoTUBdxRICH1="","",PROFoTUBdxRICH1))</f>
        <v/>
      </c>
      <c r="U8" s="182"/>
      <c r="V8" s="183" t="str">
        <f>IF(modelloAUTO1="","",IF(PROFoTUBsxRICH1="","",IF(ALTprofOtubRICHsx1="","SX: STD","SX: "&amp;ALTprofOtubRICHsx1&amp;" - "))&amp;IF(PROFoTUBdxRICH1="","",IF(ALTprofOtubRICHdx1="","  DX: STD","DX :"&amp;ALTprofOtubRICHdx1)))</f>
        <v/>
      </c>
      <c r="W8" s="184" t="str">
        <f>IF(modello1="","",IF(vernPROFoTUBlatSX1="","","SX: "&amp;vernPROFoTUBlatSX1&amp;" - ")&amp;IF(vernPROFoTUBlatDX1="",""," DX: "&amp;vernPROFoTUBlatDX1))</f>
        <v/>
      </c>
      <c r="Y8" s="185" t="str">
        <f>IF(modelloAUTO1="","",IF(OR(larghezza1="",profORIZZ1=""),"",CODpiattoORIZZsugg1))</f>
        <v/>
      </c>
      <c r="Z8" s="186" t="str">
        <f>IF(modelloAUTO1="","",IF(profORIZZ1="","",larghezza1+IF(PROFoTUBsxRICH1="",0,VLOOKUP(PROFoTUBsxRICH1,TABprofOtubLATERALI,COLlargPROFoTUBlat,FALSE))+IF(PROFoTUBdxRICH1="",0,VLOOKUP(PROFoTUBdxRICH1,TABprofOtubLATERALI,COLlargPROFoTUBlat,FALSE))))</f>
        <v/>
      </c>
      <c r="AB8" s="187" t="str">
        <f>IF(modelloAUTO1="","",IF(CODpiantCENTRsugg1="","","N° "&amp;fornPIANTcentr1&amp;"-"&amp;IF(CODpiantCENTRsugg1=0,"ERRORE",CODpiantCENTRsugg1)))</f>
        <v/>
      </c>
      <c r="AC8" s="187" t="str">
        <f ca="1">IF(modelloAUTO1="","",IF(CODpiantCENTRsuggAPPOG1="","","N° "&amp;CODpiantCENTRdiAPPOGGIOrich1&amp;"-"&amp;IF(CODpiantCENTRsuggAPPOG1=0,"ERRORE",CODpiantCENTRsuggAPPOG1)))</f>
        <v/>
      </c>
      <c r="AE8" s="188" t="str">
        <f>IF(modelloAUTO1="","",IF(note_cliente1="","",note_cliente1))</f>
        <v/>
      </c>
      <c r="AF8" s="189">
        <f>IF(PesoTEORICOparatia1="","",PesoTEORICOparatia1)</f>
        <v>8</v>
      </c>
      <c r="AG8" s="190">
        <v>1</v>
      </c>
      <c r="AI8" s="191">
        <f>IF(modelloAUTO1=$B$2,pezzi1*UNO,"")</f>
        <v>1</v>
      </c>
      <c r="AJ8" s="192">
        <f>IF(modelloAUTO1=$B$2,larghezza1,"")</f>
        <v>100</v>
      </c>
      <c r="AK8" s="193">
        <f>IF(modelloAUTO1=$B$2,altezza1,"")</f>
        <v>80</v>
      </c>
      <c r="AL8" s="174" t="str">
        <f t="shared" ref="AL8:AL23" si="2">IF(MANIGLIAoptional1="","",MANIGLIAoptional1)</f>
        <v/>
      </c>
      <c r="AM8" s="173" t="str">
        <f t="shared" ref="AM8:AM23" si="3">IF(LATOcomAUTO1="","",LATOcomAUTO1)</f>
        <v>DX (di serie)</v>
      </c>
      <c r="AN8" s="194"/>
      <c r="AO8"/>
      <c r="AP8" s="195">
        <f>IF(modelloAUTO1=$B$2,IF(PROFlatRICH1="",pezzi1*DUE*VLOOKUP($B$2,tabMODELLI,COLprofiliLATdiserie,FALSE),pezzi1*DUE),"")</f>
        <v>0</v>
      </c>
      <c r="AQ8" s="179" t="str">
        <f>IF(modelloAUTO1=$B$2,IF(PROFlatAUTO1="ESCLUSI","",IF(PROFlatRICH1="","STD",PROFlatRICH1)),"")</f>
        <v/>
      </c>
      <c r="AR8" s="196" t="str">
        <f>IF(AND(modelloAUTO1=$B$2,PROFlatAUTO1&lt;&gt;"ESCLUSI"),IF(ALTprofLATrich1="","STD",ALTprofLATrich1*DIECI),"")</f>
        <v/>
      </c>
      <c r="AT8" s="197" t="str">
        <f>IF(modelloAUTO1=$B$2,IF(TIPOcopertina1="","",TIPOcopertina1),"")</f>
        <v/>
      </c>
      <c r="AV8" s="198" t="str">
        <f>IF(modelloAUTO1=$B$2,IF(vernBarriera1="","STD",vernBarriera1),"")</f>
        <v>STD</v>
      </c>
      <c r="AX8" s="171" t="str">
        <f>IF(modelloAUTO1=$B$2,IF(PROFoTUBsxRICH1="","",pezzi1),"")</f>
        <v/>
      </c>
      <c r="AY8" s="199" t="str">
        <f>IF(modelloAUTO1=$B$2,IF(PROFoTUBsxRICH1="","",PROFoTUBsxRICH1),"")</f>
        <v/>
      </c>
      <c r="AZ8" s="200" t="str">
        <f>IF(AND(modelloAUTO1=$B$2,PROFoTUBsxRICH1&lt;&gt;""),IF(ALTprofOtubRICHsx1="","STD",ALTprofOtubRICHsx1),"")</f>
        <v/>
      </c>
      <c r="BB8" s="201" t="str">
        <f>IF(modelloAUTO1=$B$2,IF(PROFoTUBsxRICH1="","",IF(vernPROFoTUBlatSX1="","STD",vernPROFoTUBlatSX1)),"")</f>
        <v/>
      </c>
      <c r="BD8" s="171" t="str">
        <f>IF(modelloAUTO1=$B$2,IF(PROFoTUBdxRICH1="","",pezzi1),"")</f>
        <v/>
      </c>
      <c r="BE8" s="202" t="str">
        <f>IF(modelloAUTO1=$B$2,IF(PROFoTUBdxRICH1="","",PROFoTUBdxRICH1),"")</f>
        <v/>
      </c>
      <c r="BF8" s="200" t="str">
        <f>IF(AND(modelloAUTO1=$B$2,PROFoTUBdxRICH1&lt;&gt;""),IF(ALTprofOtubRICHdx1="","STD",ALTprofOtubRICHdx1),"")</f>
        <v/>
      </c>
      <c r="BH8" s="203" t="str">
        <f>IF(modelloAUTO1=$B$2,IF(PROFoTUBdxRICH1="","",IF(vernPROFoTUBlatDX1="","STD",vernPROFoTUBlatDX1)),"")</f>
        <v/>
      </c>
      <c r="BJ8" s="204" t="str">
        <f>IF(modelloAUTO1=$B$2,IF(profORIZZ1="","",pezzi1),"")</f>
        <v/>
      </c>
      <c r="BK8" s="205" t="str">
        <f>IF(modelloAUTO1=$B$2,IF(profORIZZ1="","",CODpiattoORIZZsugg1),"")</f>
        <v/>
      </c>
      <c r="BL8" s="206" t="str">
        <f>IF(modelloAUTO1=$B$2,IF(profORIZZ1="","",larghezza1*UNO+IF(PROFoTUBsxRICH1="",ZERO,VLOOKUP(PROFoTUBsxRICH1,TABprofOtubLATERALI,COLlargPROFoTUBlat,FALSE))+IF(PROFoTUBdxRICH1="",ZERO,VLOOKUP(PROFoTUBdxRICH1,TABprofOtubLATERALI,COLlargPROFoTUBlat,FALSE))),"")</f>
        <v/>
      </c>
      <c r="BN8" s="207" t="e">
        <f ca="1">IF(modelloAUTO1=$B$2,INDEX(INDIRECT("TABnCHIAVISTELLOvert"&amp;$B$2),rif_alt1,rif_larg1)*pezzi1,"")</f>
        <v>#REF!</v>
      </c>
      <c r="BO8"/>
      <c r="BP8" s="178" t="str">
        <f t="shared" ref="BP8:BP23" si="4">IF(SYSTEMantiFURTO1="","",pezzi1)</f>
        <v/>
      </c>
      <c r="BQ8" s="208" t="e">
        <f ca="1">IF(modelloAUTO1=$B$2,INDEX(INDIRECT("TABnMANIGLIEsuperiori"&amp;$B$2),rif_alt1,rif_larg1)+INDEX(INDIRECT("TABnMANIGLIEfrontali"&amp;$B$2),rif_alt1,rif_larg1),"")</f>
        <v>#REF!</v>
      </c>
      <c r="BR8" s="191">
        <f>IF(modelloAUTO1=$B$2,pezzi1*DUE,"")</f>
        <v>2</v>
      </c>
      <c r="BS8" s="209" t="e">
        <f ca="1">IF(modelloAUTO1=$B$2,BQ8*DUE,"")</f>
        <v>#REF!</v>
      </c>
      <c r="BT8" s="209">
        <f>IF(modelloAUTO1=$B$2,BR8*TRE,"")</f>
        <v>6</v>
      </c>
      <c r="BU8" s="191">
        <f>IF(modelloAUTO1=$B$2,pezzi1*DUE,"")</f>
        <v>2</v>
      </c>
      <c r="BV8" s="191">
        <f>IF(modelloAUTO1=$B$2,pezzi1*DUE,"")</f>
        <v>2</v>
      </c>
      <c r="BW8" s="191">
        <f>IF(modelloAUTO1=$B$2,pezzi1*DUE,"")</f>
        <v>2</v>
      </c>
      <c r="BX8" s="191">
        <f>IF(modelloAUTO1=$B$2,pezzi1*DUE,"")</f>
        <v>2</v>
      </c>
      <c r="BY8" s="191">
        <f>IF(modelloAUTO1=$B$2,pezzi1*DUE,"")</f>
        <v>2</v>
      </c>
      <c r="CA8" s="210" t="str">
        <f>IF(modelloAUTO1=$B$2,IF(fornPIANTcentr1="","",fornPIANTcentr1*pezzi1),"")</f>
        <v/>
      </c>
      <c r="CB8" s="210" t="str">
        <f>IF(modelloAUTO1=$B$2,IF(fornPIANTcentr1="","",CODpiantCENTRsugg1),"")</f>
        <v/>
      </c>
      <c r="CD8" s="210" t="str">
        <f ca="1">IF(modelloAUTO1=$B$2,IF(CODpiantCENTRsuggAPPOG1="","",CODpiantCENTRdiAPPOGGIOrich1),"")</f>
        <v/>
      </c>
      <c r="CE8" s="210" t="str">
        <f ca="1">IF(modelloAUTO1=$B$2,IF(CODpiantCENTRsuggAPPOG1="","",CODpiantCENTRsuggAPPOG1),"")</f>
        <v/>
      </c>
      <c r="CG8" s="168">
        <v>1</v>
      </c>
      <c r="CI8" s="211">
        <f>IF(modelloAUTO1=$B$2,altezza1*DIECI/FLOOR(VLOOKUP($B$2,tabMODELLI,COLcoefALTdogaSORMONTATAda200,FALSE),UNO)*pezzi1,"")</f>
        <v>4</v>
      </c>
      <c r="CJ8" s="212">
        <f>IF(modelloAUTO1=$B$2,larghezza1*DIECI-VLOOKUP($B$2,tabMODELLI,COLcoeffTAGLIOdogaOPPURElastraINlarg,FALSE)-VLOOKUP(PROFlatAUTO1,TABprofLATten,COLcoeffCALOdoga,FALSE),"")</f>
        <v>806</v>
      </c>
      <c r="CK8"/>
      <c r="CL8" s="213">
        <f>IF(modelloAUTO1=$B$2,(altezza1*DIECI/FLOOR(VLOOKUP($B$2,tabMODELLI,COLcoefALTdogaSORMONTATAda200,FALSE),CENTO)-FLOOR(altezza1*DIECI/FLOOR(VLOOKUP($B$2,tabMODELLI,COLcoefALTdogaSORMONTATAda200,FALSE),CENTO),UNO))*pezzi1,"")</f>
        <v>0</v>
      </c>
      <c r="CM8" s="214">
        <f>IF(modelloAUTO1=$B$2,(((altezza1*DIECI-VLOOKUP($B$2,tabMODELLI,COLcoeffCALOtaglioPANNELLObarrieraMONOLITICOoASSEMBLATOInALT,FALSE))/VLOOKUP($B$2,tabMODELLI,colALTnominaleDOGAmm,FALSE)-(FLOOR(altezza1*DIECI/FLOOR(VLOOKUP($B$2,tabMODELLI,COLcoefALTdogaSORMONTATAda200,FALSE),CENTO),UNO)))*(VLOOKUP($B$2,tabMODELLI,colALTnominaleDOGAmm,FALSE))),"")</f>
        <v>0</v>
      </c>
      <c r="CN8" s="203" t="str">
        <f>IF(modelloAUTO1=$B$2,IF(vernBarriera1="","STD",vernBarriera1),"")</f>
        <v>STD</v>
      </c>
      <c r="CO8" s="174" t="str">
        <f t="shared" ref="CO8:CO23" si="5">IF(MANIGLIAoptional1="","",MANIGLIAoptional1)</f>
        <v/>
      </c>
      <c r="CP8" s="215" t="str">
        <f>IF(modelloAUTO1=$B$2,LATOcomAUTO1,"")</f>
        <v>DX (di serie)</v>
      </c>
      <c r="CQ8"/>
      <c r="CR8" s="216">
        <f>IF(modelloAUTO1=$B$2,pezzi1*UNO,"")</f>
        <v>1</v>
      </c>
      <c r="CS8" s="212">
        <f>IF(modelloAUTO1=$B$2,altezza1*DIECI+VLOOKUP($B$2,tabMODELLI,COLcoeffTAGLIOPROFILIlateraliEverticaliAttaccatiALLAbarriera,FALSE),"")</f>
        <v>813</v>
      </c>
      <c r="CT8" s="217" t="str">
        <f>IF(modelloAUTO1=$B$2,"|90° 90°|","")</f>
        <v>|90° 90°|</v>
      </c>
      <c r="CU8" s="218"/>
      <c r="CV8" s="219">
        <f>IF(modelloAUTO1=$B$2,pezzi1*DUE,"")</f>
        <v>2</v>
      </c>
      <c r="CW8" s="220">
        <f>IF(modelloAUTO1=$B$2,larghezza1*DIECI-VLOOKUP($B$2,tabMODELLI,COLcoeffTAGLIOPROFILIlateraliEverticaliAttaccatiALLAbarriera,FALSE),"")</f>
        <v>987</v>
      </c>
      <c r="CX8" s="217" t="str">
        <f>IF(CV8="","","\45° 45°/")</f>
        <v>\45° 45°/</v>
      </c>
      <c r="CY8" s="221"/>
      <c r="CZ8" s="222" t="str">
        <f>IF(modelloAUTO1=$B$2,PROFlatAUTO1,"")</f>
        <v>ESCLUSI</v>
      </c>
      <c r="DA8" s="223">
        <f>IF(modelloAUTO1=$B$2,pezzi1,"")</f>
        <v>1</v>
      </c>
      <c r="DB8" s="217">
        <f>IF(modelloAUTO1=$B$2,altezza1*DIECI-VLOOKUP(PROFlatAUTO1,TABprofLATten,COLsfioroPROFtenLATrispettoALvano,FALSE),"")</f>
        <v>800</v>
      </c>
      <c r="DC8" s="217" t="str">
        <f>IF(modelloAUTO1=$B$2,"|90° 45°/","")</f>
        <v>|90° 45°/</v>
      </c>
      <c r="DD8" s="224"/>
      <c r="DE8" s="223">
        <f>IF(modelloAUTO1=$B$2,pezzi1,"")</f>
        <v>1</v>
      </c>
      <c r="DF8" s="217">
        <f>IF(modelloAUTO1=$B$2,larghezza1*DIECI-(VLOOKUP(PROFlatAUTO1,TABprofLATten,COLsfioroPROFtenLATrispettoALvano,FALSE)*DUE),"")</f>
        <v>1000</v>
      </c>
      <c r="DG8" s="217" t="str">
        <f>IF(modelloAUTO1=$B$2,"\45° 90°|","")</f>
        <v>\45° 90°|</v>
      </c>
      <c r="DH8" s="224"/>
      <c r="DI8" s="223">
        <f>IF(modelloAUTO1=$B$2,pezzi1,"")</f>
        <v>1</v>
      </c>
      <c r="DJ8" s="217">
        <f>IF(modelloAUTO1=$B$2,altezza1*DIECI-VLOOKUP(PROFlatAUTO1,TABprofLATten,COLsfioroPROFtenLATrispettoALvano,FALSE),"")</f>
        <v>800</v>
      </c>
      <c r="DK8" s="217" t="str">
        <f>IF(modelloAUTO1=$B$2,"\45° 45°/","")</f>
        <v>\45° 45°/</v>
      </c>
      <c r="DL8" s="225"/>
      <c r="DM8" s="226">
        <f t="shared" ref="DM8" si="6">IF(modelloAUTO1=$B$2,pezzi1,"")</f>
        <v>1</v>
      </c>
      <c r="DN8" s="226">
        <f t="shared" ref="DN8" si="7">IF(modelloAUTO1=$B$2,larghezza1*DIECI,"")</f>
        <v>1000</v>
      </c>
      <c r="DO8" s="227" t="str">
        <f t="shared" ref="DO8" si="8">IF(modelloAUTO1=$B$2,"|90° 90°|","")</f>
        <v>|90° 90°|</v>
      </c>
      <c r="DP8" s="221"/>
      <c r="DQ8" s="228">
        <f t="shared" ref="DQ8" si="9">IF(modelloAUTO1=$B$2,DIMprimoFOROdalPAVIMENTOperFISSAGGIOprofiloDItenutaLATERALE*DIECI,"")</f>
        <v>75</v>
      </c>
      <c r="DR8" s="228" t="e">
        <f ca="1">IF(modelloAUTO1=$B$2,IF(VLOOKUP(altezza1,INDIRECT("tabNfissaggi"&amp;$B$2),INDIRECT("colNfiSsaggi"&amp;$B$2),TRUE)&lt;DR$6,"",(IF(VLOOKUP(altezza1,INDIRECT("tabNfissaggi"&amp;$B$2),INDIRECT("colNfiSsaggi"&amp;$B$2),FALSE)=DR$6,altezza1*DIECI-DIMprimoFOROdalPAVIMENTOperFISSAGGIOprofiloDItenutaLATERALE,DQ8+(((altezza1*DIECI-DIMprimoFOROdalPAVIMENTOperFISSAGGIOprofiloDItenutaLATERALE*DIECI*DUE))/(VLOOKUP((altezza1),INDIRECT("tabNfissaggi"&amp;$B$2),INDIRECT("colNfiSsaggi"&amp;$B$2),FALSE)-UNO))))),"")</f>
        <v>#REF!</v>
      </c>
      <c r="DS8" s="228" t="e">
        <f ca="1">IF(modelloAUTO1=$B$2,IF(VLOOKUP(altezza1,INDIRECT("tabNfissaggi"&amp;$B$2),INDIRECT("colNfiSsaggi"&amp;$B$2),TRUE)&lt;DS$6,"",(IF(VLOOKUP(altezza1,INDIRECT("tabNfissaggi"&amp;$B$2),INDIRECT("colNfiSsaggi"&amp;$B$2),FALSE)=DS$6,altezza1*DIECI-DIMprimoFOROdalPAVIMENTOperFISSAGGIOprofiloDItenutaLATERALE,DR8+(((altezza1*DIECI-DIMprimoFOROdalPAVIMENTOperFISSAGGIOprofiloDItenutaLATERALE*DIECI*DUE))/(VLOOKUP((altezza1),INDIRECT("tabNfissaggi"&amp;$B$2),INDIRECT("colNfiSsaggi"&amp;$B$2),FALSE)-UNO))))),"")</f>
        <v>#REF!</v>
      </c>
      <c r="DT8" s="228" t="e">
        <f ca="1">IF(modelloAUTO1=$B$2,IF(VLOOKUP(altezza1,INDIRECT("tabNfissaggi"&amp;$B$2),INDIRECT("colNfiSsaggi"&amp;$B$2),TRUE)&lt;DT$6,"",(IF(VLOOKUP(altezza1,INDIRECT("tabNfissaggi"&amp;$B$2),INDIRECT("colNfiSsaggi"&amp;$B$2),FALSE)=DT$6,altezza1*DIECI-DIMprimoFOROdalPAVIMENTOperFISSAGGIOprofiloDItenutaLATERALE,DS8+(((altezza1*DIECI-DIMprimoFOROdalPAVIMENTOperFISSAGGIOprofiloDItenutaLATERALE*DIECI*DUE))/(VLOOKUP((altezza1),INDIRECT("tabNfissaggi"&amp;$B$2),INDIRECT("colNfiSsaggi"&amp;$B$2),FALSE)-UNO))))),"")</f>
        <v>#REF!</v>
      </c>
      <c r="DU8" s="228" t="e">
        <f ca="1">IF(modelloAUTO1=$B$2,IF(VLOOKUP(altezza1,INDIRECT("tabNfissaggi"&amp;$B$2),INDIRECT("colNfiSsaggi"&amp;$B$2),TRUE)&lt;DU$6,"",(IF(VLOOKUP(altezza1,INDIRECT("tabNfissaggi"&amp;$B$2),INDIRECT("colNfiSsaggi"&amp;$B$2),FALSE)=DU$6,altezza1*DIECI-DIMprimoFOROdalPAVIMENTOperFISSAGGIOprofiloDItenutaLATERALE,DT8+(((altezza1*DIECI-DIMprimoFOROdalPAVIMENTOperFISSAGGIOprofiloDItenutaLATERALE*DIECI*DUE))/(VLOOKUP((altezza1),INDIRECT("tabNfissaggi"&amp;$B$2),INDIRECT("colNfiSsaggi"&amp;$B$2),FALSE)-UNO))))),"")</f>
        <v>#REF!</v>
      </c>
      <c r="DV8" s="221"/>
      <c r="DW8" s="229">
        <f t="shared" ref="DW8" si="10">IF(modelloAUTO1=$B$2,(PRIMOforoNELLantaPARTENDOdaLBASSOclose-VLOOKUP($B$2,tabMODELLI,COLcoeffALTprofiloSogliaRimanenteSOTTOalTELAIOperimetrale,FALSE)),"")</f>
        <v>120</v>
      </c>
      <c r="DX8" s="230">
        <f>IF(modelloAUTO1=$B$2,DW8+INTERASSSEforiANTAcernieraSAVIOmechanica,"")</f>
        <v>142.5</v>
      </c>
      <c r="DY8" s="231">
        <f>IF(modelloAUTO1=$B$2,INDEX(TABforoBASSOcernieraNELLantaCONdogaCLICKRAPIDnellANTACONsavIOMECHANICA,UNO,MATCH(((CJ8)/DUE),TABforoBASSOcernieraNELLantaCONdogaCLICKRAPIDnellANTACONsavIOMECHANICA,UNO)),"")</f>
        <v>320</v>
      </c>
      <c r="DZ8" s="232">
        <f t="shared" ref="DZ8" si="11">IF(modelloAUTO1=$B$2,DY8+INTERASSSEforiANTAcernieraSAVIOmechanica,"")</f>
        <v>342.5</v>
      </c>
      <c r="EA8" s="231">
        <f>IF(modelloAUTO1=$B$2,INDEX(TABforoBASSOcernieraNELLantaCONdogaCLICKRAPIDnellANTACONsavIOMECHANICA,UNO,MATCH((CJ8-ALTEZZAcerNIERAcomMPOSTAdalle2aliMECHANICA-altezzaALAcanalinoDA35X35X2),TABforoBASSOcernieraNELLantaCONdogaCLICKRAPIDnellANTACONsavIOMECHANICA,UNO)),"")</f>
        <v>640</v>
      </c>
      <c r="EB8" s="232">
        <f t="shared" ref="EB8" si="12">IF(modelloAUTO1=$B$2,EA8+INTERASSSEforiANTAcernieraSAVIOmechanica,"")</f>
        <v>662.5</v>
      </c>
      <c r="EC8" s="233"/>
      <c r="ED8" s="234" t="str">
        <f>IF(modelloAUTO1=$B$2,"a: "&amp;DW8+INTERASSSEforiANTAcernieraSAVIOmechanica/DUE,"")</f>
        <v>a: 131,25</v>
      </c>
      <c r="EE8" s="234" t="str">
        <f>IF(modelloAUTO1=$B$2,"a: "&amp;DY8+INTERASSSEforiANTAcernieraSAVIOmechanica/DUE,"")</f>
        <v>a: 331,25</v>
      </c>
      <c r="EF8" s="234" t="str">
        <f>IF(modelloAUTO1=$B$2,"a: "&amp;EA8+INTERASSSEforiANTAcernieraSAVIOmechanica/DUE,"")</f>
        <v>a: 651,25</v>
      </c>
      <c r="EG8"/>
      <c r="EH8" s="235">
        <f t="shared" ref="EH8" si="13">IF(modelloAUTO1=$B$2,pezzi1,"")</f>
        <v>1</v>
      </c>
      <c r="EI8" s="235">
        <f t="shared" ref="EI8" si="14">IF(modelloAUTO1=$B$2,INTERASSEforoPERnottolinoDIcomandoMANIGLIAdiCHIUSURAaLEVAclose,"")</f>
        <v>55</v>
      </c>
      <c r="EJ8" s="236">
        <f t="shared" ref="EJ8" si="15">IF(modelloAUTO1=$B$2,ALTCentroNOTTOLINOpartendoDALbassodellaDOGA,"")</f>
        <v>155</v>
      </c>
      <c r="EK8"/>
      <c r="EL8" s="216">
        <f>IF(modelloAUTO1=$B$2,pezzi1*UNO,"")</f>
        <v>1</v>
      </c>
      <c r="EM8" s="212">
        <f>IF(modelloAUTO1=$B$2,altezza1*DIECI+VLOOKUP($B$2,tabMODELLI,COLcoeffTAGLIOPROFILOdiAGGANCIOsistemaMODERNA,FALSE),"")</f>
        <v>812.5</v>
      </c>
      <c r="EN8"/>
      <c r="EO8" s="216">
        <f>IF(modelloAUTO1=$B$2,pezzi1*UNO,"")</f>
        <v>1</v>
      </c>
      <c r="EP8" s="212">
        <f>IF(modelloAUTO1=$B$2,altezza1*DIECI+VLOOKUP($B$2,tabMODELLI,COLcoeffTAGLIOPROFILOdiAGGANCIOsistemaMODERNA,FALSE),"")</f>
        <v>812.5</v>
      </c>
      <c r="EQ8"/>
      <c r="ER8" s="216">
        <f>IF(modelloAUTO1=$B$2,pezzi1*UNO,"")</f>
        <v>1</v>
      </c>
      <c r="ES8" s="212">
        <f>IF(modelloAUTO1=$B$2,altezza1*DIECI+VLOOKUP($B$2,tabMODELLI,COLcoeffTAGLIOPROFILIlateraliEverticaliAttaccatiALLAbarriera,FALSE),"")</f>
        <v>813</v>
      </c>
      <c r="ET8" s="218"/>
      <c r="EU8" s="191">
        <f>IF(modelloAUTO1=$B$2,IF(PROFlatRICH1="",pezzi1*DUE*VLOOKUP($B$2,tabMODELLI,COLprofiliLATdiserie,FALSE),pezzi1*DUE),"")</f>
        <v>0</v>
      </c>
      <c r="EV8" s="179" t="str">
        <f>IF(modelloAUTO1=$B$2,IF(PROFlatRICH1="","STD",PROFlatRICH1),"")</f>
        <v>STD</v>
      </c>
      <c r="EW8" s="237" t="str">
        <f>IF(modelloAUTO1=$B$2,IF(TIPOcopertina1="","",TIPOcopertina1),"")</f>
        <v/>
      </c>
      <c r="EX8" s="238">
        <f>IF(modelloAUTO1=$B$2,VLOOKUP($B$2,tabMODELLI,COLcoeffALTguarnINFERIOREschiacciata,FALSE)+(VLOOKUP($B$2,tabMODELLI,COLcoefALTdogaREALEda200,FALSE)+(VLOOKUP($B$2,tabMODELLI,COLcoefALTdogaSORMONTATAda200,FALSE)*(CEILING(altezza1*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824.5</v>
      </c>
      <c r="EZ8" s="239" t="e">
        <f ca="1">IF(OR(modelloAUTO1=$B$2,modelloAUTO1=CLICK_RAPIDxPRIVATO),INDEX(INDIRECT("TABnCHIAVISTELLOvert"&amp;$B$2),rif_alt1,rif_larg1)*pezzi1,"")</f>
        <v>#REF!</v>
      </c>
      <c r="FA8" s="240" t="str">
        <f ca="1">IF(modelloAUTO1=$B$2,IF(AND(nCatenacci1&lt;&gt;"",profORIZZ1&lt;&gt;""),spessoreCATENACCIOverticale60X15X300,""),"")</f>
        <v/>
      </c>
      <c r="FB8" s="241" t="e">
        <f ca="1">IF(nCatenacci1=ZERO,"",(CJ8+QUATTRO-(IF(nCatenacci1="",ZERO,SESSANTA*(nCatenacci1/PZCLICK_RAPID1))))/((nCatenacci1/PZCLICK_RAPID1)+UNO))</f>
        <v>#VALUE!</v>
      </c>
      <c r="FD8" s="242" t="e">
        <f ca="1">IF(modelloAUTO1=$B$2,INDEX(INDIRECT("TABnMANIGLIEsuperiori"&amp;$B$2),rif_alt1,rif_larg1),"")</f>
        <v>#REF!</v>
      </c>
      <c r="FE8" s="243" t="e">
        <f ca="1">IF(modelloAUTO1=$B$2,(larghezza1-CATENACCIOLOorizzontaleINGOMBROclick_rapid-DUE)/INDEX(INDIRECT("TABnMANIGLIEsuperiori"&amp;$B$2),rif_alt1,rif_larg1),"")</f>
        <v>#REF!</v>
      </c>
      <c r="FG8" s="244" t="e">
        <f ca="1">IF(modelloAUTO1=$B$2,INDEX(INDIRECT("TABnMANIGLIEfrontali"&amp;$B$2),rif_alt1,rif_larg1),"")</f>
        <v>#REF!</v>
      </c>
      <c r="FH8"/>
      <c r="FI8" s="245">
        <f t="shared" ref="FI8" si="16">((larghezza1*DIECI-COEFFlargCOMPLESSIVAdelKITcerniere_GANCIOassemblato))</f>
        <v>739</v>
      </c>
      <c r="FJ8" s="245">
        <f t="shared" ref="FJ8:FJ23" si="17">((H_MODERNA/TREDICI*MILLE))/DOGA_MODERNA_200</f>
        <v>19.453363192402126</v>
      </c>
      <c r="FK8" s="245">
        <f t="shared" ref="FK8:FK23" si="18">pesoMANIGLIAmoderna</f>
        <v>0.4001326</v>
      </c>
      <c r="FL8" s="246">
        <f>(altezza1+TREDICI/DIECI)/CENTO*(CERNIERA_TUBOLARE_MODERNA+CERNIERA_APERTA_MODERNA+UNCINO)+(altezza1/(VLOOKUP($B$2,tabMODELLI,COLcoefALTdogaSORMONTATAda200,FALSE)/DIECI)*COEFFdogaINSERITAnellaCERNIERAaertaFINOallaFINEdelGANCIO*VLOOKUP($B$2,tabMODELLI,COLpesoALKGmlDOGA,FALSE))</f>
        <v>6.9634789999999995</v>
      </c>
      <c r="FM8" s="247">
        <f t="shared" ref="FM8:FM13" si="19">COEFFpesoSPEZZONEdiDOGArifilataEtub30x30</f>
        <v>0.18663999999999997</v>
      </c>
      <c r="FN8" s="247">
        <f t="shared" ref="FN8" si="20">altezza1/(VLOOKUP($B$2,tabMODELLI,COLcoefALTdogaSORMONTATAda200,FALSE)/DIECI)*((((larghezza1-(COEFFlargCOMPLESSIVAdelKITcerniere_GANCIOassemblato/DIECI))/CENTO)*VLOOKUP($B$2,tabMODELLI,COLpesoALKGmlDOGA,FALSE)))</f>
        <v>8.4275560000000009</v>
      </c>
      <c r="FO8" s="247">
        <f>larghezza1/CENTO*PESOguarnORIZZmodernaKG\ML</f>
        <v>0.3</v>
      </c>
      <c r="FP8" s="247">
        <f>(altezza1/(VLOOKUP($B$2,tabMODELLI,COLcoefALTdogaSORMONTATAda200,FALSE)/DIECI)-UNO)*((((larghezza1-(COEFFlargCOMPLESSIVAdelKITcerniere_GANCIOassemblato/DIECI))/CENTO)*pesoALmlDOPPIAsiliconaturaINunaDOGA))</f>
        <v>1.5519000000000003</v>
      </c>
      <c r="FQ8" s="247">
        <f>(altezza1/CENTO*H_MODERNA)</f>
        <v>0.57679999999999998</v>
      </c>
      <c r="FR8" s="248">
        <f t="shared" ref="FR8:FR23" si="21">SUM(FK8:FQ8)/DUE</f>
        <v>9.2032537999999988</v>
      </c>
      <c r="FS8" s="248">
        <f t="shared" ref="FS8:FS23" si="22">(FI8+19)/1000*PESOguarnORIZZmodernaKG\ML</f>
        <v>0.22739999999999999</v>
      </c>
      <c r="FT8" s="249">
        <f>(FN8+FP8+FS8)/FI8</f>
        <v>1.3811713125845738E-2</v>
      </c>
      <c r="FU8" s="249">
        <f>FN8+FP8+FQ8+FS8</f>
        <v>10.783656000000001</v>
      </c>
      <c r="FV8" s="249">
        <f>FU8-FR8</f>
        <v>1.5804022000000018</v>
      </c>
      <c r="FW8" s="249">
        <f t="shared" ref="FW8:FW23" si="23">IF(FV8&lt;ZERO,FV8*FT8,0)</f>
        <v>0</v>
      </c>
      <c r="FX8" s="246">
        <f>FR8-FQ8</f>
        <v>8.6264537999999984</v>
      </c>
      <c r="FY8" s="250">
        <f t="shared" ref="FY8:FY23" si="24">IF(modelloAUTO1=$B$2,FX8/FT8-19+FW8,"")</f>
        <v>605.57522259547886</v>
      </c>
      <c r="FZ8"/>
      <c r="GA8" s="251"/>
      <c r="GB8" s="251"/>
      <c r="GC8" s="251"/>
      <c r="GD8" s="251"/>
      <c r="GE8" s="251"/>
      <c r="GF8" s="251"/>
      <c r="GG8" s="251"/>
      <c r="GH8"/>
      <c r="GI8" s="252">
        <f>IF(modelloAUTO1=$B$2,IF(PROFlatRICH1="",pezzi1*UNO*VLOOKUP($B$2,tabMODELLI,COLnMANIGLIAasportabile,FALSE),pezzi1*UNO),"")</f>
        <v>1</v>
      </c>
      <c r="GJ8" s="252">
        <f>IF(modelloAUTO1=$B$2,pezzi1*DUE,"")</f>
        <v>2</v>
      </c>
      <c r="GK8" s="252">
        <f>IF(modelloAUTO1=$B$2,pezzi1*UNO,"")</f>
        <v>1</v>
      </c>
      <c r="GL8" s="253">
        <f>IF(modelloAUTO1=$B$2,IF(SYSTEMantiFURTO1&lt;&gt;"",VLOOKUP($B$2,TABsistemaANTIFURTO,COLusoVITEdISERIE,FALSE),pezzi1),"")</f>
        <v>1</v>
      </c>
      <c r="GM8" s="252">
        <f>IF(modelloAUTO1=$B$2,pezzi1*UNO,"")</f>
        <v>1</v>
      </c>
      <c r="GN8" s="252">
        <f ca="1">IF(modelloAUTO1=$B$2,NmaniglieDItrasporto1*DUE,"")</f>
        <v>2</v>
      </c>
      <c r="GO8" s="254">
        <f>IF(modelloAUTO1=$B$2,pezzi1*QUINDICI,"")</f>
        <v>15</v>
      </c>
      <c r="GP8" s="254">
        <f>IF(modelloAUTO1=$B$2,pezzi1*DUE,"")</f>
        <v>2</v>
      </c>
      <c r="GQ8" s="254">
        <f>IF(modelloAUTO1=$B$2,pezzi1*DUE,"")</f>
        <v>2</v>
      </c>
      <c r="GR8" s="254">
        <f>IF(modelloAUTO1=$B$2,pezzi1*UNO,"")</f>
        <v>1</v>
      </c>
      <c r="GS8" s="254">
        <f>IF(modelloAUTO1=$B$2,pezzi1*DUE,"")</f>
        <v>2</v>
      </c>
      <c r="GT8" s="254">
        <f>IF(modelloAUTO1=$B$2,pezzi1*DUE,"")</f>
        <v>2</v>
      </c>
      <c r="GU8" s="254">
        <f>IF(modelloAUTO1=$B$2,pezzi1*DUE,"")</f>
        <v>2</v>
      </c>
      <c r="GV8" s="254">
        <f>IF(modelloAUTO1=$B$2,pezzi1*DUE,"")</f>
        <v>2</v>
      </c>
      <c r="GW8" s="251"/>
      <c r="GX8" s="251"/>
      <c r="GY8" s="251"/>
      <c r="GZ8" s="251"/>
      <c r="HA8" s="251"/>
      <c r="HB8" s="251"/>
      <c r="HC8" s="251"/>
      <c r="HD8" s="251"/>
      <c r="HE8" s="251"/>
      <c r="HF8" s="251"/>
      <c r="HG8" s="251"/>
      <c r="HH8" s="251"/>
      <c r="HI8" s="251"/>
      <c r="HJ8" s="251"/>
      <c r="HK8" s="251"/>
      <c r="HL8" s="251"/>
      <c r="HN8" s="255">
        <f>IF(modelloAUTO1=$B$2,IF(PROFlatRICH1="",pezzi1*VLOOKUP($B$2,tabMODELLI,COLnGUARNorizzINFERIOREbarriera,FALSE),pezzi1),"")</f>
        <v>1</v>
      </c>
      <c r="HO8" s="256">
        <f>IF(modelloAUTO1=$B$2,IF(VLOOKUP($B$2,tabMODELLI,COLnGUARNorizzINFERIOREbarriera,FALSE)="","",larghezza1),"")</f>
        <v>100</v>
      </c>
      <c r="HQ8" s="255">
        <f>IF(modelloAUTO1=$B$2,IF(PROFlatRICH1="",pezzi1*DUE*VLOOKUP($B$2,tabMODELLI,COLnGUARNorizzINTERMEDIEbarriera,FALSE),pezzi1*DUE),"")</f>
        <v>0</v>
      </c>
      <c r="HR8" s="256" t="str">
        <f>IF(modelloAUTO1=$B$2,IF(VLOOKUP($B$2,tabMODELLI,COLnGUARNorizzINTERMEDIEbarriera,FALSE)="","",larghezza1),"")</f>
        <v/>
      </c>
      <c r="HT8" s="255">
        <f>IF(modelloAUTO1=$B$2,IF(PROFlatRICH1="",pezzi1*UNO*VLOOKUP($B$2,tabMODELLI,COLnGUARNvertBARRIERA,FALSE),pezzi1*UNO),"")</f>
        <v>2</v>
      </c>
      <c r="HU8" s="256">
        <f>IF(modelloAUTO1=$B$2,IF(VLOOKUP($B$2,tabMODELLI,COLnGUARNvertBARRIERA,FALSE)="","",altezza1),"")</f>
        <v>80</v>
      </c>
      <c r="HV8"/>
      <c r="HW8" s="255">
        <f>IF(modelloAUTO1=$B$2,IF(PROFlatRICH1="",pezzi1*VLOOKUP($B$2,tabMODELLI,COLnTAPPIdiGIUNZIONEguarnORIZZconVERT,FALSE),pezzi1),"")</f>
        <v>0</v>
      </c>
      <c r="HX8"/>
      <c r="HY8" s="255">
        <f>IF(modelloAUTO1=$B$2,IF(PROFlatRICH1="",pezzi1*VLOOKUP($B$2,tabMODELLI,COLnGUARNorizzPROFILOdiTENUTAlaterale,FALSE),pezzi1),"")</f>
        <v>0</v>
      </c>
      <c r="HZ8" s="256" t="str">
        <f>IF(modelloAUTO1=$B$2,IF(VLOOKUP($B$2,tabMODELLI,COLnGUARNorizzPROFILOdiTENUTAlaterale,FALSE)="","",altezza1),"")</f>
        <v/>
      </c>
      <c r="IA8"/>
      <c r="IB8" s="255">
        <f>IF(modelloAUTO1=$B$2,IF(PROFlatRICH1="",pezzi1*VLOOKUP($B$2,tabMODELLI,COLnGUARNvertPROFILOdiTENUTAlaterale,FALSE),pezzi1),"")</f>
        <v>0</v>
      </c>
      <c r="IC8" s="256" t="str">
        <f>IF(modelloAUTO1=$B$2,IF(VLOOKUP($B$2,tabMODELLI,COLnGUARNvertPROFILOdiTENUTAlaterale,FALSE)="","",altezza1),"")</f>
        <v/>
      </c>
      <c r="ID8"/>
      <c r="IE8" s="255">
        <f>IF(modelloAUTO1=$B$2,IF(PROFlatRICH1="",pezzi1*VLOOKUP($B$2,tabMODELLI,COLnPROFILIinNYLON,FALSE),pezzi1),"")</f>
        <v>0</v>
      </c>
      <c r="IF8" s="256" t="str">
        <f>IF(modelloAUTO1=$B$2,IF(VLOOKUP($B$2,tabMODELLI,COLnPROFILIinNYLON,FALSE)="","",altezza1),"")</f>
        <v/>
      </c>
      <c r="IH8" s="171" t="str">
        <f>IF(modelloAUTO1=$B$2,IF(PROFoTUBsxRICH1="","",pezzi1),"")</f>
        <v/>
      </c>
      <c r="II8" s="199" t="str">
        <f>IF(modelloAUTO1=$B$2,IF(PROFoTUBsxRICH1="","",PROFoTUBsxRICH1),"")</f>
        <v/>
      </c>
      <c r="IJ8" s="257" t="str">
        <f>IF(AND(modelloAUTO1=$B$2,PROFoTUBsxRICH1&lt;&gt;""),IF(ALTprofOtubRICHsx1="","STD",ALTprofOtubRICHsx1*DIECI),"")</f>
        <v/>
      </c>
      <c r="IL8" s="201" t="str">
        <f>IF(modelloAUTO1=$B$2,IF(PROFoTUBsxRICH1="","",IF(vernPROFoTUBlatSX1="","STD",vernPROFoTUBlatSX1)),"")</f>
        <v/>
      </c>
      <c r="IN8" s="171" t="str">
        <f>IF(modelloAUTO1=$B$2,IF(PROFoTUBdxRICH1="","",pezzi1),"")</f>
        <v/>
      </c>
      <c r="IO8" s="202" t="str">
        <f>IF(modelloAUTO1=$B$2,IF(PROFoTUBdxRICH1="","",PROFoTUBdxRICH1),"")</f>
        <v/>
      </c>
      <c r="IP8" s="257" t="str">
        <f>IF(AND(modelloAUTO1=$B$2,PROFoTUBdxRICH1&lt;&gt;""),IF(ALTprofOtubRICHdx1="","STD",ALTprofOtubRICHdx1*DIECI),"")</f>
        <v/>
      </c>
      <c r="IR8" s="203" t="str">
        <f>IF(modelloAUTO1=$B$2,IF(PROFoTUBdxRICH1="","",IF(vernPROFoTUBlatDX1="","STD",vernPROFoTUBlatDX1)),"")</f>
        <v/>
      </c>
      <c r="IT8" s="204" t="str">
        <f>IF(modelloAUTO1=$B$2,IF(profORIZZ1="","",pezzi1),"")</f>
        <v/>
      </c>
      <c r="IU8" s="205" t="str">
        <f>IF(modelloAUTO1=$B$2,IF(profORIZZ1="","",CODpiattoORIZZsugg1),"")</f>
        <v/>
      </c>
      <c r="IV8" s="206" t="str">
        <f>IF(modelloAUTO1=$B$2,IF(profORIZZ1="","",larghezza1*DIECI+IF(PROFoTUBsxRICH1="",ZERO,VLOOKUP(PROFoTUBsxRICH1,TABprofOtubLATERALI,COLlargPROFoTUBlat,FALSE))+IF(PROFoTUBdxRICH1="",ZERO,VLOOKUP(PROFoTUBdxRICH1,TABprofOtubLATERALI,COLlargPROFoTUBlat,FALSE))),"")</f>
        <v/>
      </c>
      <c r="IW8"/>
      <c r="IX8" s="168">
        <v>1</v>
      </c>
      <c r="IY8" s="258" t="str">
        <f>IF(AND(modelloAUTO1=$B$2,SYSTEMantiFURTO1&lt;&gt;""),VLOOKUP($B$2,TABsistemaANTIFURTO,COLlucchetto,FALSE),"")</f>
        <v/>
      </c>
      <c r="IZ8" s="258" t="str">
        <f>IF(AND(modelloAUTO1=$B$2,SYSTEMantiFURTO1&lt;&gt;""),VLOOKUP($B$2,TABsistemaANTIFURTO,COLaccessorioANTIFURTO2,FALSE),"")</f>
        <v/>
      </c>
      <c r="JA8" s="258" t="str">
        <f>IF(AND(modelloAUTO1=$B$2,SYSTEMantiFURTO1&lt;&gt;""),VLOOKUP($B$2,TABsistemaANTIFURTO,COLaccessorioANTIFURTO,FALSE),"")</f>
        <v/>
      </c>
      <c r="JB8" s="258" t="str">
        <f>IF(AND(modelloAUTO1=$B$2,SYSTEMantiFURTO1&lt;&gt;""),VLOOKUP($B$2,TABsistemaANTIFURTO,COLviteSPECIALExANTIFURTO,FALSE),"")</f>
        <v/>
      </c>
      <c r="JC8" s="258" t="str">
        <f>IF(AND(modelloAUTO1=$B$2,SYSTEMantiFURTO1&lt;&gt;""),VLOOKUP($B$2,TABsistemaANTIFURTO,COLlavorazioneXantifurto,FALSE),"")</f>
        <v/>
      </c>
      <c r="JD8"/>
      <c r="JE8"/>
      <c r="JF8"/>
      <c r="JG8"/>
      <c r="JH8"/>
      <c r="JI8"/>
      <c r="JJ8"/>
      <c r="JK8"/>
      <c r="JL8"/>
      <c r="JM8"/>
      <c r="JN8"/>
      <c r="JO8"/>
      <c r="JP8"/>
      <c r="JQ8"/>
      <c r="JR8"/>
      <c r="JS8"/>
      <c r="JT8"/>
      <c r="JU8"/>
      <c r="JV8"/>
      <c r="JW8"/>
      <c r="JX8" s="168">
        <v>1</v>
      </c>
      <c r="JY8" s="210" t="str">
        <f>IF(modelloAUTO1=$B$2,IF(fornPIANTcentr1="","",fornPIANTcentr1*pezzi1),"")</f>
        <v/>
      </c>
      <c r="JZ8" s="210" t="str">
        <f>IF(modelloAUTO1=$B$2,IF(fornPIANTcentr1="","",CODpiantCENTRsugg1),"")</f>
        <v/>
      </c>
      <c r="KB8" s="210" t="str">
        <f ca="1">IF(modelloAUTO1=$B$2,IF(CODpiantCENTRsuggAPPOG1="","",CODpiantCENTRdiAPPOGGIOrich1),"")</f>
        <v/>
      </c>
      <c r="KC8" s="210" t="str">
        <f ca="1">IF(modelloAUTO1=$B$2,IF(CODpiantCENTRsuggAPPOG1="","",CODpiantCENTRsuggAPPOG1),"")</f>
        <v/>
      </c>
      <c r="KP8" s="168">
        <v>1</v>
      </c>
      <c r="KQ8" s="259" t="str">
        <f>IF(AND(modelloAUTO1=$B$2,VLOOKUP($B$2,tabMODELLI,COLcoeffPOSSIBILITApellicolaADESIVA,FALSE)=UNO),IF(PELLICOLA1="","",pezzi1),"")</f>
        <v/>
      </c>
      <c r="KR8" s="236" t="str">
        <f>IF(AND(modelloAUTO1=$B$2,VLOOKUP($B$2,tabMODELLI,COLcoeffPOSSIBILITApellicolaADESIVA,FALSE)=UNO),IF(PELLICOLA1="","",larghezza1*DIECI-(VLOOKUP($B$2,tabMODELLI,COLcoeffPELLICOLAadesivaLARG,FALSE))),"")</f>
        <v/>
      </c>
      <c r="KS8" s="236" t="str">
        <f>IF(AND(modelloAUTO1=$B$2,VLOOKUP($B$2,tabMODELLI,COLcoeffPOSSIBILITApellicolaADESIVA,FALSE)=UNO),IF(PELLICOLA1="","",altezza1*DIECI-(VLOOKUP($B$2,tabMODELLI,COLcoeffPELLICOLAadesivaLARG,FALSE))),"")</f>
        <v/>
      </c>
      <c r="MA8" s="168">
        <v>1</v>
      </c>
      <c r="MB8" s="260">
        <f>IF(modelloAUTO1=$B$2,stanza1,"")</f>
        <v>0</v>
      </c>
      <c r="MC8" s="168">
        <v>1</v>
      </c>
      <c r="MD8" s="230">
        <f>IF(modelloAUTO1=$B$2,larghezza1*DIECI+4+VLOOKUP($B$2,tabMODELLI,COLcoefAUMlargBUSTApvc,FALSE)+VLOOKUP($B$2,tabMODELLI,COLcoefAUMlargXprofILIlateraliBUSTApvc,FALSE)+IF(PROFoTUBsxRICH1="",ZERO,VLOOKUP(PROFoTUBsxRICH1,TABprofOtubLATERALI,COLlargPROFoTUBlatXimballaggio,FALSE)+profELETTRODOsaldaturaPVC)+IF(PROFoTUBdxRICH1="",ZERO,VLOOKUP(PROFoTUBdxRICH1,TABprofOtubLATERALI,COLlargPROFoTUBlatXimballaggio,FALSE)+profELETTRODOsaldaturaPVC),"")</f>
        <v>1189</v>
      </c>
      <c r="ME8" s="230">
        <f>IF(modelloAUTO1=$B$2,altezza1*DIECI*DUE+VLOOKUP($B$2,tabMODELLI,COLcoefAUMaltBUSTApvc,FALSE),"")</f>
        <v>2040</v>
      </c>
      <c r="MF8" s="261"/>
      <c r="MG8" s="230">
        <f>IF(modelloAUTO1=$B$2,altezza1*DIECI+VLOOKUP($B$2,tabMODELLI,COLcoeffSALDATURAinALTbustaPVC,FALSE),"")</f>
        <v>930</v>
      </c>
      <c r="MH8" s="230">
        <f>IF(modelloAUTO1=$B$2,VLOOKUP($B$2,tabMODELLI,COLcoeffSALDATURAinLARGperTASCAbustaPVC,FALSE),"")</f>
        <v>0</v>
      </c>
      <c r="MI8" s="230" t="str">
        <f>IF(modelloAUTO1=$B$2,IF(PROFoTUBsxRICH1="","",VLOOKUP(PROFoTUBsxRICH1,TABprofOtubLATERALI,COLlargPROFoTUBlatXimballaggio,FALSE)),"")</f>
        <v/>
      </c>
      <c r="MJ8" s="230" t="str">
        <f>IF(modelloAUTO1=$B$2,IF(PROFoTUBdxRICH1="","",VLOOKUP(PROFoTUBdxRICH1,TABprofOtubLATERALI,COLlargPROFoTUBlatXimballaggio,FALSE)),"")</f>
        <v/>
      </c>
      <c r="ML8" s="262">
        <f>IF(modelloAUTO1=$B$2,pezzi1*DUE,"")</f>
        <v>2</v>
      </c>
      <c r="MM8" s="263">
        <f>IF(modelloAUTO1=$B$2,larghezza1+VLOOKUP($B$2,tabMODELLI,COLcoeffAUMoCALOinLARGpolistirolo,FALSE),"")</f>
        <v>100.5</v>
      </c>
      <c r="MN8" s="263">
        <f>IF(modelloAUTO1=$B$2,altezza1+VLOOKUP($B$2,tabMODELLI,COLcoeffAUMoCALOinALTpolistirolo,FALSE),"")</f>
        <v>78.5</v>
      </c>
      <c r="MP8" s="264">
        <f>IF(modelloAUTO1=$B$2,IF(VLOOKUP($B$2,tabMODELLI,COLcoeffAUMoCALOinLARGprofiloAu,FALSE)="",pezzi1*DUE,pezzi1*UNO),"")</f>
        <v>1</v>
      </c>
      <c r="MQ8" s="265">
        <f>IF(modelloAUTO1=$B$2,VLOOKUP($B$2,tabMODELLI,COLdimStdSTRISCIAdelFIANCOxLARG1polistirolo,FALSE),"")</f>
        <v>5</v>
      </c>
      <c r="MR8" s="263" t="str">
        <f>IF(modelloAUTO2=$B$2,larghezza1+VLOOKUP($B$2,tabMODELLI,colCOEFFdellaLARGnelFIANCOpolistirolo,FALSE),"")</f>
        <v/>
      </c>
      <c r="MT8" s="262">
        <f>IF(modelloAUTO1=$B$2,IF(VLOOKUP($B$2,tabMODELLI,COLdimstdSTRISCIAdelFIANCOxALT2polistirolo,FALSE)="",pezzi1*DUE,pezzi1),"")</f>
        <v>1</v>
      </c>
      <c r="MU8" s="265">
        <f>IF(modelloAUTO1=$B$2,VLOOKUP($B$2,tabMODELLI,COLdimstdSTRISCIAdelFIANCOxALT1polistirolo,FALSE),"")</f>
        <v>9</v>
      </c>
      <c r="MV8" s="263">
        <f>IF(modelloAUTO1=$B$2,altezza1+VLOOKUP($B$2,tabMODELLI,colCOEFFdellaALTnelFIANCOpolistirolo,FALSE),"")</f>
        <v>83</v>
      </c>
      <c r="MX8" s="266">
        <f>IF(modelloAUTO1=$B$2,IF(VLOOKUP($B$2,tabMODELLI,COLdimstdSTRISCIAdelFIANCOxALT2polistirolo,FALSE)="","",pezzi1*UNO),"")</f>
        <v>1</v>
      </c>
      <c r="MY8" s="267">
        <f>IF(modelloAUTO1=$B$2,IF(VLOOKUP($B$2,tabMODELLI,COLdimstdSTRISCIAdelFIANCOxALT2polistirolo,FALSE)="","",VLOOKUP($B$2,tabMODELLI,COLdimstdSTRISCIAdelFIANCOxALT2polistirolo,FALSE)),"")</f>
        <v>5</v>
      </c>
      <c r="MZ8" s="263">
        <f>IF(modelloAUTO1=$B$2,altezza1+VLOOKUP($B$2,tabMODELLI,colCOEFFdellaALTnelFIANCOpolistirolo,FALSE),"")</f>
        <v>83</v>
      </c>
      <c r="NB8" s="266">
        <f>IF(modelloAUTO1=$B$2,IF(VLOOKUP($B$2,tabMODELLI,COLcoeffAUMoCALOinLARGprofiloAu,FALSE)="","",pezzi1*UNO),"")</f>
        <v>1</v>
      </c>
      <c r="NC8" s="216">
        <f>IF(modelloAUTO1=$B$2,IF(VLOOKUP($B$2,tabMODELLI,COLcoeffAUMoCALOinLARGprofiloAu,FALSE)="","",larghezza1+VLOOKUP($B$2,tabMODELLI,COLcoeffAUMoCALOinLARGprofiloAu,FALSE)),"")</f>
        <v>104.5</v>
      </c>
      <c r="ND8" s="191">
        <f>IF(modelloAUTO1=$B$2,IF(VLOOKUP($B$2,tabMODELLI,COLcoeffAUMoCALOinLARGprofiloAu,FALSE)="","",VLOOKUP($B$2,tabMODELLI,COLdimstdSTRISCIAdelFIANCOxALT1polistirolo,FALSE)),"")</f>
        <v>9</v>
      </c>
      <c r="NH8" s="268"/>
      <c r="NI8" s="168">
        <v>1</v>
      </c>
      <c r="NJ8" s="171">
        <f>IF(pezzi1="","",pezzi1)</f>
        <v>1</v>
      </c>
      <c r="NK8" s="170" t="str">
        <f>IF(modelloAUTO1="","",modelloAUTO1)</f>
        <v>MODERNA</v>
      </c>
      <c r="NL8" s="172">
        <f>IF(larghezza1="","",LARGortogonalitaADEGUATA1)</f>
        <v>100</v>
      </c>
      <c r="NM8" s="173">
        <f>IF(altezza1="","",altezza1)</f>
        <v>80</v>
      </c>
      <c r="NO8" s="189">
        <f>IF(PesoTEORICOparatia1="","",PesoTEORICOparatia1)</f>
        <v>8</v>
      </c>
      <c r="NR8"/>
      <c r="NS8"/>
      <c r="NT8"/>
      <c r="NU8"/>
      <c r="NV8"/>
      <c r="NW8"/>
      <c r="NX8"/>
      <c r="NY8"/>
      <c r="NZ8"/>
      <c r="OA8"/>
      <c r="OB8"/>
      <c r="OC8"/>
      <c r="OD8"/>
      <c r="OE8"/>
      <c r="OG8" s="269"/>
      <c r="OH8" s="270"/>
      <c r="OI8" s="270"/>
      <c r="OJ8" s="270"/>
      <c r="OK8" s="270"/>
      <c r="OL8" s="270"/>
      <c r="OM8" s="271"/>
      <c r="ON8" s="270"/>
      <c r="OO8" s="271"/>
    </row>
    <row r="9" spans="1:412" s="150" customFormat="1" ht="34.5" customHeight="1">
      <c r="A9" s="168">
        <v>2</v>
      </c>
      <c r="B9" s="169" t="str">
        <f>IF(stanza2="","",stanza2)</f>
        <v/>
      </c>
      <c r="C9" s="170"/>
      <c r="D9" s="171"/>
      <c r="E9" s="172"/>
      <c r="F9" s="173"/>
      <c r="G9" s="174"/>
      <c r="H9" s="175"/>
      <c r="I9" s="176" t="str">
        <f>IF(modelloAUTO2="","",IF(vernBarriera2="","",vernBarriera2))</f>
        <v/>
      </c>
      <c r="J9" s="177" t="str">
        <f>IF(modelloAUTO2=$B$2,IF(PELLICOLA2="","",pezzi2),"")</f>
        <v/>
      </c>
      <c r="K9" s="178" t="str">
        <f t="shared" si="1"/>
        <v/>
      </c>
      <c r="M9" s="179" t="str">
        <f>IF(modelloAUTO2=$B$2,IF(PROFlatAUTO2="ESCLUSI","",IF(PROFlatRICH2="","STD",PROFlatRICH2)),"")</f>
        <v/>
      </c>
      <c r="N9" s="180" t="str">
        <f>IF(AND(modelloAUTO2=$B$2,COPERTINAauto2&lt;&gt;""),TIPOcopertina2,"")</f>
        <v/>
      </c>
      <c r="O9" s="181" t="str">
        <f>IF(AND(modelloAUTO2=$B$2,PROFlatAUTO2&lt;&gt;"ESCLUSI"),IF(AND(COPERTINAauto2&lt;&gt;"",ALTprofLATrich2=""),"STD",ALTprofLATrich2*DIECI),"")</f>
        <v/>
      </c>
      <c r="P9" s="176" t="str">
        <f>IF(modelloAUTO2="","",IF(vernPROFlatTEN2="","",vernPROFlatTEN2))</f>
        <v/>
      </c>
      <c r="R9" s="176" t="str">
        <f>IF(PROFoTUBsxRICH2="","",PROFoTUBsxRICH2)</f>
        <v/>
      </c>
      <c r="S9" s="182"/>
      <c r="T9" s="176" t="str">
        <f>IF(modelloAUTO2="","",IF(PROFoTUBdxRICH2="","",PROFoTUBdxRICH2))</f>
        <v/>
      </c>
      <c r="U9" s="182"/>
      <c r="V9" s="183" t="str">
        <f>IF(modelloAUTO2="","",IF(PROFoTUBsxRICH2="","",IF(ALTprofOtubRICHsx2="","SX: STD","SX: "&amp;ALTprofOtubRICHsx2&amp;" - "))&amp;IF(PROFoTUBdxRICH2="","",IF(ALTprofOtubRICHdx2="","  DX: STD","DX :"&amp;ALTprofOtubRICHdx2)))</f>
        <v/>
      </c>
      <c r="W9" s="184" t="str">
        <f>IF(modello2="","",IF(vernPROFoTUBlatSX2="","","SX: "&amp;vernPROFoTUBlatSX2&amp;" - ")&amp;IF(vernPROFoTUBlatDX2="",""," DX: "&amp;vernPROFoTUBlatDX2))</f>
        <v/>
      </c>
      <c r="Y9" s="185" t="str">
        <f>IF(modelloAUTO2="","",IF(OR(larghezza2="",profORIZZ2=""),"",CODpiattoORIZZsugg2))</f>
        <v/>
      </c>
      <c r="Z9" s="186" t="str">
        <f>IF(modelloAUTO2="","",IF(profORIZZ2="","",larghezza2+IF(PROFoTUBsxRICH2="",0,VLOOKUP(PROFoTUBsxRICH2,TABprofOtubLATERALI,COLlargPROFoTUBlat,FALSE))+IF(PROFoTUBdxRICH2="",0,VLOOKUP(PROFoTUBdxRICH2,TABprofOtubLATERALI,COLlargPROFoTUBlat,FALSE))))</f>
        <v/>
      </c>
      <c r="AB9" s="187" t="str">
        <f>IF(modelloAUTO2="","",IF(CODpiantCENTRsugg2="","","N° "&amp;fornPIANTcentr2&amp;"-"&amp;IF(CODpiantCENTRsugg2=0,"ERRORE",CODpiantCENTRsugg2)))</f>
        <v/>
      </c>
      <c r="AC9" s="187" t="str">
        <f ca="1">IF(modelloAUTO2="","",IF(CODpiantCENTRsuggAPPOG2="","","N° "&amp;CODpiantCENTRdiAPPOGGIOrich2&amp;"-"&amp;IF(CODpiantCENTRsuggAPPOG2=0,"ERRORE",CODpiantCENTRsuggAPPOG2)))</f>
        <v/>
      </c>
      <c r="AE9" s="188" t="str">
        <f>IF(modelloAUTO2="","",IF(note_cliente2="","",note_cliente2))</f>
        <v/>
      </c>
      <c r="AF9" s="189">
        <f>IF(PesoTEORICOparatia2="","",PesoTEORICOparatia2)</f>
        <v>9.99</v>
      </c>
      <c r="AG9" s="190">
        <v>2</v>
      </c>
      <c r="AI9" s="191" t="str">
        <f>IF(modelloAUTO2=$B$2,pezzi2*UNO,"")</f>
        <v/>
      </c>
      <c r="AJ9" s="192" t="str">
        <f>IF(modelloAUTO2=$B$2,larghezza2,"")</f>
        <v/>
      </c>
      <c r="AK9" s="193" t="str">
        <f>IF(modelloAUTO2=$B$2,altezza2,"")</f>
        <v/>
      </c>
      <c r="AL9" s="174" t="str">
        <f t="shared" si="2"/>
        <v/>
      </c>
      <c r="AM9" s="173" t="str">
        <f t="shared" si="3"/>
        <v>DX (di serie)</v>
      </c>
      <c r="AN9" s="194"/>
      <c r="AO9"/>
      <c r="AP9" s="195" t="str">
        <f>IF(modelloAUTO2=$B$2,IF(PROFlatRICH2="",pezzi2*DUE*VLOOKUP($B$2,tabMODELLI,COLprofiliLATdiserie,FALSE),pezzi2*DUE),"")</f>
        <v/>
      </c>
      <c r="AQ9" s="179" t="str">
        <f>IF(modelloAUTO2=$B$2,IF(PROFlatAUTO2="ESCLUSI","",IF(PROFlatRICH2="","STD",PROFlatRICH2)),"")</f>
        <v/>
      </c>
      <c r="AR9" s="196" t="str">
        <f>IF(AND(modelloAUTO2=$B$2,PROFlatAUTO2&lt;&gt;"ESCLUSI"),IF(ALTprofLATrich2="","STD",ALTprofLATrich2*DIECI),"")</f>
        <v/>
      </c>
      <c r="AT9" s="272" t="str">
        <f>IF(modelloAUTO2=$B$2,IF(TIPOcopertina2="","",TIPOcopertina2),"")</f>
        <v/>
      </c>
      <c r="AV9" s="198" t="str">
        <f>IF(modelloAUTO2=$B$2,IF(vernBarriera2="","STD",vernBarriera2),"")</f>
        <v/>
      </c>
      <c r="AX9" s="171" t="str">
        <f>IF(modelloAUTO2=$B$2,IF(PROFoTUBsxRICH2="","",pezzi2),"")</f>
        <v/>
      </c>
      <c r="AY9" s="199" t="str">
        <f>IF(modelloAUTO2=$B$2,IF(PROFoTUBsxRICH2="","",PROFoTUBsxRICH2),"")</f>
        <v/>
      </c>
      <c r="AZ9" s="200" t="str">
        <f>IF(AND(modelloAUTO2=$B$2,PROFoTUBsxRICH2&lt;&gt;""),IF(ALTprofOtubRICHsx2="","STD",ALTprofOtubRICHsx2),"")</f>
        <v/>
      </c>
      <c r="BB9" s="201" t="str">
        <f>IF(modelloAUTO2=$B$2,IF(PROFoTUBsxRICH2="","",IF(vernPROFoTUBlatSX2="","STD",vernPROFoTUBlatSX2)),"")</f>
        <v/>
      </c>
      <c r="BD9" s="171" t="str">
        <f>IF(modelloAUTO2=$B$2,IF(PROFoTUBdxRICH2="","",pezzi2),"")</f>
        <v/>
      </c>
      <c r="BE9" s="202" t="str">
        <f>IF(modelloAUTO2=$B$2,IF(PROFoTUBdxRICH2="","",PROFoTUBdxRICH2),"")</f>
        <v/>
      </c>
      <c r="BF9" s="200" t="str">
        <f>IF(AND(modelloAUTO2=$B$2,PROFoTUBdxRICH2&lt;&gt;""),IF(ALTprofOtubRICHdx2="","STD",ALTprofOtubRICHdx2),"")</f>
        <v/>
      </c>
      <c r="BH9" s="203" t="str">
        <f>IF(modelloAUTO2=$B$2,IF(PROFoTUBdxRICH2="","",IF(vernPROFoTUBlatDX2="","STD",vernPROFoTUBlatDX2)),"")</f>
        <v/>
      </c>
      <c r="BJ9" s="204" t="str">
        <f>IF(modelloAUTO2=$B$2,IF(profORIZZ2="","",pezzi2),"")</f>
        <v/>
      </c>
      <c r="BK9" s="205" t="str">
        <f>IF(modelloAUTO2=$B$2,IF(profORIZZ2="","",CODpiattoORIZZsugg2),"")</f>
        <v/>
      </c>
      <c r="BL9" s="206" t="str">
        <f>IF(modelloAUTO2=$B$2,IF(profORIZZ2="","",larghezza2*UNO+IF(PROFoTUBsxRICH2="",ZERO,VLOOKUP(PROFoTUBsxRICH2,TABprofOtubLATERALI,COLlargPROFoTUBlat,FALSE))+IF(PROFoTUBdxRICH2="",ZERO,VLOOKUP(PROFoTUBdxRICH2,TABprofOtubLATERALI,COLlargPROFoTUBlat,FALSE))),"")</f>
        <v/>
      </c>
      <c r="BN9" s="207" t="str">
        <f ca="1">IF(modelloAUTO2=$B$2,INDEX(INDIRECT("TABnCHIAVISTELLOvert"&amp;$B$2),rif_alt2,rif_larg2)*pezzi2,"")</f>
        <v/>
      </c>
      <c r="BO9"/>
      <c r="BP9" s="178" t="str">
        <f t="shared" si="4"/>
        <v/>
      </c>
      <c r="BQ9" s="208" t="str">
        <f ca="1">IF(modelloAUTO2=$B$2,INDEX(INDIRECT("TABnMANIGLIEsuperiori"&amp;$B$2),rif_alt2,rif_larg2)+INDEX(INDIRECT("TABnMANIGLIEfrontali"&amp;$B$2),rif_alt2,rif_larg2),"")</f>
        <v/>
      </c>
      <c r="BR9" s="191" t="str">
        <f>IF(modelloAUTO2=$B$2,pezzi2*DUE,"")</f>
        <v/>
      </c>
      <c r="BS9" s="209" t="str">
        <f>IF(modelloAUTO2=$B$2,BQ9*DUE,"")</f>
        <v/>
      </c>
      <c r="BT9" s="209" t="str">
        <f>IF(modelloAUTO2=$B$2,BR9*TRE,"")</f>
        <v/>
      </c>
      <c r="BU9" s="191" t="str">
        <f>IF(modelloAUTO2=$B$2,pezzi2*DUE,"")</f>
        <v/>
      </c>
      <c r="BV9" s="191" t="str">
        <f>IF(modelloAUTO2=$B$2,pezzi2*DUE,"")</f>
        <v/>
      </c>
      <c r="BW9" s="191" t="str">
        <f>IF(modelloAUTO2=$B$2,pezzi2*DUE,"")</f>
        <v/>
      </c>
      <c r="BX9" s="191" t="str">
        <f>IF(modelloAUTO2=$B$2,pezzi2*DUE,"")</f>
        <v/>
      </c>
      <c r="BY9" s="191" t="str">
        <f>IF(modelloAUTO2=$B$2,pezzi2*DUE,"")</f>
        <v/>
      </c>
      <c r="CA9" s="210" t="str">
        <f>IF(modelloAUTO2=$B$2,IF(fornPIANTcentr2="","",fornPIANTcentr2*pezzi2),"")</f>
        <v/>
      </c>
      <c r="CB9" s="210" t="str">
        <f>IF(modelloAUTO2=$B$2,IF(fornPIANTcentr2="","",CODpiantCENTRsugg2),"")</f>
        <v/>
      </c>
      <c r="CD9" s="210" t="str">
        <f>IF(modelloAUTO2=$B$2,IF(CODpiantCENTRsuggAPPOG2="","",CODpiantCENTRdiAPPOGGIOrich2),"")</f>
        <v/>
      </c>
      <c r="CE9" s="210" t="str">
        <f>IF(modelloAUTO2=$B$2,IF(CODpiantCENTRsuggAPPOG2="","",CODpiantCENTRsuggAPPOG2),"")</f>
        <v/>
      </c>
      <c r="CG9" s="273">
        <v>2</v>
      </c>
      <c r="CI9" s="211" t="str">
        <f>IF(modelloAUTO2=$B$2,altezza2*DIECI/FLOOR(VLOOKUP($B$2,tabMODELLI,COLcoefALTdogaSORMONTATAda200,FALSE),UNO)*pezzi2,"")</f>
        <v/>
      </c>
      <c r="CJ9" s="212" t="str">
        <f>IF(modelloAUTO2=$B$2,larghezza2*DIECI-VLOOKUP($B$2,tabMODELLI,COLcoeffTAGLIOdogaOPPURElastraINlarg,FALSE)-VLOOKUP(PROFlatAUTO2,TABprofLATten,COLcoeffCALOdoga,FALSE),"")</f>
        <v/>
      </c>
      <c r="CK9"/>
      <c r="CL9" s="213" t="str">
        <f>IF(modelloAUTO2=$B$2,(altezza2*DIECI/FLOOR(VLOOKUP($B$2,tabMODELLI,COLcoefALTdogaSORMONTATAda200,FALSE),CENTO)-FLOOR(altezza2*DIECI/FLOOR(VLOOKUP($B$2,tabMODELLI,COLcoefALTdogaSORMONTATAda200,FALSE),CENTO),UNO))*pezzi2,"")</f>
        <v/>
      </c>
      <c r="CM9" s="214" t="str">
        <f>IF(modelloAUTO2=$B$2,(((altezza2*DIECI-VLOOKUP($B$2,tabMODELLI,COLcoeffCALOtaglioPANNELLObarrieraMONOLITICOoASSEMBLATOInALT,FALSE))/VLOOKUP($B$2,tabMODELLI,colALTnominaleDOGAmm,FALSE)-(FLOOR(altezza2*DIECI/FLOOR(VLOOKUP($B$2,tabMODELLI,COLcoefALTdogaSORMONTATAda200,FALSE),CENTO),UNO)))*(VLOOKUP($B$2,tabMODELLI,colALTnominaleDOGAmm,FALSE))),"")</f>
        <v/>
      </c>
      <c r="CN9" s="203" t="str">
        <f>IF(modelloAUTO2=$B$2,IF(vernBarriera2="","STD",vernBarriera2),"")</f>
        <v/>
      </c>
      <c r="CO9" s="174" t="str">
        <f t="shared" si="5"/>
        <v/>
      </c>
      <c r="CP9" s="215" t="str">
        <f>IF(modelloAUTO2=$B$2,LATOcomAUTO2,"")</f>
        <v/>
      </c>
      <c r="CQ9"/>
      <c r="CR9" s="216" t="str">
        <f>IF(modelloAUTO2=$B$2,pezzi2*UNO,"")</f>
        <v/>
      </c>
      <c r="CS9" s="212" t="str">
        <f>IF(modelloAUTO2=$B$2,altezza2*DIECI+VLOOKUP($B$2,tabMODELLI,COLcoeffTAGLIOPROFILIlateraliEverticaliAttaccatiALLAbarriera,FALSE),"")</f>
        <v/>
      </c>
      <c r="CT9" s="217" t="str">
        <f>IF(modelloAUTO2=$B$2,"|90° 90°|","")</f>
        <v/>
      </c>
      <c r="CU9" s="218"/>
      <c r="CV9" s="219" t="str">
        <f>IF(modelloAUTO2=$B$2,pezzi2*DUE,"")</f>
        <v/>
      </c>
      <c r="CW9" s="220" t="str">
        <f>IF(modelloAUTO2=$B$2,larghezza2*DIECI-VLOOKUP($B$2,tabMODELLI,COLcoeffTAGLIOPROFILIlateraliEverticaliAttaccatiALLAbarriera,FALSE),"")</f>
        <v/>
      </c>
      <c r="CX9" s="217" t="str">
        <f t="shared" ref="CX9:CX23" si="25">IF(CV9="","","\45° 45°/")</f>
        <v/>
      </c>
      <c r="CY9" s="221"/>
      <c r="CZ9" s="222" t="str">
        <f>IF(modelloAUTO2=$B$2,PROFlatAUTO2,"")</f>
        <v/>
      </c>
      <c r="DA9" s="223" t="str">
        <f>IF(modelloAUTO2=$B$2,pezzi2,"")</f>
        <v/>
      </c>
      <c r="DB9" s="217" t="str">
        <f>IF(modelloAUTO2=$B$2,altezza2*DIECI-VLOOKUP(PROFlatAUTO2,TABprofLATten,COLsfioroPROFtenLATrispettoALvano,FALSE),"")</f>
        <v/>
      </c>
      <c r="DC9" s="217" t="str">
        <f>IF(modelloAUTO2=$B$2,"|90° 45°/","")</f>
        <v/>
      </c>
      <c r="DD9" s="224"/>
      <c r="DE9" s="223" t="str">
        <f>IF(modelloAUTO2=$B$2,pezzi2,"")</f>
        <v/>
      </c>
      <c r="DF9" s="217" t="str">
        <f>IF(modelloAUTO2=$B$2,larghezza2*DIECI-(VLOOKUP(PROFlatAUTO2,TABprofLATten,COLsfioroPROFtenLATrispettoALvano,FALSE)*DUE),"")</f>
        <v/>
      </c>
      <c r="DG9" s="217" t="str">
        <f>IF(modelloAUTO2=$B$2,"\45° 90°|","")</f>
        <v/>
      </c>
      <c r="DH9" s="224"/>
      <c r="DI9" s="223" t="str">
        <f>IF(modelloAUTO2=$B$2,pezzi2,"")</f>
        <v/>
      </c>
      <c r="DJ9" s="217" t="str">
        <f>IF(modelloAUTO2=$B$2,altezza2*DIECI-VLOOKUP(PROFlatAUTO2,TABprofLATten,COLsfioroPROFtenLATrispettoALvano,FALSE),"")</f>
        <v/>
      </c>
      <c r="DK9" s="217" t="str">
        <f>IF(modelloAUTO2=$B$2,"\45° 45°/","")</f>
        <v/>
      </c>
      <c r="DL9" s="225"/>
      <c r="DM9" s="226" t="str">
        <f>IF(modelloAUTO2=$B$2,pezzi2,"")</f>
        <v/>
      </c>
      <c r="DN9" s="226" t="str">
        <f>IF(modelloAUTO2=$B$2,larghezza2*DIECI,"")</f>
        <v/>
      </c>
      <c r="DO9" s="227" t="str">
        <f>IF(modelloAUTO2=$B$2,"|90° 90°|","")</f>
        <v/>
      </c>
      <c r="DP9" s="221"/>
      <c r="DQ9" s="228" t="str">
        <f>IF(modelloAUTO2=$B$2,DIMprimoFOROdalPAVIMENTOperFISSAGGIOprofiloDItenutaLATERALE*DIECI,"")</f>
        <v/>
      </c>
      <c r="DR9" s="228" t="str">
        <f ca="1">IF(modelloAUTO2=$B$2,IF(VLOOKUP(altezza2,INDIRECT("tabNfissaggi"&amp;$B$2),INDIRECT("colNfiSsaggi"&amp;$B$2),TRUE)&lt;DR$6,"",(IF(VLOOKUP(altezza2,INDIRECT("tabNfissaggi"&amp;$B$2),INDIRECT("colNfiSsaggi"&amp;$B$2),FALSE)=DR$6,altezza2*DIECI-DIMprimoFOROdalPAVIMENTOperFISSAGGIOprofiloDItenutaLATERALE,DQ9+(((altezza2*DIECI-DIMprimoFOROdalPAVIMENTOperFISSAGGIOprofiloDItenutaLATERALE*DIECI*DUE))/(VLOOKUP((altezza2),INDIRECT("tabNfissaggi"&amp;$B$2),INDIRECT("colNfiSsaggi"&amp;$B$2),FALSE)-UNO))))),"")</f>
        <v/>
      </c>
      <c r="DS9" s="228" t="str">
        <f ca="1">IF(modelloAUTO2=$B$2,IF(VLOOKUP(altezza2,INDIRECT("tabNfissaggi"&amp;$B$2),INDIRECT("colNfiSsaggi"&amp;$B$2),TRUE)&lt;DS$6,"",(IF(VLOOKUP(altezza2,INDIRECT("tabNfissaggi"&amp;$B$2),INDIRECT("colNfiSsaggi"&amp;$B$2),FALSE)=DS$6,altezza2*DIECI-DIMprimoFOROdalPAVIMENTOperFISSAGGIOprofiloDItenutaLATERALE,DR9+(((altezza2*DIECI-DIMprimoFOROdalPAVIMENTOperFISSAGGIOprofiloDItenutaLATERALE*DIECI*DUE))/(VLOOKUP((altezza2),INDIRECT("tabNfissaggi"&amp;$B$2),INDIRECT("colNfiSsaggi"&amp;$B$2),FALSE)-UNO))))),"")</f>
        <v/>
      </c>
      <c r="DT9" s="228" t="str">
        <f ca="1">IF(modelloAUTO2=$B$2,IF(VLOOKUP(altezza2,INDIRECT("tabNfissaggi"&amp;$B$2),INDIRECT("colNfiSsaggi"&amp;$B$2),TRUE)&lt;DT$6,"",(IF(VLOOKUP(altezza2,INDIRECT("tabNfissaggi"&amp;$B$2),INDIRECT("colNfiSsaggi"&amp;$B$2),FALSE)=DT$6,altezza2*DIECI-DIMprimoFOROdalPAVIMENTOperFISSAGGIOprofiloDItenutaLATERALE,DS9+(((altezza2*DIECI-DIMprimoFOROdalPAVIMENTOperFISSAGGIOprofiloDItenutaLATERALE*DIECI*DUE))/(VLOOKUP((altezza2),INDIRECT("tabNfissaggi"&amp;$B$2),INDIRECT("colNfiSsaggi"&amp;$B$2),FALSE)-UNO))))),"")</f>
        <v/>
      </c>
      <c r="DU9" s="228" t="str">
        <f ca="1">IF(modelloAUTO2=$B$2,IF(VLOOKUP(altezza2,INDIRECT("tabNfissaggi"&amp;$B$2),INDIRECT("colNfiSsaggi"&amp;$B$2),TRUE)&lt;DU$6,"",(IF(VLOOKUP(altezza2,INDIRECT("tabNfissaggi"&amp;$B$2),INDIRECT("colNfiSsaggi"&amp;$B$2),FALSE)=DU$6,altezza2*DIECI-DIMprimoFOROdalPAVIMENTOperFISSAGGIOprofiloDItenutaLATERALE,DT9+(((altezza2*DIECI-DIMprimoFOROdalPAVIMENTOperFISSAGGIOprofiloDItenutaLATERALE*DIECI*DUE))/(VLOOKUP((altezza2),INDIRECT("tabNfissaggi"&amp;$B$2),INDIRECT("colNfiSsaggi"&amp;$B$2),FALSE)-UNO))))),"")</f>
        <v/>
      </c>
      <c r="DV9" s="274"/>
      <c r="DW9" s="229" t="str">
        <f>IF(modelloAUTO2=$B$2,(PRIMOforoNELLantaPARTENDOdaLBASSOclose-VLOOKUP($B$2,tabMODELLI,COLcoeffALTprofiloSogliaRimanenteSOTTOalTELAIOperimetrale,FALSE)),"")</f>
        <v/>
      </c>
      <c r="DX9" s="230" t="str">
        <f>IF(modelloAUTO2=$B$2,DW9+INTERASSSEforiANTAcernieraSAVIOmechanica,"")</f>
        <v/>
      </c>
      <c r="DY9" s="231" t="str">
        <f>IF(modelloAUTO2=$B$2,INDEX(TABforoBASSOcernieraNELLantaCONdogaCLICKRAPIDnellANTACONsavIOMECHANICA,UNO,MATCH(((CJ9)/DUE),TABforoBASSOcernieraNELLantaCONdogaCLICKRAPIDnellANTACONsavIOMECHANICA,UNO)),"")</f>
        <v/>
      </c>
      <c r="DZ9" s="232" t="str">
        <f>IF(modelloAUTO2=$B$2,DY9+INTERASSSEforiANTAcernieraSAVIOmechanica,"")</f>
        <v/>
      </c>
      <c r="EA9" s="231" t="str">
        <f>IF(modelloAUTO2=$B$2,INDEX(TABforoBASSOcernieraNELLantaCONdogaCLICKRAPIDnellANTACONsavIOMECHANICA,UNO,MATCH((CJ9-ALTEZZAcerNIERAcomMPOSTAdalle2aliMECHANICA-altezzaALAcanalinoDA35X35X2),TABforoBASSOcernieraNELLantaCONdogaCLICKRAPIDnellANTACONsavIOMECHANICA,UNO)),"")</f>
        <v/>
      </c>
      <c r="EB9" s="232" t="str">
        <f>IF(modelloAUTO2=$B$2,EA9+INTERASSSEforiANTAcernieraSAVIOmechanica,"")</f>
        <v/>
      </c>
      <c r="EC9" s="233"/>
      <c r="ED9" s="234" t="str">
        <f>IF(modelloAUTO2=$B$2,"a: "&amp;DW9+INTERASSSEforiANTAcernieraSAVIOmechanica/DUE,"")</f>
        <v/>
      </c>
      <c r="EE9" s="234" t="str">
        <f>IF(modelloAUTO2=$B$2,"a: "&amp;DY9+INTERASSSEforiANTAcernieraSAVIOmechanica/DUE,"")</f>
        <v/>
      </c>
      <c r="EF9" s="234" t="str">
        <f>IF(modelloAUTO2=$B$2,"a: "&amp;EA9+INTERASSSEforiANTAcernieraSAVIOmechanica/DUE,"")</f>
        <v/>
      </c>
      <c r="EG9"/>
      <c r="EH9" s="235" t="str">
        <f>IF(modelloAUTO2=$B$2,pezzi2,"")</f>
        <v/>
      </c>
      <c r="EI9" s="235" t="str">
        <f>IF(modelloAUTO2=$B$2,INTERASSEforoPERnottolinoDIcomandoMANIGLIAdiCHIUSURAaLEVAclose,"")</f>
        <v/>
      </c>
      <c r="EJ9" s="236" t="str">
        <f>IF(modelloAUTO2=$B$2,ALTCentroNOTTOLINOpartendoDALbassodellaDOGA,"")</f>
        <v/>
      </c>
      <c r="EK9"/>
      <c r="EL9" s="216" t="str">
        <f>IF(modelloAUTO2=$B$2,pezzi2*UNO,"")</f>
        <v/>
      </c>
      <c r="EM9" s="212" t="str">
        <f>IF(modelloAUTO2=$B$2,altezza2*DIECI+VLOOKUP($B$2,tabMODELLI,COLcoeffTAGLIOPROFILOdiAGGANCIOsistemaMODERNA,FALSE),"")</f>
        <v/>
      </c>
      <c r="EN9"/>
      <c r="EO9" s="216" t="str">
        <f>IF(modelloAUTO2=$B$2,pezzi2*UNO,"")</f>
        <v/>
      </c>
      <c r="EP9" s="212" t="str">
        <f>IF(modelloAUTO2=$B$2,altezza2*DIECI+VLOOKUP($B$2,tabMODELLI,COLcoeffTAGLIOPROFILOdiAGGANCIOsistemaMODERNA,FALSE),"")</f>
        <v/>
      </c>
      <c r="EQ9"/>
      <c r="ER9" s="216" t="str">
        <f>IF(modelloAUTO2=$B$2,pezzi2*UNO,"")</f>
        <v/>
      </c>
      <c r="ES9" s="212" t="str">
        <f>IF(modelloAUTO2=$B$2,altezza2*DIECI+VLOOKUP($B$2,tabMODELLI,COLcoeffTAGLIOPROFILIlateraliEverticaliAttaccatiALLAbarriera,FALSE),"")</f>
        <v/>
      </c>
      <c r="ET9" s="218"/>
      <c r="EU9" s="191" t="str">
        <f>IF(modelloAUTO2=$B$2,IF(PROFlatRICH2="",pezzi2*DUE*VLOOKUP($B$2,tabMODELLI,COLprofiliLATdiserie,FALSE),pezzi2*DUE),"")</f>
        <v/>
      </c>
      <c r="EV9" s="179" t="str">
        <f>IF(modelloAUTO2=$B$2,IF(PROFlatRICH2="","STD",PROFlatRICH2),"")</f>
        <v/>
      </c>
      <c r="EW9" s="275" t="str">
        <f>IF(modelloAUTO2=$B$2,IF(TIPOcopertina2="","",TIPOcopertina2),"")</f>
        <v/>
      </c>
      <c r="EX9" s="238" t="str">
        <f>IF(modelloAUTO2=$B$2,VLOOKUP($B$2,tabMODELLI,COLcoeffALTguarnINFERIOREschiacciata,FALSE)+(VLOOKUP($B$2,tabMODELLI,COLcoefALTdogaREALEda200,FALSE)+(VLOOKUP($B$2,tabMODELLI,COLcoefALTdogaSORMONTATAda200,FALSE)*(CEILING(altezza2*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9" s="218"/>
      <c r="EZ9" s="239" t="str">
        <f ca="1">IF(OR(modelloAUTO2=$B$2,modelloAUTO2=CLICK_RAPIDxPRIVATO),INDEX(INDIRECT("TABnCHIAVISTELLOvert"&amp;$B$2),rif_alt2,rif_larg2)*pezzi2,"")</f>
        <v/>
      </c>
      <c r="FA9" s="240" t="str">
        <f>IF(modelloAUTO2=$B$2,IF(AND(nCatenacci2&lt;&gt;"",profORIZZ2&lt;&gt;""),spessoreCATENACCIOverticale60X25X300,""),"")</f>
        <v/>
      </c>
      <c r="FB9" s="241" t="str">
        <f ca="1">IF(OR(nCatenacci2=0,nCatenacci2="",),"",(CJ9+QUATTRO-(IF(nCatenacci2="",ZERO,SESSANTA*(nCatenacci2/PZCLICK_RAPID2))))/((nCatenacci2/PZCLICK_RAPID2)+UNO))</f>
        <v/>
      </c>
      <c r="FD9" s="242" t="str">
        <f ca="1">IF(modelloAUTO2=$B$2,INDEX(INDIRECT("TABnMANIGLIEsuperiori"&amp;$B$2),rif_alt2,rif_larg2),"")</f>
        <v/>
      </c>
      <c r="FE9" s="243" t="str">
        <f ca="1">IF(modelloAUTO2=$B$2,(larghezza2-CATENACCIOLOorizzontaleINGOMBROclick_rapid-DUE)/INDEX(INDIRECT("TABnMANIGLIEsuperiori"&amp;$B$2),rif_alt2,rif_larg2),"")</f>
        <v/>
      </c>
      <c r="FG9" s="244" t="str">
        <f ca="1">IF(modelloAUTO2=$B$2,INDEX(INDIRECT("TABnMANIGLIEfrontali"&amp;$B$2),rif_alt2,rif_larg2),"")</f>
        <v/>
      </c>
      <c r="FH9"/>
      <c r="FI9" s="245">
        <f>((larghezza2*DIECI-COEFFlargCOMPLESSIVAdelKITcerniere_GANCIOassemblato))</f>
        <v>738</v>
      </c>
      <c r="FJ9" s="245">
        <f t="shared" si="17"/>
        <v>19.453363192402126</v>
      </c>
      <c r="FK9" s="245">
        <f t="shared" si="18"/>
        <v>0.4001326</v>
      </c>
      <c r="FL9" s="246">
        <f>(altezza2+TREDICI/DIECI)/CENTO*(CERNIERA_TUBOLARE_MODERNA+CERNIERA_APERTA_MODERNA+UNCINO)+(altezza2/(VLOOKUP($B$2,tabMODELLI,COLcoefALTdogaSORMONTATAda200,FALSE)/DIECI)*COEFFdogaINSERITAnellaCERNIERAaertaFINOallaFINEdelGANCIO*VLOOKUP($B$2,tabMODELLI,COLpesoALKGmlDOGA,FALSE))</f>
        <v>8.6801589999999997</v>
      </c>
      <c r="FM9" s="247">
        <f t="shared" si="19"/>
        <v>0.18663999999999997</v>
      </c>
      <c r="FN9" s="247">
        <f>altezza2/(VLOOKUP($B$2,tabMODELLI,COLcoefALTdogaSORMONTATAda200,FALSE)/DIECI)*((((larghezza2-(COEFFlargCOMPLESSIVAdelKITcerniere_GANCIOassemblato/DIECI))/CENTO)*VLOOKUP($B$2,tabMODELLI,COLpesoALKGmlDOGA,FALSE)))</f>
        <v>10.520189999999999</v>
      </c>
      <c r="FO9" s="247">
        <f>larghezza2/CENTO*PESOguarnORIZZmodernaKG\ML</f>
        <v>0.29970000000000002</v>
      </c>
      <c r="FP9" s="247">
        <f>(altezza2/(VLOOKUP($B$2,tabMODELLI,COLcoefALTdogaSORMONTATAda200,FALSE)/DIECI)-UNO)*((((larghezza2-(COEFFlargCOMPLESSIVAdelKITcerniere_GANCIOassemblato/DIECI))/CENTO)*pesoALmlDOPPIAsiliconaturaINunaDOGA))</f>
        <v>2.0664000000000002</v>
      </c>
      <c r="FQ9" s="247">
        <f>(altezza2/CENTO*H_MODERNA)</f>
        <v>0.72099999999999997</v>
      </c>
      <c r="FR9" s="248">
        <f t="shared" si="21"/>
        <v>11.437110800000001</v>
      </c>
      <c r="FS9" s="248">
        <f t="shared" si="22"/>
        <v>0.2271</v>
      </c>
      <c r="FT9" s="249">
        <f t="shared" ref="FT9:FT23" si="26">(FN9+FP9+FS9)/FI9</f>
        <v>1.7362723577235773E-2</v>
      </c>
      <c r="FU9" s="249">
        <f t="shared" ref="FU9:FU23" si="27">FN9+FP9+FQ9+FS9</f>
        <v>13.534689999999999</v>
      </c>
      <c r="FV9" s="249">
        <f t="shared" ref="FV9:FV23" si="28">FU9-FR9</f>
        <v>2.0975791999999984</v>
      </c>
      <c r="FW9" s="249">
        <f t="shared" si="23"/>
        <v>0</v>
      </c>
      <c r="FX9" s="246">
        <f t="shared" ref="FX9:FX23" si="29">FR9-FQ9</f>
        <v>10.716110800000001</v>
      </c>
      <c r="FY9" s="250">
        <f t="shared" si="24"/>
        <v>598.19065861590229</v>
      </c>
      <c r="FZ9"/>
      <c r="GA9" s="251"/>
      <c r="GB9" s="251"/>
      <c r="GC9" s="251"/>
      <c r="GD9" s="251"/>
      <c r="GE9" s="251"/>
      <c r="GF9" s="251"/>
      <c r="GG9" s="251"/>
      <c r="GH9"/>
      <c r="GI9" s="252" t="str">
        <f>IF(modelloAUTO2=$B$2,IF(PROFlatRICH2="",pezzi2*UNO*VLOOKUP($B$2,tabMODELLI,COLnMANIGLIAasportabile,FALSE),pezzi2*UNO),"")</f>
        <v/>
      </c>
      <c r="GJ9" s="252" t="str">
        <f>IF(modelloAUTO2=$B$2,pezzi2*DUE,"")</f>
        <v/>
      </c>
      <c r="GK9" s="252" t="str">
        <f>IF(modelloAUTO2=$B$2,pezzi2*UNO,"")</f>
        <v/>
      </c>
      <c r="GL9" s="253" t="str">
        <f>IF(modelloAUTO2=$B$2,IF(SYSTEMantiFURTO2&lt;&gt;"",VLOOKUP($B$2,TABsistemaANTIFURTO,COLusoVITEdISERIE,FALSE),pezzi2),"")</f>
        <v/>
      </c>
      <c r="GM9" s="252" t="str">
        <f>IF(modelloAUTO2=$B$2,pezzi2*UNO,"")</f>
        <v/>
      </c>
      <c r="GN9" s="252" t="str">
        <f>IF(modelloAUTO2=$B$2,NmaniglieDItrasporto2*DUE,"")</f>
        <v/>
      </c>
      <c r="GO9" s="254" t="str">
        <f>IF(modelloAUTO2=$B$2,pezzi2*QUINDICI,"")</f>
        <v/>
      </c>
      <c r="GP9" s="254" t="str">
        <f>IF(modelloAUTO2=$B$2,pezzi2*DUE,"")</f>
        <v/>
      </c>
      <c r="GQ9" s="254" t="str">
        <f>IF(modelloAUTO2=$B$2,pezzi2*DUE,"")</f>
        <v/>
      </c>
      <c r="GR9" s="254" t="str">
        <f>IF(modelloAUTO2=$B$2,pezzi2*UNO,"")</f>
        <v/>
      </c>
      <c r="GS9" s="254" t="str">
        <f>IF(modelloAUTO2=$B$2,pezzi2*DUE,"")</f>
        <v/>
      </c>
      <c r="GT9" s="254" t="str">
        <f>IF(modelloAUTO2=$B$2,pezzi2*DUE,"")</f>
        <v/>
      </c>
      <c r="GU9" s="254" t="str">
        <f>IF(modelloAUTO2=$B$2,pezzi2*DUE,"")</f>
        <v/>
      </c>
      <c r="GV9" s="254" t="str">
        <f>IF(modelloAUTO2=$B$2,pezzi2*DUE,"")</f>
        <v/>
      </c>
      <c r="GW9" s="251"/>
      <c r="GX9" s="251"/>
      <c r="GY9" s="251"/>
      <c r="GZ9" s="251"/>
      <c r="HA9" s="251"/>
      <c r="HB9" s="251"/>
      <c r="HC9" s="251"/>
      <c r="HD9" s="251"/>
      <c r="HE9" s="251"/>
      <c r="HF9" s="251"/>
      <c r="HG9" s="251"/>
      <c r="HH9" s="251"/>
      <c r="HI9" s="251"/>
      <c r="HJ9" s="251"/>
      <c r="HK9" s="251"/>
      <c r="HL9" s="251"/>
      <c r="HN9" s="191" t="str">
        <f>IF(modelloAUTO2=$B$2,IF(PROFlatRICH2="",pezzi2*VLOOKUP($B$2,tabMODELLI,COLnGUARNorizzINFERIOREbarriera,FALSE),pezzi2),"")</f>
        <v/>
      </c>
      <c r="HO9" s="193" t="str">
        <f>IF(modelloAUTO2=$B$2,IF(VLOOKUP($B$2,tabMODELLI,COLnGUARNorizzINFERIOREbarriera,FALSE)="","",larghezza2),"")</f>
        <v/>
      </c>
      <c r="HQ9" s="191" t="str">
        <f>IF(modelloAUTO2=$B$2,IF(PROFlatRICH2="",pezzi2*DUE*VLOOKUP($B$2,tabMODELLI,COLnGUARNorizzINTERMEDIEbarriera,FALSE),pezzi2*DUE),"")</f>
        <v/>
      </c>
      <c r="HR9" s="193" t="str">
        <f>IF(modelloAUTO2=$B$2,IF(VLOOKUP($B$2,tabMODELLI,COLnGUARNorizzINTERMEDIEbarriera,FALSE)="","",larghezza2),"")</f>
        <v/>
      </c>
      <c r="HT9" s="191" t="str">
        <f>IF(modelloAUTO2=$B$2,IF(PROFlatRICH2="",pezzi2*UNO*VLOOKUP($B$2,tabMODELLI,COLnGUARNvertBARRIERA,FALSE),pezzi2*UNO),"")</f>
        <v/>
      </c>
      <c r="HU9" s="193" t="str">
        <f>IF(modelloAUTO2=$B$2,IF(VLOOKUP($B$2,tabMODELLI,COLnGUARNvertBARRIERA,FALSE)="","",altezza2),"")</f>
        <v/>
      </c>
      <c r="HV9"/>
      <c r="HW9" s="191" t="str">
        <f>IF(modelloAUTO2=$B$2,IF(PROFlatRICH2="",pezzi2*VLOOKUP($B$2,tabMODELLI,COLnTAPPIdiGIUNZIONEguarnORIZZconVERT,FALSE),pezzi2),"")</f>
        <v/>
      </c>
      <c r="HX9"/>
      <c r="HY9" s="191" t="str">
        <f>IF(modelloAUTO2=$B$2,IF(PROFlatRICH2="",pezzi2*VLOOKUP($B$2,tabMODELLI,COLnGUARNorizzPROFILOdiTENUTAlaterale,FALSE),pezzi2),"")</f>
        <v/>
      </c>
      <c r="HZ9" s="193" t="str">
        <f>IF(modelloAUTO2=$B$2,IF(VLOOKUP($B$2,tabMODELLI,COLnGUARNorizzPROFILOdiTENUTAlaterale,FALSE)="","",altezza2),"")</f>
        <v/>
      </c>
      <c r="IA9"/>
      <c r="IB9" s="191" t="str">
        <f>IF(modelloAUTO2=$B$2,IF(PROFlatRICH2="",pezzi2*VLOOKUP($B$2,tabMODELLI,COLnGUARNvertPROFILOdiTENUTAlaterale,FALSE),pezzi2),"")</f>
        <v/>
      </c>
      <c r="IC9" s="193" t="str">
        <f>IF(modelloAUTO2=$B$2,IF(VLOOKUP($B$2,tabMODELLI,COLnGUARNvertPROFILOdiTENUTAlaterale,FALSE)="","",altezza2),"")</f>
        <v/>
      </c>
      <c r="ID9"/>
      <c r="IE9" s="191" t="str">
        <f>IF(modelloAUTO2=$B$2,IF(PROFlatRICH2="",pezzi2*VLOOKUP($B$2,tabMODELLI,COLnPROFILIinNYLON,FALSE),pezzi2),"")</f>
        <v/>
      </c>
      <c r="IF9" s="193" t="str">
        <f>IF(modelloAUTO2=$B$2,IF(VLOOKUP($B$2,tabMODELLI,COLnPROFILIinNYLON,FALSE)="","",altezza2),"")</f>
        <v/>
      </c>
      <c r="IH9" s="171" t="str">
        <f>IF(modelloAUTO2=$B$2,IF(PROFoTUBsxRICH2="","",pezzi2),"")</f>
        <v/>
      </c>
      <c r="II9" s="199" t="str">
        <f>IF(modelloAUTO2=$B$2,IF(PROFoTUBsxRICH2="","",PROFoTUBsxRICH2),"")</f>
        <v/>
      </c>
      <c r="IJ9" s="257" t="str">
        <f>IF(AND(modelloAUTO2=$B$2,PROFoTUBsxRICH2&lt;&gt;""),IF(ALTprofOtubRICHsx2="","STD",ALTprofOtubRICHsx2*DIECI),"")</f>
        <v/>
      </c>
      <c r="IL9" s="201" t="str">
        <f>IF(modelloAUTO2=$B$2,IF(PROFoTUBsxRICH2="","",IF(vernPROFoTUBlatSX2="","STD",vernPROFoTUBlatSX2)),"")</f>
        <v/>
      </c>
      <c r="IN9" s="171" t="str">
        <f>IF(modelloAUTO2=$B$2,IF(PROFoTUBdxRICH2="","",pezzi2),"")</f>
        <v/>
      </c>
      <c r="IO9" s="202" t="str">
        <f>IF(modelloAUTO2=$B$2,IF(PROFoTUBdxRICH2="","",PROFoTUBdxRICH2),"")</f>
        <v/>
      </c>
      <c r="IP9" s="257" t="str">
        <f>IF(AND(modelloAUTO2=$B$2,PROFoTUBdxRICH2&lt;&gt;""),IF(ALTprofOtubRICHdx2="","STD",ALTprofOtubRICHdx2*DIECI),"")</f>
        <v/>
      </c>
      <c r="IR9" s="203" t="str">
        <f>IF(modelloAUTO2=$B$2,IF(PROFoTUBdxRICH2="","",IF(vernPROFoTUBlatDX2="","STD",vernPROFoTUBlatDX2)),"")</f>
        <v/>
      </c>
      <c r="IT9" s="204" t="str">
        <f>IF(modelloAUTO2=$B$2,IF(profORIZZ2="","",pezzi2),"")</f>
        <v/>
      </c>
      <c r="IU9" s="205" t="str">
        <f>IF(modelloAUTO2=$B$2,IF(profORIZZ2="","",CODpiattoORIZZsugg2),"")</f>
        <v/>
      </c>
      <c r="IV9" s="206" t="str">
        <f>IF(modelloAUTO2=$B$2,IF(profORIZZ2="","",larghezza2*DIECI+IF(PROFoTUBsxRICH2="",ZERO,VLOOKUP(PROFoTUBsxRICH2,TABprofOtubLATERALI,COLlargPROFoTUBlat,FALSE))+IF(PROFoTUBdxRICH2="",ZERO,VLOOKUP(PROFoTUBdxRICH2,TABprofOtubLATERALI,COLlargPROFoTUBlat,FALSE))),"")</f>
        <v/>
      </c>
      <c r="IW9"/>
      <c r="IX9" s="168">
        <v>2</v>
      </c>
      <c r="IY9" s="258" t="str">
        <f>IF(AND(modelloAUTO2=$B$2,SYSTEMantiFURTO2&lt;&gt;""),VLOOKUP($B$2,TABsistemaANTIFURTO,COLlucchetto,FALSE),"")</f>
        <v/>
      </c>
      <c r="IZ9" s="258" t="str">
        <f>IF(AND(modelloAUTO2=$B$2,SYSTEMantiFURTO2&lt;&gt;""),VLOOKUP($B$2,TABsistemaANTIFURTO,COLaccessorioANTIFURTO2,FALSE),"")</f>
        <v/>
      </c>
      <c r="JA9" s="258" t="str">
        <f>IF(AND(modelloAUTO2=$B$2,SYSTEMantiFURTO2&lt;&gt;""),VLOOKUP($B$2,TABsistemaANTIFURTO,COLaccessorioANTIFURTO,FALSE),"")</f>
        <v/>
      </c>
      <c r="JB9" s="258" t="str">
        <f>IF(AND(modelloAUTO2=$B$2,SYSTEMantiFURTO2&lt;&gt;""),VLOOKUP($B$2,TABsistemaANTIFURTO,COLviteSPECIALExANTIFURTO,FALSE),"")</f>
        <v/>
      </c>
      <c r="JC9" s="258" t="str">
        <f>IF(AND(modelloAUTO2=$B$2,SYSTEMantiFURTO2&lt;&gt;""),VLOOKUP($B$2,TABsistemaANTIFURTO,COLlavorazioneXantifurto,FALSE),"")</f>
        <v/>
      </c>
      <c r="JD9"/>
      <c r="JE9"/>
      <c r="JF9"/>
      <c r="JG9"/>
      <c r="JH9"/>
      <c r="JI9"/>
      <c r="JJ9"/>
      <c r="JK9"/>
      <c r="JL9"/>
      <c r="JM9"/>
      <c r="JN9"/>
      <c r="JO9"/>
      <c r="JP9"/>
      <c r="JQ9"/>
      <c r="JR9"/>
      <c r="JS9"/>
      <c r="JT9"/>
      <c r="JU9"/>
      <c r="JV9"/>
      <c r="JW9"/>
      <c r="JX9" s="168">
        <v>2</v>
      </c>
      <c r="JY9" s="210" t="str">
        <f>IF(modelloAUTO2=$B$2,IF(fornPIANTcentr2="","",fornPIANTcentr2*pezzi2),"")</f>
        <v/>
      </c>
      <c r="JZ9" s="210" t="str">
        <f>IF(modelloAUTO2=$B$2,IF(fornPIANTcentr2="","",CODpiantCENTRsugg2),"")</f>
        <v/>
      </c>
      <c r="KB9" s="210" t="str">
        <f>IF(modelloAUTO2=$B$2,IF(CODpiantCENTRsuggAPPOG2="","",CODpiantCENTRdiAPPOGGIOrich2),"")</f>
        <v/>
      </c>
      <c r="KC9" s="210" t="str">
        <f>IF(modelloAUTO2=$B$2,IF(CODpiantCENTRsuggAPPOG2="","",CODpiantCENTRsuggAPPOG2),"")</f>
        <v/>
      </c>
      <c r="KP9" s="168">
        <v>2</v>
      </c>
      <c r="KQ9" s="259" t="str">
        <f>IF(AND(modelloAUTO2=$B$2,VLOOKUP($B$2,tabMODELLI,COLcoeffPOSSIBILITApellicolaADESIVA,FALSE)=UNO),IF(PELLICOLA2="","",pezzi2),"")</f>
        <v/>
      </c>
      <c r="KR9" s="236" t="str">
        <f>IF(AND(modelloAUTO2=$B$2,VLOOKUP($B$2,tabMODELLI,COLcoeffPOSSIBILITApellicolaADESIVA,FALSE)=UNO),IF(PELLICOLA2="","",larghezza2*DIECI-(VLOOKUP($B$2,tabMODELLI,COLcoeffPELLICOLAadesivaLARG,FALSE))),"")</f>
        <v/>
      </c>
      <c r="KS9" s="236" t="str">
        <f>IF(AND(modelloAUTO2=$B$2,VLOOKUP($B$2,tabMODELLI,COLcoeffPOSSIBILITApellicolaADESIVA,FALSE)=UNO),IF(PELLICOLA2="","",altezza2*DIECI-(VLOOKUP($B$2,tabMODELLI,COLcoeffPELLICOLAadesivaLARG,FALSE))),"")</f>
        <v/>
      </c>
      <c r="MA9" s="168">
        <v>2</v>
      </c>
      <c r="MB9" s="260" t="str">
        <f>IF(modelloAUTO2=$B$2,stanza2,"")</f>
        <v/>
      </c>
      <c r="MC9" s="168">
        <v>2</v>
      </c>
      <c r="MD9" s="230" t="str">
        <f>IF(modelloAUTO2=$B$2,larghezza2*DIECI+4+VLOOKUP($B$2,tabMODELLI,COLcoefAUMlargBUSTApvc,FALSE)+VLOOKUP($B$2,tabMODELLI,COLcoefAUMlargXprofILIlateraliBUSTApvc,FALSE)+IF(PROFoTUBsxRICH2="",ZERO,VLOOKUP(PROFoTUBsxRICH2,TABprofOtubLATERALI,COLlargPROFoTUBlatXimballaggio,FALSE)+profELETTRODOsaldaturaPVC)+IF(PROFoTUBdxRICH2="",ZERO,VLOOKUP(PROFoTUBdxRICH2,TABprofOtubLATERALI,COLlargPROFoTUBlatXimballaggio,FALSE)+profELETTRODOsaldaturaPVC),"")</f>
        <v/>
      </c>
      <c r="ME9" s="230" t="str">
        <f>IF(modelloAUTO2=$B$2,altezza2*DIECI*DUE+VLOOKUP($B$2,tabMODELLI,COLcoefAUMaltBUSTApvc,FALSE),"")</f>
        <v/>
      </c>
      <c r="MF9" s="261"/>
      <c r="MG9" s="230" t="str">
        <f>IF(modelloAUTO2=$B$2,altezza2*DIECI+VLOOKUP($B$2,tabMODELLI,COLcoeffSALDATURAinALTbustaPVC,FALSE),"")</f>
        <v/>
      </c>
      <c r="MH9" s="230" t="str">
        <f>IF(modelloAUTO2=$B$2,VLOOKUP($B$2,tabMODELLI,COLcoeffSALDATURAinLARGperTASCAbustaPVC,FALSE),"")</f>
        <v/>
      </c>
      <c r="MI9" s="230" t="str">
        <f>IF(modelloAUTO2=$B$2,IF(PROFoTUBsxRICH2="","",VLOOKUP(PROFoTUBsxRICH2,TABprofOtubLATERALI,COLlargPROFoTUBlatXimballaggio,FALSE)),"")</f>
        <v/>
      </c>
      <c r="MJ9" s="230" t="str">
        <f>IF(modelloAUTO2=$B$2,IF(PROFoTUBdxRICH2="","",VLOOKUP(PROFoTUBdxRICH2,TABprofOtubLATERALI,COLlargPROFoTUBlatXimballaggio,FALSE)),"")</f>
        <v/>
      </c>
      <c r="ML9" s="262" t="str">
        <f>IF(modelloAUTO2=$B$2,pezzi2*DUE,"")</f>
        <v/>
      </c>
      <c r="MM9" s="263" t="str">
        <f>IF(modelloAUTO2=$B$2,larghezza2+VLOOKUP($B$2,tabMODELLI,COLcoeffAUMoCALOinLARGpolistirolo,FALSE),"")</f>
        <v/>
      </c>
      <c r="MN9" s="263" t="str">
        <f>IF(modelloAUTO2=$B$2,altezza2+VLOOKUP($B$2,tabMODELLI,COLcoeffAUMoCALOinALTpolistirolo,FALSE),"")</f>
        <v/>
      </c>
      <c r="MP9" s="264" t="str">
        <f>IF(modelloAUTO2=$B$2,IF(VLOOKUP($B$2,tabMODELLI,COLcoeffAUMoCALOinLARGprofiloAu,FALSE)="",pezzi2*DUE,pezzi2*UNO),"")</f>
        <v/>
      </c>
      <c r="MQ9" s="265" t="str">
        <f>IF(modelloAUTO2=$B$2,VLOOKUP($B$2,tabMODELLI,COLdimStdSTRISCIAdelFIANCOxLARG1polistirolo,FALSE),"")</f>
        <v/>
      </c>
      <c r="MR9" s="263" t="str">
        <f>IF(modelloAUTO2=$B$2,larghezza2+VLOOKUP($B$2,tabMODELLI,colCOEFFdellaLARGnelFIANCOpolistirolo,FALSE),"")</f>
        <v/>
      </c>
      <c r="MT9" s="262" t="str">
        <f>IF(modelloAUTO2=$B$2,IF(VLOOKUP($B$2,tabMODELLI,COLdimstdSTRISCIAdelFIANCOxALT2polistirolo,FALSE)="",pezzi2*DUE,pezzi2),"")</f>
        <v/>
      </c>
      <c r="MU9" s="265" t="str">
        <f>IF(modelloAUTO2=$B$2,VLOOKUP($B$2,tabMODELLI,COLdimstdSTRISCIAdelFIANCOxALT1polistirolo,FALSE),"")</f>
        <v/>
      </c>
      <c r="MV9" s="263" t="str">
        <f>IF(modelloAUTO2=$B$2,altezza2+VLOOKUP($B$2,tabMODELLI,colCOEFFdellaALTnelFIANCOpolistirolo,FALSE),"")</f>
        <v/>
      </c>
      <c r="MX9" s="266" t="str">
        <f>IF(modelloAUTO2=$B$2,IF(VLOOKUP($B$2,tabMODELLI,COLdimstdSTRISCIAdelFIANCOxALT2polistirolo,FALSE)="","",pezzi2*UNO),"")</f>
        <v/>
      </c>
      <c r="MY9" s="267" t="str">
        <f>IF(modelloAUTO2=$B$2,IF(VLOOKUP($B$2,tabMODELLI,COLdimstdSTRISCIAdelFIANCOxALT2polistirolo,FALSE)="","",VLOOKUP($B$2,tabMODELLI,COLdimstdSTRISCIAdelFIANCOxALT2polistirolo,FALSE)),"")</f>
        <v/>
      </c>
      <c r="MZ9" s="263" t="str">
        <f>IF(modelloAUTO2=$B$2,altezza2+VLOOKUP($B$2,tabMODELLI,colCOEFFdellaALTnelFIANCOpolistirolo,FALSE),"")</f>
        <v/>
      </c>
      <c r="NB9" s="266" t="str">
        <f>IF(modelloAUTO2=$B$2,IF(VLOOKUP($B$2,tabMODELLI,COLcoeffAUMoCALOinLARGprofiloAu,FALSE)="","",pezzi2*UNO),"")</f>
        <v/>
      </c>
      <c r="NC9" s="216" t="str">
        <f>IF(modelloAUTO2=$B$2,IF(VLOOKUP($B$2,tabMODELLI,COLcoeffAUMoCALOinLARGprofiloAu,FALSE)="","",larghezza2+VLOOKUP($B$2,tabMODELLI,COLcoeffAUMoCALOinLARGprofiloAu,FALSE)),"")</f>
        <v/>
      </c>
      <c r="ND9" s="191" t="str">
        <f>IF(modelloAUTO2=$B$2,IF(VLOOKUP($B$2,tabMODELLI,COLcoeffAUMoCALOinLARGprofiloAu,FALSE)="","",VLOOKUP($B$2,tabMODELLI,COLdimstdSTRISCIAdelFIANCOxALT1polistirolo,FALSE)),"")</f>
        <v/>
      </c>
      <c r="NE9"/>
      <c r="NI9" s="168">
        <v>2</v>
      </c>
      <c r="NJ9" s="171">
        <f>IF(pezzi2="","",pezzi2)</f>
        <v>1</v>
      </c>
      <c r="NK9" s="170" t="str">
        <f>IF(modelloAUTO2="","",modelloAUTO2)</f>
        <v>CLICK_RAPID</v>
      </c>
      <c r="NL9" s="172">
        <f>IF(larghezza2="","",LARGortogonalitaADEGUATA2)</f>
        <v>99.9</v>
      </c>
      <c r="NM9" s="173">
        <f>IF(altezza2="","",altezza2)</f>
        <v>100</v>
      </c>
      <c r="NO9" s="189">
        <f>IF(PesoTEORICOparatia2="","",PesoTEORICOparatia2)</f>
        <v>9.99</v>
      </c>
      <c r="NR9"/>
      <c r="NS9"/>
      <c r="NT9"/>
      <c r="NU9"/>
      <c r="NV9"/>
      <c r="NW9"/>
      <c r="NX9"/>
      <c r="NY9"/>
      <c r="NZ9"/>
      <c r="OA9"/>
      <c r="OB9"/>
      <c r="OC9"/>
      <c r="OD9"/>
      <c r="OE9"/>
      <c r="OG9" s="269"/>
      <c r="OH9" s="270"/>
      <c r="OI9" s="270"/>
      <c r="OJ9" s="270"/>
      <c r="OK9" s="270"/>
      <c r="OL9" s="270"/>
      <c r="OM9" s="271"/>
      <c r="ON9" s="270"/>
      <c r="OO9" s="271"/>
    </row>
    <row r="10" spans="1:412" s="150" customFormat="1" ht="34.5" customHeight="1">
      <c r="A10" s="168">
        <v>3</v>
      </c>
      <c r="B10" s="169" t="str">
        <f>IF(stanza3="","",stanza3)</f>
        <v/>
      </c>
      <c r="C10" s="170"/>
      <c r="D10" s="171"/>
      <c r="E10" s="172"/>
      <c r="F10" s="173"/>
      <c r="G10" s="174"/>
      <c r="H10" s="175"/>
      <c r="I10" s="176" t="str">
        <f>IF(modelloAUTO3="","",IF(vernBarriera3="","",vernBarriera3))</f>
        <v/>
      </c>
      <c r="J10" s="177" t="str">
        <f>IF(modelloAUTO3=$B$2,IF(PELLICOLA3="","",pezzi3),"")</f>
        <v/>
      </c>
      <c r="K10" s="178" t="str">
        <f t="shared" si="1"/>
        <v/>
      </c>
      <c r="M10" s="179" t="str">
        <f>IF(modelloAUTO3=$B$2,IF(PROFlatAUTO3="ESCLUSI","",IF(PROFlatRICH3="","STD",PROFlatRICH3)),"")</f>
        <v/>
      </c>
      <c r="N10" s="180" t="str">
        <f>IF(AND(modelloAUTO3=$B$2,COPERTINAauto3&lt;&gt;""),TIPOcopertina3,"")</f>
        <v/>
      </c>
      <c r="O10" s="181" t="str">
        <f>IF(AND(modelloAUTO3=$B$2,PROFlatAUTO3&lt;&gt;"ESCLUSI"),IF(AND(COPERTINAauto3&lt;&gt;"",ALTprofLATrich3=""),"STD",ALTprofLATrich3*DIECI),"")</f>
        <v/>
      </c>
      <c r="P10" s="176" t="str">
        <f>IF(modelloAUTO3="","",IF(vernPROFlatTEN3="","",vernPROFlatTEN3))</f>
        <v/>
      </c>
      <c r="R10" s="176" t="str">
        <f>IF(PROFoTUBsxRICH3="","",PROFoTUBsxRICH3)</f>
        <v/>
      </c>
      <c r="S10" s="182"/>
      <c r="T10" s="176" t="str">
        <f>IF(modelloAUTO3="","",IF(PROFoTUBdxRICH3="","",PROFoTUBdxRICH3))</f>
        <v/>
      </c>
      <c r="U10" s="182"/>
      <c r="V10" s="183" t="str">
        <f>IF(modelloAUTO3="","",IF(PROFoTUBsxRICH3="","",IF(ALTprofOtubRICHsx3="","SX: STD","SX: "&amp;ALTprofOtubRICHsx3&amp;" - "))&amp;IF(PROFoTUBdxRICH3="","",IF(ALTprofOtubRICHdx3="","  DX: STD","DX :"&amp;ALTprofOtubRICHdx3)))</f>
        <v/>
      </c>
      <c r="W10" s="184" t="str">
        <f>IF(modello3="","",IF(vernPROFoTUBlatSX3="","","SX: "&amp;vernPROFoTUBlatSX3&amp;" - ")&amp;IF(vernPROFoTUBlatDX3="",""," DX: "&amp;vernPROFoTUBlatDX3))</f>
        <v/>
      </c>
      <c r="Y10" s="185" t="str">
        <f>IF(modelloAUTO3="","",IF(OR(larghezza3="",profORIZZ3=""),"",CODpiattoORIZZsugg3))</f>
        <v/>
      </c>
      <c r="Z10" s="186" t="str">
        <f>IF(modelloAUTO3="","",IF(profORIZZ3="","",larghezza3+IF(PROFoTUBsxRICH3="",0,VLOOKUP(PROFoTUBsxRICH3,TABprofOtubLATERALI,COLlargPROFoTUBlat,FALSE))+IF(PROFoTUBdxRICH3="",0,VLOOKUP(PROFoTUBdxRICH3,TABprofOtubLATERALI,COLlargPROFoTUBlat,FALSE))))</f>
        <v/>
      </c>
      <c r="AB10" s="187" t="str">
        <f>IF(modelloAUTO3="","",IF(CODpiantCENTRsugg3="","","N° "&amp;fornPIANTcentr3&amp;"-"&amp;IF(CODpiantCENTRsugg3=0,"ERRORE",CODpiantCENTRsugg3)))</f>
        <v/>
      </c>
      <c r="AC10" s="187" t="str">
        <f ca="1">IF(modelloAUTO3="","",IF(CODpiantCENTRsuggAPPOG3="","","N° "&amp;CODpiantCENTRdiAPPOGGIOrich3&amp;"-"&amp;IF(CODpiantCENTRsuggAPPOG3=0,"ERRORE",CODpiantCENTRsuggAPPOG3)))</f>
        <v/>
      </c>
      <c r="AE10" s="188" t="str">
        <f>IF(modelloAUTO3="","",IF(note_cliente3="","",note_cliente3))</f>
        <v/>
      </c>
      <c r="AF10" s="189">
        <f>IF(PesoTEORICOparatia3="","",PesoTEORICOparatia3)</f>
        <v>9.99</v>
      </c>
      <c r="AG10" s="190">
        <v>3</v>
      </c>
      <c r="AI10" s="191" t="str">
        <f>IF(modelloAUTO3=$B$2,pezzi3*UNO,"")</f>
        <v/>
      </c>
      <c r="AJ10" s="192" t="str">
        <f>IF(modelloAUTO3=$B$2,larghezza3,"")</f>
        <v/>
      </c>
      <c r="AK10" s="193" t="str">
        <f>IF(modelloAUTO3=$B$2,altezza3,"")</f>
        <v/>
      </c>
      <c r="AL10" s="174" t="str">
        <f t="shared" si="2"/>
        <v/>
      </c>
      <c r="AM10" s="173" t="str">
        <f t="shared" si="3"/>
        <v>DX (di serie)</v>
      </c>
      <c r="AN10" s="194"/>
      <c r="AO10"/>
      <c r="AP10" s="195" t="str">
        <f>IF(modelloAUTO3=$B$2,IF(PROFlatRICH3="",pezzi3*DUE*VLOOKUP($B$2,tabMODELLI,COLprofiliLATdiserie,FALSE),pezzi3*DUE),"")</f>
        <v/>
      </c>
      <c r="AQ10" s="179" t="str">
        <f>IF(modelloAUTO3=$B$2,IF(PROFlatAUTO3="ESCLUSI","",IF(PROFlatRICH3="","STD",PROFlatRICH3)),"")</f>
        <v/>
      </c>
      <c r="AR10" s="196" t="str">
        <f>IF(AND(modelloAUTO3=$B$2,PROFlatAUTO3&lt;&gt;"ESCLUSI"),IF(ALTprofLATrich3="","STD",ALTprofLATrich3*DIECI),"")</f>
        <v/>
      </c>
      <c r="AT10" s="272" t="str">
        <f>IF(modelloAUTO3=$B$2,IF(TIPOcopertina3="","",TIPOcopertina3),"")</f>
        <v/>
      </c>
      <c r="AV10" s="198" t="str">
        <f>IF(modelloAUTO3=$B$2,IF(vernBarriera3="","STD",vernBarriera3),"")</f>
        <v/>
      </c>
      <c r="AX10" s="171" t="str">
        <f>IF(modelloAUTO3=$B$2,IF(PROFoTUBsxRICH3="","",pezzi3),"")</f>
        <v/>
      </c>
      <c r="AY10" s="199" t="str">
        <f>IF(modelloAUTO3=$B$2,IF(PROFoTUBsxRICH3="","",PROFoTUBsxRICH3),"")</f>
        <v/>
      </c>
      <c r="AZ10" s="200" t="str">
        <f>IF(AND(modelloAUTO3=$B$2,PROFoTUBsxRICH3&lt;&gt;""),IF(ALTprofOtubRICHsx3="","STD",ALTprofOtubRICHsx3),"")</f>
        <v/>
      </c>
      <c r="BB10" s="201" t="str">
        <f>IF(modelloAUTO3=$B$2,IF(PROFoTUBsxRICH3="","",IF(vernPROFoTUBlatSX3="","STD",vernPROFoTUBlatSX3)),"")</f>
        <v/>
      </c>
      <c r="BD10" s="171" t="str">
        <f>IF(modelloAUTO3=$B$2,IF(PROFoTUBdxRICH3="","",pezzi3),"")</f>
        <v/>
      </c>
      <c r="BE10" s="202" t="str">
        <f>IF(modelloAUTO3=$B$2,IF(PROFoTUBdxRICH3="","",PROFoTUBdxRICH3),"")</f>
        <v/>
      </c>
      <c r="BF10" s="200" t="str">
        <f>IF(AND(modelloAUTO3=$B$2,PROFoTUBdxRICH3&lt;&gt;""),IF(ALTprofOtubRICHdx3="","STD",ALTprofOtubRICHdx3),"")</f>
        <v/>
      </c>
      <c r="BH10" s="203" t="str">
        <f>IF(modelloAUTO3=$B$2,IF(PROFoTUBdxRICH3="","",IF(vernPROFoTUBlatDX3="","STD",vernPROFoTUBlatDX3)),"")</f>
        <v/>
      </c>
      <c r="BJ10" s="204" t="str">
        <f>IF(modelloAUTO3=$B$2,IF(profORIZZ3="","",pezzi3),"")</f>
        <v/>
      </c>
      <c r="BK10" s="205" t="str">
        <f>IF(modelloAUTO3=$B$2,IF(profORIZZ3="","",CODpiattoORIZZsugg3),"")</f>
        <v/>
      </c>
      <c r="BL10" s="206" t="str">
        <f>IF(modelloAUTO3=$B$2,IF(profORIZZ3="","",larghezza3*UNO+IF(PROFoTUBsxRICH3="",ZERO,VLOOKUP(PROFoTUBsxRICH3,TABprofOtubLATERALI,COLlargPROFoTUBlat,FALSE))+IF(PROFoTUBdxRICH3="",ZERO,VLOOKUP(PROFoTUBdxRICH3,TABprofOtubLATERALI,COLlargPROFoTUBlat,FALSE))),"")</f>
        <v/>
      </c>
      <c r="BN10" s="207" t="str">
        <f ca="1">IF(modelloAUTO3=$B$2,INDEX(INDIRECT("TABnCHIAVISTELLOvert"&amp;$B$2),rif_alt3,rif_larg3)*pezzi3,"")</f>
        <v/>
      </c>
      <c r="BO10"/>
      <c r="BP10" s="178" t="str">
        <f t="shared" si="4"/>
        <v/>
      </c>
      <c r="BQ10" s="208" t="str">
        <f ca="1">IF(modelloAUTO3=$B$2,INDEX(INDIRECT("TABnMANIGLIEsuperiori"&amp;$B$2),rif_alt3,rif_larg3)+INDEX(INDIRECT("TABnMANIGLIEfrontali"&amp;$B$2),rif_alt3,rif_larg3),"")</f>
        <v/>
      </c>
      <c r="BR10" s="191" t="str">
        <f>IF(modelloAUTO3=$B$2,pezzi3*DUE,"")</f>
        <v/>
      </c>
      <c r="BS10" s="209" t="str">
        <f>IF(modelloAUTO3=$B$2,BQ10*DUE,"")</f>
        <v/>
      </c>
      <c r="BT10" s="209" t="str">
        <f>IF(modelloAUTO3=$B$2,BR10*TRE,"")</f>
        <v/>
      </c>
      <c r="BU10" s="191" t="str">
        <f>IF(modelloAUTO3=$B$2,pezzi3*DUE,"")</f>
        <v/>
      </c>
      <c r="BV10" s="191" t="str">
        <f>IF(modelloAUTO3=$B$2,pezzi3*DUE,"")</f>
        <v/>
      </c>
      <c r="BW10" s="191" t="str">
        <f>IF(modelloAUTO3=$B$2,pezzi3*DUE,"")</f>
        <v/>
      </c>
      <c r="BX10" s="191" t="str">
        <f>IF(modelloAUTO3=$B$2,pezzi3*DUE,"")</f>
        <v/>
      </c>
      <c r="BY10" s="191" t="str">
        <f>IF(modelloAUTO3=$B$2,pezzi3*DUE,"")</f>
        <v/>
      </c>
      <c r="CA10" s="210" t="str">
        <f>IF(modelloAUTO3=$B$2,IF(fornPIANTcentr3="","",fornPIANTcentr3*pezzi3),"")</f>
        <v/>
      </c>
      <c r="CB10" s="210" t="str">
        <f>IF(modelloAUTO3=$B$2,IF(fornPIANTcentr3="","",CODpiantCENTRsugg3),"")</f>
        <v/>
      </c>
      <c r="CD10" s="210" t="str">
        <f>IF(modelloAUTO3=$B$2,IF(CODpiantCENTRsuggAPPOG3="","",CODpiantCENTRdiAPPOGGIOrich3),"")</f>
        <v/>
      </c>
      <c r="CE10" s="210" t="str">
        <f>IF(modelloAUTO3=$B$2,IF(CODpiantCENTRsuggAPPOG3="","",CODpiantCENTRsuggAPPOG3),"")</f>
        <v/>
      </c>
      <c r="CG10" s="273">
        <v>3</v>
      </c>
      <c r="CI10" s="211" t="str">
        <f>IF(modelloAUTO3=$B$2,altezza3*DIECI/FLOOR(VLOOKUP($B$2,tabMODELLI,COLcoefALTdogaSORMONTATAda200,FALSE),UNO)*pezzi3,"")</f>
        <v/>
      </c>
      <c r="CJ10" s="212" t="str">
        <f>IF(modelloAUTO3=$B$2,larghezza3*DIECI-VLOOKUP($B$2,tabMODELLI,COLcoeffTAGLIOdogaOPPURElastraINlarg,FALSE)-VLOOKUP(PROFlatAUTO3,TABprofLATten,COLcoeffCALOdoga,FALSE),"")</f>
        <v/>
      </c>
      <c r="CK10"/>
      <c r="CL10" s="213" t="str">
        <f>IF(modelloAUTO3=$B$2,(altezza3*DIECI/FLOOR(VLOOKUP($B$2,tabMODELLI,COLcoefALTdogaSORMONTATAda200,FALSE),CENTO)-FLOOR(altezza3*DIECI/FLOOR(VLOOKUP($B$2,tabMODELLI,COLcoefALTdogaSORMONTATAda200,FALSE),CENTO),UNO))*pezzi3,"")</f>
        <v/>
      </c>
      <c r="CM10" s="214" t="str">
        <f>IF(modelloAUTO3=$B$2,(((altezza3*DIECI-VLOOKUP($B$2,tabMODELLI,COLcoeffCALOtaglioPANNELLObarrieraMONOLITICOoASSEMBLATOInALT,FALSE))/VLOOKUP($B$2,tabMODELLI,colALTnominaleDOGAmm,FALSE)-(FLOOR(altezza3*DIECI/FLOOR(VLOOKUP($B$2,tabMODELLI,COLcoefALTdogaSORMONTATAda200,FALSE),CENTO),UNO)))*(VLOOKUP($B$2,tabMODELLI,colALTnominaleDOGAmm,FALSE))),"")</f>
        <v/>
      </c>
      <c r="CN10" s="203" t="str">
        <f>IF(modelloAUTO3=$B$2,IF(vernBarriera3="","STD",vernBarriera3),"")</f>
        <v/>
      </c>
      <c r="CO10" s="174" t="str">
        <f t="shared" si="5"/>
        <v/>
      </c>
      <c r="CP10" s="215" t="str">
        <f>IF(modelloAUTO3=$B$2,LATOcomAUTO3,"")</f>
        <v/>
      </c>
      <c r="CQ10"/>
      <c r="CR10" s="216" t="str">
        <f>IF(modelloAUTO3=$B$2,pezzi3*UNO,"")</f>
        <v/>
      </c>
      <c r="CS10" s="212" t="str">
        <f>IF(modelloAUTO3=$B$2,altezza3*DIECI+VLOOKUP($B$2,tabMODELLI,COLcoeffTAGLIOPROFILIlateraliEverticaliAttaccatiALLAbarriera,FALSE),"")</f>
        <v/>
      </c>
      <c r="CT10" s="217" t="str">
        <f>IF(modelloAUTO3=$B$2,"|90° 90°|","")</f>
        <v/>
      </c>
      <c r="CU10" s="218"/>
      <c r="CV10" s="219" t="str">
        <f>IF(modelloAUTO3=$B$2,pezzi3*DUE,"")</f>
        <v/>
      </c>
      <c r="CW10" s="220" t="str">
        <f>IF(modelloAUTO3=$B$2,larghezza3*DIECI-VLOOKUP($B$2,tabMODELLI,COLcoeffTAGLIOPROFILIlateraliEverticaliAttaccatiALLAbarriera,FALSE),"")</f>
        <v/>
      </c>
      <c r="CX10" s="217" t="str">
        <f t="shared" si="25"/>
        <v/>
      </c>
      <c r="CY10" s="221"/>
      <c r="CZ10" s="222" t="str">
        <f>IF(modelloAUTO3=$B$2,PROFlatAUTO3,"")</f>
        <v/>
      </c>
      <c r="DA10" s="223" t="str">
        <f>IF(modelloAUTO3=$B$2,pezzi3,"")</f>
        <v/>
      </c>
      <c r="DB10" s="217" t="str">
        <f>IF(modelloAUTO3=$B$2,altezza3*DIECI-VLOOKUP(PROFlatAUTO3,TABprofLATten,COLsfioroPROFtenLATrispettoALvano,FALSE),"")</f>
        <v/>
      </c>
      <c r="DC10" s="217" t="str">
        <f>IF(modelloAUTO3=$B$2,"|90° 45°/","")</f>
        <v/>
      </c>
      <c r="DD10" s="224"/>
      <c r="DE10" s="223" t="str">
        <f>IF(modelloAUTO3=$B$2,pezzi3,"")</f>
        <v/>
      </c>
      <c r="DF10" s="217" t="str">
        <f>IF(modelloAUTO3=$B$2,larghezza3*DIECI-(VLOOKUP(PROFlatAUTO3,TABprofLATten,COLsfioroPROFtenLATrispettoALvano,FALSE)*DUE),"")</f>
        <v/>
      </c>
      <c r="DG10" s="217" t="str">
        <f>IF(modelloAUTO3=$B$2,"\45° 90°|","")</f>
        <v/>
      </c>
      <c r="DH10" s="224"/>
      <c r="DI10" s="223" t="str">
        <f>IF(modelloAUTO3=$B$2,pezzi3,"")</f>
        <v/>
      </c>
      <c r="DJ10" s="217" t="str">
        <f>IF(modelloAUTO3=$B$2,altezza3*DIECI-VLOOKUP(PROFlatAUTO3,TABprofLATten,COLsfioroPROFtenLATrispettoALvano,FALSE),"")</f>
        <v/>
      </c>
      <c r="DK10" s="217" t="str">
        <f>IF(modelloAUTO3=$B$2,"\45° 45°/","")</f>
        <v/>
      </c>
      <c r="DL10" s="225"/>
      <c r="DM10" s="226" t="str">
        <f>IF(modelloAUTO3=$B$2,pezzi3,"")</f>
        <v/>
      </c>
      <c r="DN10" s="226" t="str">
        <f>IF(modelloAUTO3=$B$2,larghezza3*DIECI,"")</f>
        <v/>
      </c>
      <c r="DO10" s="227" t="str">
        <f>IF(modelloAUTO3=$B$2,"|90° 90°|","")</f>
        <v/>
      </c>
      <c r="DP10" s="221"/>
      <c r="DQ10" s="228" t="str">
        <f>IF(modelloAUTO3=$B$2,DIMprimoFOROdalPAVIMENTOperFISSAGGIOprofiloDItenutaLATERALE*DIECI,"")</f>
        <v/>
      </c>
      <c r="DR10" s="228" t="str">
        <f ca="1">IF(modelloAUTO3=$B$2,IF(VLOOKUP(altezza3,INDIRECT("tabNfissaggi"&amp;$B$2),INDIRECT("colNfiSsaggi"&amp;$B$2),TRUE)&lt;DR$6,"",(IF(VLOOKUP(altezza3,INDIRECT("tabNfissaggi"&amp;$B$2),INDIRECT("colNfiSsaggi"&amp;$B$2),FALSE)=DR$6,altezza3*DIECI-DIMprimoFOROdalPAVIMENTOperFISSAGGIOprofiloDItenutaLATERALE,DQ30+(((altezza3*DIECI-DIMprimoFOROdalPAVIMENTOperFISSAGGIOprofiloDItenutaLATERALE*DIECI*DUE))/(VLOOKUP((altezza3),INDIRECT("tabNfissaggi"&amp;$B$2),INDIRECT("colNfiSsaggi"&amp;$B$2),FALSE)-UNO))))),"")</f>
        <v/>
      </c>
      <c r="DS10" s="228" t="str">
        <f ca="1">IF(modelloAUTO3=$B$2,IF(VLOOKUP(altezza3,INDIRECT("tabNfissaggi"&amp;$B$2),INDIRECT("colNfiSsaggi"&amp;$B$2),TRUE)&lt;DS$6,"",(IF(VLOOKUP(altezza3,INDIRECT("tabNfissaggi"&amp;$B$2),INDIRECT("colNfiSsaggi"&amp;$B$2),FALSE)=DS$6,altezza3*DIECI-DIMprimoFOROdalPAVIMENTOperFISSAGGIOprofiloDItenutaLATERALE,DR30+(((altezza3*DIECI-DIMprimoFOROdalPAVIMENTOperFISSAGGIOprofiloDItenutaLATERALE*DIECI*DUE))/(VLOOKUP((altezza3),INDIRECT("tabNfissaggi"&amp;$B$2),INDIRECT("colNfiSsaggi"&amp;$B$2),FALSE)-UNO))))),"")</f>
        <v/>
      </c>
      <c r="DT10" s="228" t="str">
        <f ca="1">IF(modelloAUTO3=$B$2,IF(VLOOKUP(altezza3,INDIRECT("tabNfissaggi"&amp;$B$2),INDIRECT("colNfiSsaggi"&amp;$B$2),TRUE)&lt;DT$6,"",(IF(VLOOKUP(altezza3,INDIRECT("tabNfissaggi"&amp;$B$2),INDIRECT("colNfiSsaggi"&amp;$B$2),FALSE)=DT$6,altezza3*DIECI-DIMprimoFOROdalPAVIMENTOperFISSAGGIOprofiloDItenutaLATERALE,DS30+(((altezza3*DIECI-DIMprimoFOROdalPAVIMENTOperFISSAGGIOprofiloDItenutaLATERALE*DIECI*DUE))/(VLOOKUP((altezza3),INDIRECT("tabNfissaggi"&amp;$B$2),INDIRECT("colNfiSsaggi"&amp;$B$2),FALSE)-UNO))))),"")</f>
        <v/>
      </c>
      <c r="DU10" s="228" t="str">
        <f ca="1">IF(modelloAUTO3=$B$2,IF(VLOOKUP(altezza3,INDIRECT("tabNfissaggi"&amp;$B$2),INDIRECT("colNfiSsaggi"&amp;$B$2),TRUE)&lt;DU$6,"",(IF(VLOOKUP(altezza3,INDIRECT("tabNfissaggi"&amp;$B$2),INDIRECT("colNfiSsaggi"&amp;$B$2),FALSE)=DU$6,altezza3*DIECI-DIMprimoFOROdalPAVIMENTOperFISSAGGIOprofiloDItenutaLATERALE,DT30+(((altezza3*DIECI-DIMprimoFOROdalPAVIMENTOperFISSAGGIOprofiloDItenutaLATERALE*DIECI*DUE))/(VLOOKUP((altezza3),INDIRECT("tabNfissaggi"&amp;$B$2),INDIRECT("colNfiSsaggi"&amp;$B$2),FALSE)-UNO))))),"")</f>
        <v/>
      </c>
      <c r="DV10" s="221"/>
      <c r="DW10" s="229" t="str">
        <f>IF(modelloAUTO3=$B$2,(PRIMOforoNELLantaPARTENDOdaLBASSOclose-VLOOKUP($B$2,tabMODELLI,COLcoeffALTprofiloSogliaRimanenteSOTTOalTELAIOperimetrale,FALSE)),"")</f>
        <v/>
      </c>
      <c r="DX10" s="230" t="str">
        <f>IF(modelloAUTO3=$B$2,DW10+INTERASSSEforiANTAcernieraSAVIOmechanica,"")</f>
        <v/>
      </c>
      <c r="DY10" s="231" t="str">
        <f>IF(modelloAUTO3=$B$2,INDEX(TABforoBASSOcernieraNELLantaCONdogaCLICKRAPIDnellANTACONsavIOMECHANICA,UNO,MATCH(((CJ10)/DUE),TABforoBASSOcernieraNELLantaCONdogaCLICKRAPIDnellANTACONsavIOMECHANICA,UNO)),"")</f>
        <v/>
      </c>
      <c r="DZ10" s="232" t="str">
        <f>IF(modelloAUTO3=$B$2,DY10+INTERASSSEforiANTAcernieraSAVIOmechanica,"")</f>
        <v/>
      </c>
      <c r="EA10" s="231" t="str">
        <f>IF(modelloAUTO3=$B$2,INDEX(TABforoBASSOcernieraNELLantaCONdogaCLICKRAPIDnellANTACONsavIOMECHANICA,UNO,MATCH((CJ10-ALTEZZAcerNIERAcomMPOSTAdalle2aliMECHANICA-altezzaALAcanalinoDA35X35X2),TABforoBASSOcernieraNELLantaCONdogaCLICKRAPIDnellANTACONsavIOMECHANICA,UNO)),"")</f>
        <v/>
      </c>
      <c r="EB10" s="232" t="str">
        <f>IF(modelloAUTO3=$B$2,EA10+INTERASSSEforiANTAcernieraSAVIOmechanica,"")</f>
        <v/>
      </c>
      <c r="EC10" s="233"/>
      <c r="ED10" s="234" t="str">
        <f>IF(modelloAUTO3=$B$2,"a: "&amp;DW10+INTERASSSEforiANTAcernieraSAVIOmechanica/DUE,"")</f>
        <v/>
      </c>
      <c r="EE10" s="234" t="str">
        <f>IF(modelloAUTO3=$B$2,"a: "&amp;DY10+INTERASSSEforiANTAcernieraSAVIOmechanica/DUE,"")</f>
        <v/>
      </c>
      <c r="EF10" s="234" t="str">
        <f>IF(modelloAUTO3=$B$2,"a: "&amp;EA10+INTERASSSEforiANTAcernieraSAVIOmechanica/DUE,"")</f>
        <v/>
      </c>
      <c r="EG10"/>
      <c r="EH10" s="235" t="str">
        <f>IF(modelloAUTO3=$B$2,pezzi3,"")</f>
        <v/>
      </c>
      <c r="EI10" s="235" t="str">
        <f>IF(modelloAUTO3=$B$2,INTERASSEforoPERnottolinoDIcomandoMANIGLIAdiCHIUSURAaLEVAclose,"")</f>
        <v/>
      </c>
      <c r="EJ10" s="236" t="str">
        <f>IF(modelloAUTO3=$B$2,ALTCentroNOTTOLINOpartendoDALbassodellaDOGA,"")</f>
        <v/>
      </c>
      <c r="EK10"/>
      <c r="EL10" s="216" t="str">
        <f>IF(modelloAUTO3=$B$2,pezzi3*UNO,"")</f>
        <v/>
      </c>
      <c r="EM10" s="212" t="str">
        <f>IF(modelloAUTO3=$B$2,altezza3*DIECI+VLOOKUP($B$2,tabMODELLI,COLcoeffTAGLIOPROFILOdiAGGANCIOsistemaMODERNA,FALSE),"")</f>
        <v/>
      </c>
      <c r="EN10"/>
      <c r="EO10" s="216" t="str">
        <f>IF(modelloAUTO3=$B$2,pezzi3*UNO,"")</f>
        <v/>
      </c>
      <c r="EP10" s="212" t="str">
        <f>IF(modelloAUTO3=$B$2,altezza3*DIECI+VLOOKUP($B$2,tabMODELLI,COLcoeffTAGLIOPROFILOdiAGGANCIOsistemaMODERNA,FALSE),"")</f>
        <v/>
      </c>
      <c r="EQ10"/>
      <c r="ER10" s="216" t="str">
        <f>IF(modelloAUTO3=$B$2,pezzi3*UNO,"")</f>
        <v/>
      </c>
      <c r="ES10" s="212" t="str">
        <f>IF(modelloAUTO3=$B$2,altezza3*DIECI+VLOOKUP($B$2,tabMODELLI,COLcoeffTAGLIOPROFILIlateraliEverticaliAttaccatiALLAbarriera,FALSE),"")</f>
        <v/>
      </c>
      <c r="ET10" s="218"/>
      <c r="EU10" s="191" t="str">
        <f>IF(modelloAUTO3=$B$2,IF(PROFlatRICH3="",pezzi3*DUE*VLOOKUP($B$2,tabMODELLI,COLprofiliLATdiserie,FALSE),pezzi3*DUE),"")</f>
        <v/>
      </c>
      <c r="EV10" s="179" t="str">
        <f>IF(modelloAUTO3=$B$2,IF(PROFlatRICH3="","STD",PROFlatRICH3),"")</f>
        <v/>
      </c>
      <c r="EW10" s="275" t="str">
        <f>IF(modelloAUTO3=$B$2,IF(TIPOcopertina3="","",TIPOcopertina3),"")</f>
        <v/>
      </c>
      <c r="EX10" s="238" t="str">
        <f>IF(modelloAUTO3=$B$2,VLOOKUP($B$2,tabMODELLI,COLcoeffALTguarnINFERIOREschiacciata,FALSE)+(VLOOKUP($B$2,tabMODELLI,COLcoefALTdogaREALEda200,FALSE)+(VLOOKUP($B$2,tabMODELLI,COLcoefALTdogaSORMONTATAda200,FALSE)*(CEILING(altezza3*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0" s="218"/>
      <c r="EZ10" s="239" t="str">
        <f ca="1">IF(OR(modelloAUTO3=$B$2,modelloAUTO3=CLICK_RAPIDxPRIVATO),INDEX(INDIRECT("TABnCHIAVISTELLOvert"&amp;$B$2),rif_alt3,rif_larg3)*pezzi3,"")</f>
        <v/>
      </c>
      <c r="FA10" s="240" t="str">
        <f>IF(modelloAUTO3=$B$2,IF(AND(nCatenacci3&lt;&gt;"",profORIZZ3&lt;&gt;""),spessoreCATENACCIOverticale60X35X300,""),"")</f>
        <v/>
      </c>
      <c r="FB10" s="241" t="str">
        <f ca="1">IF(OR(nCatenacci3=0,nCatenacci3="",),"",(CJ10+QUATTRO-(IF(nCatenacci3="",ZERO,SESSANTA*(nCatenacci3/PZCLICK_RAPID3))))/((nCatenacci3/PZCLICK_RAPID3)+UNO))</f>
        <v/>
      </c>
      <c r="FD10" s="242" t="str">
        <f ca="1">IF(modelloAUTO3=$B$2,INDEX(INDIRECT("TABnMANIGLIEsuperiori"&amp;$B$2),rif_alt3,rif_larg3),"")</f>
        <v/>
      </c>
      <c r="FE10" s="243" t="str">
        <f ca="1">IF(modelloAUTO3=$B$2,(larghezza3-CATENACCIOLOorizzontaleINGOMBROclick_rapid-DUE)/INDEX(INDIRECT("TABnMANIGLIEsuperiori"&amp;$B$2),rif_alt3,rif_larg3),"")</f>
        <v/>
      </c>
      <c r="FG10" s="244" t="str">
        <f ca="1">IF(modelloAUTO3=$B$2,INDEX(INDIRECT("TABnMANIGLIEfrontali"&amp;$B$2),rif_alt3,rif_larg3),"")</f>
        <v/>
      </c>
      <c r="FH10"/>
      <c r="FI10" s="245">
        <f>((larghezza3*DIECI-COEFFlargCOMPLESSIVAdelKITcerniere_GANCIOassemblato))</f>
        <v>738</v>
      </c>
      <c r="FJ10" s="245">
        <f t="shared" si="17"/>
        <v>19.453363192402126</v>
      </c>
      <c r="FK10" s="245">
        <f t="shared" si="18"/>
        <v>0.4001326</v>
      </c>
      <c r="FL10" s="246">
        <f>(altezza3+TREDICI/DIECI)/CENTO*(CERNIERA_TUBOLARE_MODERNA+CERNIERA_APERTA_MODERNA+UNCINO)+(altezza3/(VLOOKUP($B$2,tabMODELLI,COLcoefALTdogaSORMONTATAda200,FALSE)/DIECI)*COEFFdogaINSERITAnellaCERNIERAaertaFINOallaFINEdelGANCIO*VLOOKUP($B$2,tabMODELLI,COLpesoALKGmlDOGA,FALSE))</f>
        <v>8.6801589999999997</v>
      </c>
      <c r="FM10" s="247">
        <f t="shared" si="19"/>
        <v>0.18663999999999997</v>
      </c>
      <c r="FN10" s="247">
        <f>altezza3/(VLOOKUP($B$2,tabMODELLI,COLcoefALTdogaSORMONTATAda200,FALSE)/DIECI)*((((larghezza3-(COEFFlargCOMPLESSIVAdelKITcerniere_GANCIOassemblato/DIECI))/CENTO)*VLOOKUP($B$2,tabMODELLI,COLpesoALKGmlDOGA,FALSE)))</f>
        <v>10.520189999999999</v>
      </c>
      <c r="FO10" s="247">
        <f>larghezza3/CENTO*PESOguarnORIZZmodernaKG\ML</f>
        <v>0.29970000000000002</v>
      </c>
      <c r="FP10" s="247">
        <f>(altezza3/(VLOOKUP($B$2,tabMODELLI,COLcoefALTdogaSORMONTATAda200,FALSE)/DIECI)-UNO)*((((larghezza3-(COEFFlargCOMPLESSIVAdelKITcerniere_GANCIOassemblato/DIECI))/CENTO)*pesoALmlDOPPIAsiliconaturaINunaDOGA))</f>
        <v>2.0664000000000002</v>
      </c>
      <c r="FQ10" s="247">
        <f>(altezza3/CENTO*H_MODERNA)</f>
        <v>0.72099999999999997</v>
      </c>
      <c r="FR10" s="248">
        <f t="shared" si="21"/>
        <v>11.437110800000001</v>
      </c>
      <c r="FS10" s="248">
        <f t="shared" si="22"/>
        <v>0.2271</v>
      </c>
      <c r="FT10" s="249">
        <f t="shared" si="26"/>
        <v>1.7362723577235773E-2</v>
      </c>
      <c r="FU10" s="249">
        <f t="shared" si="27"/>
        <v>13.534689999999999</v>
      </c>
      <c r="FV10" s="249">
        <f t="shared" si="28"/>
        <v>2.0975791999999984</v>
      </c>
      <c r="FW10" s="249">
        <f t="shared" si="23"/>
        <v>0</v>
      </c>
      <c r="FX10" s="246">
        <f t="shared" si="29"/>
        <v>10.716110800000001</v>
      </c>
      <c r="FY10" s="250">
        <f t="shared" si="24"/>
        <v>598.19065861590229</v>
      </c>
      <c r="FZ10"/>
      <c r="GA10" s="251"/>
      <c r="GB10" s="251"/>
      <c r="GC10" s="251"/>
      <c r="GD10" s="251"/>
      <c r="GE10" s="251"/>
      <c r="GF10" s="251"/>
      <c r="GG10" s="251"/>
      <c r="GH10"/>
      <c r="GI10" s="252" t="str">
        <f>IF(modelloAUTO3=$B$2,IF(PROFlatRICH3="",pezzi3*UNO*VLOOKUP($B$2,tabMODELLI,COLnMANIGLIAasportabile,FALSE),pezzi3*UNO),"")</f>
        <v/>
      </c>
      <c r="GJ10" s="252" t="str">
        <f>IF(modelloAUTO3=$B$2,pezzi3*DUE,"")</f>
        <v/>
      </c>
      <c r="GK10" s="252" t="str">
        <f>IF(modelloAUTO3=$B$2,pezzi3*UNO,"")</f>
        <v/>
      </c>
      <c r="GL10" s="253" t="str">
        <f>IF(modelloAUTO3=$B$2,IF(SYSTEMantiFURTO3&lt;&gt;"",VLOOKUP($B$2,TABsistemaANTIFURTO,COLusoVITEdISERIE,FALSE),pezzi3),"")</f>
        <v/>
      </c>
      <c r="GM10" s="252" t="str">
        <f>IF(modelloAUTO3=$B$2,pezzi3*UNO,"")</f>
        <v/>
      </c>
      <c r="GN10" s="252" t="str">
        <f>IF(modelloAUTO3=$B$2,NmaniglieDItrasporto3*DUE,"")</f>
        <v/>
      </c>
      <c r="GO10" s="254" t="str">
        <f>IF(modelloAUTO3=$B$2,pezzi3*QUINDICI,"")</f>
        <v/>
      </c>
      <c r="GP10" s="254" t="str">
        <f>IF(modelloAUTO3=$B$2,pezzi3*DUE,"")</f>
        <v/>
      </c>
      <c r="GQ10" s="254" t="str">
        <f>IF(modelloAUTO3=$B$2,pezzi3*DUE,"")</f>
        <v/>
      </c>
      <c r="GR10" s="254" t="str">
        <f>IF(modelloAUTO3=$B$2,pezzi3*UNO,"")</f>
        <v/>
      </c>
      <c r="GS10" s="254" t="str">
        <f>IF(modelloAUTO3=$B$2,pezzi3*DUE,"")</f>
        <v/>
      </c>
      <c r="GT10" s="254" t="str">
        <f>IF(modelloAUTO3=$B$2,pezzi3*DUE,"")</f>
        <v/>
      </c>
      <c r="GU10" s="254" t="str">
        <f>IF(modelloAUTO3=$B$2,pezzi3*DUE,"")</f>
        <v/>
      </c>
      <c r="GV10" s="254" t="str">
        <f>IF(modelloAUTO3=$B$2,pezzi3*DUE,"")</f>
        <v/>
      </c>
      <c r="GW10" s="251"/>
      <c r="GX10" s="251"/>
      <c r="GY10" s="251"/>
      <c r="GZ10" s="251"/>
      <c r="HA10" s="251"/>
      <c r="HB10" s="251"/>
      <c r="HC10" s="251"/>
      <c r="HD10" s="251"/>
      <c r="HE10" s="251"/>
      <c r="HF10" s="251"/>
      <c r="HG10" s="251"/>
      <c r="HH10" s="251"/>
      <c r="HI10" s="251"/>
      <c r="HJ10" s="251"/>
      <c r="HK10" s="251"/>
      <c r="HL10" s="251"/>
      <c r="HN10" s="191" t="str">
        <f>IF(modelloAUTO3=$B$2,IF(PROFlatRICH3="",pezzi3*VLOOKUP($B$2,tabMODELLI,COLnGUARNorizzINFERIOREbarriera,FALSE),pezzi3),"")</f>
        <v/>
      </c>
      <c r="HO10" s="193" t="str">
        <f>IF(modelloAUTO3=$B$2,IF(VLOOKUP($B$2,tabMODELLI,COLnGUARNorizzINFERIOREbarriera,FALSE)="","",larghezza3),"")</f>
        <v/>
      </c>
      <c r="HQ10" s="191" t="str">
        <f>IF(modelloAUTO3=$B$2,IF(PROFlatRICH3="",pezzi3*DUE*VLOOKUP($B$2,tabMODELLI,COLnGUARNorizzINTERMEDIEbarriera,FALSE),pezzi3*DUE),"")</f>
        <v/>
      </c>
      <c r="HR10" s="193" t="str">
        <f>IF(modelloAUTO3=$B$2,IF(VLOOKUP($B$2,tabMODELLI,COLnGUARNorizzINTERMEDIEbarriera,FALSE)="","",larghezza3),"")</f>
        <v/>
      </c>
      <c r="HT10" s="191" t="str">
        <f>IF(modelloAUTO3=$B$2,IF(PROFlatRICH3="",pezzi3*UNO*VLOOKUP($B$2,tabMODELLI,COLnGUARNvertBARRIERA,FALSE),pezzi3*UNO),"")</f>
        <v/>
      </c>
      <c r="HU10" s="193" t="str">
        <f>IF(modelloAUTO3=$B$2,IF(VLOOKUP($B$2,tabMODELLI,COLnGUARNvertBARRIERA,FALSE)="","",altezza3),"")</f>
        <v/>
      </c>
      <c r="HV10"/>
      <c r="HW10" s="191" t="str">
        <f>IF(modelloAUTO3=$B$2,IF(PROFlatRICH3="",pezzi3*VLOOKUP($B$2,tabMODELLI,COLnTAPPIdiGIUNZIONEguarnORIZZconVERT,FALSE),pezzi3),"")</f>
        <v/>
      </c>
      <c r="HX10"/>
      <c r="HY10" s="191" t="str">
        <f>IF(modelloAUTO3=$B$2,IF(PROFlatRICH3="",pezzi3*VLOOKUP($B$2,tabMODELLI,COLnGUARNorizzPROFILOdiTENUTAlaterale,FALSE),pezzi3),"")</f>
        <v/>
      </c>
      <c r="HZ10" s="193" t="str">
        <f>IF(modelloAUTO3=$B$2,IF(VLOOKUP($B$2,tabMODELLI,COLnGUARNorizzPROFILOdiTENUTAlaterale,FALSE)="","",altezza3),"")</f>
        <v/>
      </c>
      <c r="IA10"/>
      <c r="IB10" s="191" t="str">
        <f>IF(modelloAUTO3=$B$2,IF(PROFlatRICH3="",pezzi3*VLOOKUP($B$2,tabMODELLI,COLnGUARNvertPROFILOdiTENUTAlaterale,FALSE),pezzi3),"")</f>
        <v/>
      </c>
      <c r="IC10" s="193" t="str">
        <f>IF(modelloAUTO3=$B$2,IF(VLOOKUP($B$2,tabMODELLI,COLnGUARNvertPROFILOdiTENUTAlaterale,FALSE)="","",altezza3),"")</f>
        <v/>
      </c>
      <c r="ID10"/>
      <c r="IE10" s="191" t="str">
        <f>IF(modelloAUTO3=$B$2,IF(PROFlatRICH3="",pezzi3*VLOOKUP($B$2,tabMODELLI,COLnPROFILIinNYLON,FALSE),pezzi3),"")</f>
        <v/>
      </c>
      <c r="IF10" s="193" t="str">
        <f>IF(modelloAUTO3=$B$2,IF(VLOOKUP($B$2,tabMODELLI,COLnPROFILIinNYLON,FALSE)="","",altezza3),"")</f>
        <v/>
      </c>
      <c r="IH10" s="171" t="str">
        <f>IF(modelloAUTO3=$B$2,IF(PROFoTUBsxRICH3="","",pezzi3),"")</f>
        <v/>
      </c>
      <c r="II10" s="199" t="str">
        <f>IF(modelloAUTO3=$B$2,IF(PROFoTUBsxRICH3="","",PROFoTUBsxRICH3),"")</f>
        <v/>
      </c>
      <c r="IJ10" s="257" t="str">
        <f>IF(AND(modelloAUTO3=$B$2,PROFoTUBsxRICH3&lt;&gt;""),IF(ALTprofOtubRICHsx3="","STD",ALTprofOtubRICHsx3*DIECI),"")</f>
        <v/>
      </c>
      <c r="IL10" s="201" t="str">
        <f>IF(modelloAUTO3=$B$2,IF(PROFoTUBsxRICH3="","",IF(vernPROFoTUBlatSX3="","STD",vernPROFoTUBlatSX3)),"")</f>
        <v/>
      </c>
      <c r="IN10" s="171" t="str">
        <f>IF(modelloAUTO3=$B$2,IF(PROFoTUBdxRICH3="","",pezzi3),"")</f>
        <v/>
      </c>
      <c r="IO10" s="202" t="str">
        <f>IF(modelloAUTO3=$B$2,IF(PROFoTUBdxRICH3="","",PROFoTUBdxRICH3),"")</f>
        <v/>
      </c>
      <c r="IP10" s="257" t="str">
        <f>IF(AND(modelloAUTO3=$B$2,PROFoTUBdxRICH3&lt;&gt;""),IF(ALTprofOtubRICHdx3="","STD",ALTprofOtubRICHdx3*DIECI),"")</f>
        <v/>
      </c>
      <c r="IR10" s="203" t="str">
        <f>IF(modelloAUTO3=$B$2,IF(PROFoTUBdxRICH3="","",IF(vernPROFoTUBlatDX3="","STD",vernPROFoTUBlatDX3)),"")</f>
        <v/>
      </c>
      <c r="IT10" s="204" t="str">
        <f>IF(modelloAUTO3=$B$2,IF(profORIZZ3="","",pezzi3),"")</f>
        <v/>
      </c>
      <c r="IU10" s="205" t="str">
        <f>IF(modelloAUTO3=$B$2,IF(profORIZZ3="","",CODpiattoORIZZsugg3),"")</f>
        <v/>
      </c>
      <c r="IV10" s="206" t="str">
        <f>IF(modelloAUTO3=$B$2,IF(profORIZZ3="","",larghezza3*DIECI+IF(PROFoTUBsxRICH3="",ZERO,VLOOKUP(PROFoTUBsxRICH3,TABprofOtubLATERALI,COLlargPROFoTUBlat,FALSE))+IF(PROFoTUBdxRICH3="",ZERO,VLOOKUP(PROFoTUBdxRICH3,TABprofOtubLATERALI,COLlargPROFoTUBlat,FALSE))),"")</f>
        <v/>
      </c>
      <c r="IW10"/>
      <c r="IX10" s="168">
        <v>3</v>
      </c>
      <c r="IY10" s="258" t="str">
        <f>IF(AND(modelloAUTO3=$B$2,SYSTEMantiFURTO3&lt;&gt;""),VLOOKUP($B$2,TABsistemaANTIFURTO,COLlucchetto,FALSE),"")</f>
        <v/>
      </c>
      <c r="IZ10" s="258" t="str">
        <f>IF(AND(modelloAUTO3=$B$2,SYSTEMantiFURTO3&lt;&gt;""),VLOOKUP($B$2,TABsistemaANTIFURTO,COLaccessorioANTIFURTO2,FALSE),"")</f>
        <v/>
      </c>
      <c r="JA10" s="258" t="str">
        <f>IF(AND(modelloAUTO3=$B$2,SYSTEMantiFURTO3&lt;&gt;""),VLOOKUP($B$2,TABsistemaANTIFURTO,COLaccessorioANTIFURTO,FALSE),"")</f>
        <v/>
      </c>
      <c r="JB10" s="258" t="str">
        <f>IF(AND(modelloAUTO3=$B$2,SYSTEMantiFURTO3&lt;&gt;""),VLOOKUP($B$2,TABsistemaANTIFURTO,COLviteSPECIALExANTIFURTO,FALSE),"")</f>
        <v/>
      </c>
      <c r="JC10" s="258" t="str">
        <f>IF(AND(modelloAUTO3=$B$2,SYSTEMantiFURTO3&lt;&gt;""),VLOOKUP($B$2,TABsistemaANTIFURTO,COLlavorazioneXantifurto,FALSE),"")</f>
        <v/>
      </c>
      <c r="JD10"/>
      <c r="JE10"/>
      <c r="JF10"/>
      <c r="JG10"/>
      <c r="JH10"/>
      <c r="JI10"/>
      <c r="JJ10"/>
      <c r="JK10"/>
      <c r="JL10"/>
      <c r="JM10"/>
      <c r="JN10"/>
      <c r="JO10"/>
      <c r="JP10"/>
      <c r="JQ10"/>
      <c r="JR10"/>
      <c r="JS10"/>
      <c r="JT10"/>
      <c r="JU10"/>
      <c r="JV10"/>
      <c r="JW10"/>
      <c r="JX10" s="168">
        <v>3</v>
      </c>
      <c r="JY10" s="210" t="str">
        <f>IF(modelloAUTO3=$B$2,IF(fornPIANTcentr3="","",fornPIANTcentr3*pezzi3),"")</f>
        <v/>
      </c>
      <c r="JZ10" s="210" t="str">
        <f>IF(modelloAUTO3=$B$2,IF(fornPIANTcentr3="","",CODpiantCENTRsugg3),"")</f>
        <v/>
      </c>
      <c r="KB10" s="210" t="str">
        <f>IF(modelloAUTO3=$B$2,IF(CODpiantCENTRsuggAPPOG3="","",CODpiantCENTRdiAPPOGGIOrich3),"")</f>
        <v/>
      </c>
      <c r="KC10" s="210" t="str">
        <f>IF(modelloAUTO3=$B$2,IF(CODpiantCENTRsuggAPPOG3="","",CODpiantCENTRsuggAPPOG3),"")</f>
        <v/>
      </c>
      <c r="KP10" s="168">
        <v>3</v>
      </c>
      <c r="KQ10" s="259" t="str">
        <f>IF(AND(modelloAUTO3=$B$2,VLOOKUP($B$2,tabMODELLI,COLcoeffPOSSIBILITApellicolaADESIVA,FALSE)=UNO),IF(PELLICOLA3="","",pezzi3),"")</f>
        <v/>
      </c>
      <c r="KR10" s="236" t="str">
        <f>IF(AND(modelloAUTO3=$B$2,VLOOKUP($B$2,tabMODELLI,COLcoeffPOSSIBILITApellicolaADESIVA,FALSE)=UNO),IF(PELLICOLA3="","",larghezza3*DIECI-(VLOOKUP($B$2,tabMODELLI,COLcoeffPELLICOLAadesivaLARG,FALSE))),"")</f>
        <v/>
      </c>
      <c r="KS10" s="236" t="str">
        <f>IF(AND(modelloAUTO3=$B$2,VLOOKUP($B$2,tabMODELLI,COLcoeffPOSSIBILITApellicolaADESIVA,FALSE)=UNO),IF(PELLICOLA3="","",altezza3*DIECI-(VLOOKUP($B$2,tabMODELLI,COLcoeffPELLICOLAadesivaLARG,FALSE))),"")</f>
        <v/>
      </c>
      <c r="MA10" s="168">
        <v>3</v>
      </c>
      <c r="MB10" s="260" t="str">
        <f>IF(modelloAUTO3=$B$2,stanza3,"")</f>
        <v/>
      </c>
      <c r="MC10" s="168">
        <v>3</v>
      </c>
      <c r="MD10" s="230" t="str">
        <f>IF(modelloAUTO3=$B$2,larghezza3*DIECI+4+VLOOKUP($B$2,tabMODELLI,COLcoefAUMlargBUSTApvc,FALSE)+VLOOKUP($B$2,tabMODELLI,COLcoefAUMlargXprofILIlateraliBUSTApvc,FALSE)+IF(PROFoTUBsxRICH3="",ZERO,VLOOKUP(PROFoTUBsxRICH3,TABprofOtubLATERALI,COLlargPROFoTUBlatXimballaggio,FALSE)+profELETTRODOsaldaturaPVC)+IF(PROFoTUBdxRICH3="",ZERO,VLOOKUP(PROFoTUBdxRICH3,TABprofOtubLATERALI,COLlargPROFoTUBlatXimballaggio,FALSE)+profELETTRODOsaldaturaPVC),"")</f>
        <v/>
      </c>
      <c r="ME10" s="230" t="str">
        <f>IF(modelloAUTO3=$B$2,altezza3*DIECI*DUE+VLOOKUP($B$2,tabMODELLI,COLcoefAUMaltBUSTApvc,FALSE),"")</f>
        <v/>
      </c>
      <c r="MF10" s="261"/>
      <c r="MG10" s="230" t="str">
        <f>IF(modelloAUTO3=$B$2,altezza3*DIECI+VLOOKUP($B$2,tabMODELLI,COLcoeffSALDATURAinALTbustaPVC,FALSE),"")</f>
        <v/>
      </c>
      <c r="MH10" s="230" t="str">
        <f>IF(modelloAUTO3=$B$2,VLOOKUP($B$2,tabMODELLI,COLcoeffSALDATURAinLARGperTASCAbustaPVC,FALSE),"")</f>
        <v/>
      </c>
      <c r="MI10" s="230" t="str">
        <f>IF(modelloAUTO3=$B$2,IF(PROFoTUBsxRICH3="","",VLOOKUP(PROFoTUBsxRICH3,TABprofOtubLATERALI,COLlargPROFoTUBlatXimballaggio,FALSE)),"")</f>
        <v/>
      </c>
      <c r="MJ10" s="230" t="str">
        <f>IF(modelloAUTO3=$B$2,IF(PROFoTUBdxRICH3="","",VLOOKUP(PROFoTUBdxRICH3,TABprofOtubLATERALI,COLlargPROFoTUBlatXimballaggio,FALSE)),"")</f>
        <v/>
      </c>
      <c r="MK10"/>
      <c r="ML10" s="262" t="str">
        <f>IF(modelloAUTO3=$B$2,pezzi3*DUE,"")</f>
        <v/>
      </c>
      <c r="MM10" s="263" t="str">
        <f>IF(modelloAUTO3=$B$2,larghezza3+VLOOKUP($B$2,tabMODELLI,COLcoeffAUMoCALOinLARGpolistirolo,FALSE),"")</f>
        <v/>
      </c>
      <c r="MN10" s="263" t="str">
        <f>IF(modelloAUTO3=$B$2,altezza3+VLOOKUP($B$2,tabMODELLI,COLcoeffAUMoCALOinALTpolistirolo,FALSE),"")</f>
        <v/>
      </c>
      <c r="MO10"/>
      <c r="MP10" s="264" t="str">
        <f>IF(modelloAUTO3=$B$2,IF(VLOOKUP($B$2,tabMODELLI,COLcoeffAUMoCALOinLARGprofiloAu,FALSE)="",pezzi3*DUE,pezzi3*UNO),"")</f>
        <v/>
      </c>
      <c r="MQ10" s="265" t="str">
        <f>IF(modelloAUTO3=$B$2,VLOOKUP($B$2,tabMODELLI,COLdimStdSTRISCIAdelFIANCOxLARG1polistirolo,FALSE),"")</f>
        <v/>
      </c>
      <c r="MR10" s="263" t="str">
        <f>IF(modelloAUTO3=$B$2,larghezza3+VLOOKUP($B$2,tabMODELLI,colCOEFFdellaLARGnelFIANCOpolistirolo,FALSE),"")</f>
        <v/>
      </c>
      <c r="MT10" s="262" t="str">
        <f>IF(modelloAUTO3=$B$2,IF(VLOOKUP($B$2,tabMODELLI,COLdimstdSTRISCIAdelFIANCOxALT2polistirolo,FALSE)="",pezzi3*DUE,pezzi3),"")</f>
        <v/>
      </c>
      <c r="MU10" s="265" t="str">
        <f>IF(modelloAUTO3=$B$2,VLOOKUP($B$2,tabMODELLI,COLdimstdSTRISCIAdelFIANCOxALT1polistirolo,FALSE),"")</f>
        <v/>
      </c>
      <c r="MV10" s="263" t="str">
        <f>IF(modelloAUTO3=$B$2,altezza3+VLOOKUP($B$2,tabMODELLI,colCOEFFdellaALTnelFIANCOpolistirolo,FALSE),"")</f>
        <v/>
      </c>
      <c r="MX10" s="266" t="str">
        <f>IF(modelloAUTO3=$B$2,IF(VLOOKUP($B$2,tabMODELLI,COLdimstdSTRISCIAdelFIANCOxALT2polistirolo,FALSE)="","",pezzi3*UNO),"")</f>
        <v/>
      </c>
      <c r="MY10" s="267" t="str">
        <f>IF(modelloAUTO3=$B$2,IF(VLOOKUP($B$2,tabMODELLI,COLdimstdSTRISCIAdelFIANCOxALT2polistirolo,FALSE)="","",VLOOKUP($B$2,tabMODELLI,COLdimstdSTRISCIAdelFIANCOxALT2polistirolo,FALSE)),"")</f>
        <v/>
      </c>
      <c r="MZ10" s="263" t="str">
        <f>IF(modelloAUTO3=$B$2,altezza3+VLOOKUP($B$2,tabMODELLI,colCOEFFdellaALTnelFIANCOpolistirolo,FALSE),"")</f>
        <v/>
      </c>
      <c r="NB10" s="266" t="str">
        <f>IF(modelloAUTO3=$B$2,IF(VLOOKUP($B$2,tabMODELLI,COLcoeffAUMoCALOinLARGprofiloAu,FALSE)="","",pezzi3*UNO),"")</f>
        <v/>
      </c>
      <c r="NC10" s="216" t="str">
        <f>IF(modelloAUTO3=$B$2,IF(VLOOKUP($B$2,tabMODELLI,COLcoeffAUMoCALOinLARGprofiloAu,FALSE)="","",larghezza3+VLOOKUP($B$2,tabMODELLI,COLcoeffAUMoCALOinLARGprofiloAu,FALSE)),"")</f>
        <v/>
      </c>
      <c r="ND10" s="191" t="str">
        <f>IF(modelloAUTO3=$B$2,IF(VLOOKUP($B$2,tabMODELLI,COLcoeffAUMoCALOinLARGprofiloAu,FALSE)="","",VLOOKUP($B$2,tabMODELLI,COLdimstdSTRISCIAdelFIANCOxALT1polistirolo,FALSE)),"")</f>
        <v/>
      </c>
      <c r="NE10"/>
      <c r="NI10" s="168">
        <v>3</v>
      </c>
      <c r="NJ10" s="171">
        <f>IF(pezzi3="","",pezzi3)</f>
        <v>1</v>
      </c>
      <c r="NK10" s="170" t="str">
        <f>IF(modelloAUTO3="","",modelloAUTO3)</f>
        <v>CLOSE</v>
      </c>
      <c r="NL10" s="172">
        <f>IF(larghezza3="","",LARGortogonalitaADEGUATA3)</f>
        <v>99.9</v>
      </c>
      <c r="NM10" s="173">
        <f>IF(altezza3="","",altezza3)</f>
        <v>100</v>
      </c>
      <c r="NO10" s="189">
        <f>IF(PesoTEORICOparatia3="","",PesoTEORICOparatia3)</f>
        <v>9.99</v>
      </c>
      <c r="NR10"/>
      <c r="NS10"/>
      <c r="NT10"/>
      <c r="NU10"/>
      <c r="NV10"/>
      <c r="NW10"/>
      <c r="NX10"/>
      <c r="NY10"/>
      <c r="NZ10"/>
      <c r="OA10"/>
      <c r="OB10"/>
      <c r="OC10"/>
      <c r="OD10"/>
      <c r="OE10"/>
      <c r="OG10" s="269"/>
      <c r="OH10" s="270"/>
      <c r="OI10" s="270"/>
      <c r="OJ10" s="270"/>
      <c r="OK10" s="270"/>
      <c r="OL10" s="270"/>
      <c r="OM10" s="271"/>
      <c r="ON10" s="270"/>
      <c r="OO10" s="271"/>
    </row>
    <row r="11" spans="1:412" s="150" customFormat="1" ht="37">
      <c r="A11" s="168">
        <v>4</v>
      </c>
      <c r="B11" s="169" t="str">
        <f>IF(stanza4="","",stanza4)</f>
        <v/>
      </c>
      <c r="C11" s="170"/>
      <c r="D11" s="171"/>
      <c r="E11" s="172"/>
      <c r="F11" s="173"/>
      <c r="G11" s="174"/>
      <c r="H11" s="175"/>
      <c r="I11" s="176" t="str">
        <f>IF(modelloAUTO4="","",IF(vernBarriera4="","",vernBarriera4))</f>
        <v/>
      </c>
      <c r="J11" s="177" t="str">
        <f>IF(modelloAUTO4=$B$2,IF(PELLICOLA4="","",pezzi4),"")</f>
        <v/>
      </c>
      <c r="K11" s="178" t="str">
        <f t="shared" si="1"/>
        <v/>
      </c>
      <c r="M11" s="179" t="str">
        <f>IF(modelloAUTO4=$B$2,IF(PROFlatAUTO4="ESCLUSI","",IF(PROFlatRICH4="","STD",PROFlatRICH4)),"")</f>
        <v/>
      </c>
      <c r="N11" s="180" t="str">
        <f>IF(AND(modelloAUTO4=$B$2,COPERTINAauto4&lt;&gt;""),TIPOcopertina4,"")</f>
        <v/>
      </c>
      <c r="O11" s="181" t="str">
        <f>IF(AND(modelloAUTO4=$B$2,PROFlatAUTO4&lt;&gt;"ESCLUSI"),IF(AND(COPERTINAauto4&lt;&gt;"",ALTprofLATrich4=""),"STD",ALTprofLATrich4*DIECI),"")</f>
        <v/>
      </c>
      <c r="P11" s="176" t="str">
        <f>IF(modelloAUTO4="","",IF(vernPROFlatTEN4="","",vernPROFlatTEN4))</f>
        <v/>
      </c>
      <c r="R11" s="176" t="str">
        <f>IF(PROFoTUBsxRICH4="","",PROFoTUBsxRICH4)</f>
        <v/>
      </c>
      <c r="S11" s="182"/>
      <c r="T11" s="176" t="str">
        <f>IF(modelloAUTO4="","",IF(PROFoTUBdxRICH4="","",PROFoTUBdxRICH4))</f>
        <v/>
      </c>
      <c r="U11" s="182"/>
      <c r="V11" s="183" t="str">
        <f>IF(modelloAUTO4="","",IF(PROFoTUBsxRICH4="","",IF(ALTprofOtubRICHsx4="","SX: STD","SX: "&amp;ALTprofOtubRICHsx4&amp;" - "))&amp;IF(PROFoTUBdxRICH4="","",IF(ALTprofOtubRICHdx4="","  DX: STD","DX :"&amp;ALTprofOtubRICHdx4)))</f>
        <v/>
      </c>
      <c r="W11" s="184" t="str">
        <f>IF(modello4="","",IF(vernPROFoTUBlatSX4="","","SX: "&amp;vernPROFoTUBlatSX4&amp;" - ")&amp;IF(vernPROFoTUBlatDX4="",""," DX: "&amp;vernPROFoTUBlatDX4))</f>
        <v/>
      </c>
      <c r="Y11" s="185" t="str">
        <f>IF(modelloAUTO4="","",IF(OR(larghezza4="",profORIZZ4=""),"",CODpiattoORIZZsugg4))</f>
        <v/>
      </c>
      <c r="Z11" s="186" t="str">
        <f>IF(modelloAUTO4="","",IF(profORIZZ4="","",larghezza4+IF(PROFoTUBsxRICH4="",0,VLOOKUP(PROFoTUBsxRICH4,TABprofOtubLATERALI,COLlargPROFoTUBlat,FALSE))+IF(PROFoTUBdxRICH4="",0,VLOOKUP(PROFoTUBdxRICH4,TABprofOtubLATERALI,COLlargPROFoTUBlat,FALSE))))</f>
        <v/>
      </c>
      <c r="AB11" s="187" t="str">
        <f>IF(modelloAUTO4="","",IF(CODpiantCENTRsugg4="","","N° "&amp;fornPIANTcentr4&amp;"-"&amp;IF(CODpiantCENTRsugg4=0,"ERRORE",CODpiantCENTRsugg4)))</f>
        <v/>
      </c>
      <c r="AC11" s="187" t="str">
        <f ca="1">IF(modelloAUTO4="","",IF(CODpiantCENTRsuggAPPOG4="","","N° "&amp;CODpiantCENTRdiAPPOGGIOrich4&amp;"-"&amp;IF(CODpiantCENTRsuggAPPOG4=0,"ERRORE",CODpiantCENTRsuggAPPOG4)))</f>
        <v/>
      </c>
      <c r="AE11" s="188" t="str">
        <f>IF(modelloAUTO4="","",IF(note_cliente4="","",note_cliente4))</f>
        <v/>
      </c>
      <c r="AF11" s="189">
        <f>IF(PesoTEORICOparatia4="","",PesoTEORICOparatia4)</f>
        <v>9.99</v>
      </c>
      <c r="AG11" s="190">
        <v>4</v>
      </c>
      <c r="AI11" s="191" t="str">
        <f>IF(modelloAUTO4=$B$2,pezzi4*UNO,"")</f>
        <v/>
      </c>
      <c r="AJ11" s="192" t="str">
        <f>IF(modelloAUTO4=$B$2,larghezza4,"")</f>
        <v/>
      </c>
      <c r="AK11" s="193" t="str">
        <f>IF(modelloAUTO4=$B$2,altezza4,"")</f>
        <v/>
      </c>
      <c r="AL11" s="174" t="str">
        <f t="shared" si="2"/>
        <v/>
      </c>
      <c r="AM11" s="173" t="str">
        <f t="shared" si="3"/>
        <v>DX (di serie)</v>
      </c>
      <c r="AN11" s="194"/>
      <c r="AO11"/>
      <c r="AP11" s="195" t="str">
        <f>IF(modelloAUTO4=$B$2,IF(PROFlatRICH4="",pezzi4*DUE*VLOOKUP($B$2,tabMODELLI,COLprofiliLATdiserie,FALSE),pezzi4*DUE),"")</f>
        <v/>
      </c>
      <c r="AQ11" s="179" t="str">
        <f>IF(modelloAUTO4=$B$2,IF(PROFlatAUTO4="ESCLUSI","",IF(PROFlatRICH4="","STD",PROFlatRICH4)),"")</f>
        <v/>
      </c>
      <c r="AR11" s="196" t="str">
        <f>IF(AND(modelloAUTO4=$B$2,PROFlatAUTO4&lt;&gt;"ESCLUSI"),IF(ALTprofLATrich4="","STD",ALTprofLATrich4*DIECI),"")</f>
        <v/>
      </c>
      <c r="AT11" s="272" t="str">
        <f>IF(modelloAUTO4=$B$2,IF(TIPOcopertina4="","",TIPOcopertina4),"")</f>
        <v/>
      </c>
      <c r="AV11" s="198" t="str">
        <f>IF(modelloAUTO4=$B$2,IF(vernBarriera4="","STD",vernBarriera4),"")</f>
        <v/>
      </c>
      <c r="AX11" s="171" t="str">
        <f>IF(modelloAUTO4=$B$2,IF(PROFoTUBsxRICH4="","",pezzi4),"")</f>
        <v/>
      </c>
      <c r="AY11" s="199" t="str">
        <f>IF(modelloAUTO4=$B$2,IF(PROFoTUBsxRICH4="","",PROFoTUBsxRICH4),"")</f>
        <v/>
      </c>
      <c r="AZ11" s="200" t="str">
        <f>IF(AND(modelloAUTO4=$B$2,PROFoTUBsxRICH4&lt;&gt;""),IF(ALTprofOtubRICHsx4="","STD",ALTprofOtubRICHsx4),"")</f>
        <v/>
      </c>
      <c r="BB11" s="201" t="str">
        <f>IF(modelloAUTO4=$B$2,IF(PROFoTUBsxRICH4="","",IF(vernPROFoTUBlatSX4="","STD",vernPROFoTUBlatSX4)),"")</f>
        <v/>
      </c>
      <c r="BD11" s="171" t="str">
        <f>IF(modelloAUTO4=$B$2,IF(PROFoTUBdxRICH4="","",pezzi4),"")</f>
        <v/>
      </c>
      <c r="BE11" s="202" t="str">
        <f>IF(modelloAUTO4=$B$2,IF(PROFoTUBdxRICH4="","",PROFoTUBdxRICH4),"")</f>
        <v/>
      </c>
      <c r="BF11" s="200" t="str">
        <f>IF(AND(modelloAUTO4=$B$2,PROFoTUBdxRICH4&lt;&gt;""),IF(ALTprofOtubRICHdx4="","STD",ALTprofOtubRICHdx4),"")</f>
        <v/>
      </c>
      <c r="BH11" s="203" t="str">
        <f>IF(modelloAUTO4=$B$2,IF(PROFoTUBdxRICH4="","",IF(vernPROFoTUBlatDX4="","STD",vernPROFoTUBlatDX4)),"")</f>
        <v/>
      </c>
      <c r="BJ11" s="204" t="str">
        <f>IF(modelloAUTO4=$B$2,IF(profORIZZ4="","",pezzi4),"")</f>
        <v/>
      </c>
      <c r="BK11" s="205" t="str">
        <f>IF(modelloAUTO4=$B$2,IF(profORIZZ4="","",CODpiattoORIZZsugg4),"")</f>
        <v/>
      </c>
      <c r="BL11" s="206" t="str">
        <f>IF(modelloAUTO4=$B$2,IF(profORIZZ4="","",larghezza4*UNO+IF(PROFoTUBsxRICH4="",ZERO,VLOOKUP(PROFoTUBsxRICH4,TABprofOtubLATERALI,COLlargPROFoTUBlat,FALSE))+IF(PROFoTUBdxRICH4="",ZERO,VLOOKUP(PROFoTUBdxRICH4,TABprofOtubLATERALI,COLlargPROFoTUBlat,FALSE))),"")</f>
        <v/>
      </c>
      <c r="BN11" s="207" t="str">
        <f ca="1">IF(modelloAUTO4=$B$2,INDEX(INDIRECT("TABnCHIAVISTELLOvert"&amp;$B$2),rif_alt4,rif_larg4)*pezzi4,"")</f>
        <v/>
      </c>
      <c r="BO11"/>
      <c r="BP11" s="178" t="str">
        <f t="shared" si="4"/>
        <v/>
      </c>
      <c r="BQ11" s="208" t="str">
        <f ca="1">IF(modelloAUTO4=$B$2,INDEX(INDIRECT("TABnMANIGLIEsuperiori"&amp;$B$2),rif_alt4,rif_larg4)+INDEX(INDIRECT("TABnMANIGLIEfrontali"&amp;$B$2),rif_alt4,rif_larg4),"")</f>
        <v/>
      </c>
      <c r="BR11" s="191" t="str">
        <f>IF(modelloAUTO4=$B$2,pezzi4*DUE,"")</f>
        <v/>
      </c>
      <c r="BS11" s="209" t="str">
        <f>IF(modelloAUTO4=$B$2,BQ11*DUE,"")</f>
        <v/>
      </c>
      <c r="BT11" s="209" t="str">
        <f>IF(modelloAUTO4=$B$2,BR11*TRE,"")</f>
        <v/>
      </c>
      <c r="BU11" s="191" t="str">
        <f>IF(modelloAUTO4=$B$2,pezzi4*DUE,"")</f>
        <v/>
      </c>
      <c r="BV11" s="191" t="str">
        <f>IF(modelloAUTO4=$B$2,pezzi4*DUE,"")</f>
        <v/>
      </c>
      <c r="BW11" s="191" t="str">
        <f>IF(modelloAUTO4=$B$2,pezzi4*DUE,"")</f>
        <v/>
      </c>
      <c r="BX11" s="191" t="str">
        <f>IF(modelloAUTO4=$B$2,pezzi4*DUE,"")</f>
        <v/>
      </c>
      <c r="BY11" s="191" t="str">
        <f>IF(modelloAUTO4=$B$2,pezzi4*DUE,"")</f>
        <v/>
      </c>
      <c r="CA11" s="210" t="str">
        <f>IF(modelloAUTO4=$B$2,IF(fornPIANTcentr4="","",fornPIANTcentr4*pezzi4),"")</f>
        <v/>
      </c>
      <c r="CB11" s="210" t="str">
        <f>IF(modelloAUTO4=$B$2,IF(fornPIANTcentr4="","",CODpiantCENTRsugg4),"")</f>
        <v/>
      </c>
      <c r="CD11" s="210" t="str">
        <f>IF(modelloAUTO4=$B$2,IF(CODpiantCENTRsuggAPPOG4="","",CODpiantCENTRdiAPPOGGIOrich4),"")</f>
        <v/>
      </c>
      <c r="CE11" s="210" t="str">
        <f>IF(modelloAUTO4=$B$2,IF(CODpiantCENTRsuggAPPOG4="","",CODpiantCENTRsuggAPPOG4),"")</f>
        <v/>
      </c>
      <c r="CG11" s="273">
        <v>4</v>
      </c>
      <c r="CI11" s="211" t="str">
        <f>IF(modelloAUTO4=$B$2,altezza4*DIECI/FLOOR(VLOOKUP($B$2,tabMODELLI,COLcoefALTdogaSORMONTATAda200,FALSE),UNO)*pezzi4,"")</f>
        <v/>
      </c>
      <c r="CJ11" s="212" t="str">
        <f>IF(modelloAUTO4=$B$2,larghezza4*DIECI-VLOOKUP($B$2,tabMODELLI,COLcoeffTAGLIOdogaOPPURElastraINlarg,FALSE)-VLOOKUP(PROFlatAUTO4,TABprofLATten,COLcoeffCALOdoga,FALSE),"")</f>
        <v/>
      </c>
      <c r="CK11"/>
      <c r="CL11" s="213" t="str">
        <f>IF(modelloAUTO4=$B$2,(altezza4*DIECI/FLOOR(VLOOKUP($B$2,tabMODELLI,COLcoefALTdogaSORMONTATAda200,FALSE),CENTO)-FLOOR(altezza4*DIECI/FLOOR(VLOOKUP($B$2,tabMODELLI,COLcoefALTdogaSORMONTATAda200,FALSE),CENTO),UNO))*pezzi4,"")</f>
        <v/>
      </c>
      <c r="CM11" s="214" t="str">
        <f>IF(modelloAUTO4=$B$2,(((altezza4*DIECI-VLOOKUP($B$2,tabMODELLI,COLcoeffCALOtaglioPANNELLObarrieraMONOLITICOoASSEMBLATOInALT,FALSE))/VLOOKUP($B$2,tabMODELLI,colALTnominaleDOGAmm,FALSE)-(FLOOR(altezza4*DIECI/FLOOR(VLOOKUP($B$2,tabMODELLI,COLcoefALTdogaSORMONTATAda200,FALSE),CENTO),UNO)))*(VLOOKUP($B$2,tabMODELLI,colALTnominaleDOGAmm,FALSE))),"")</f>
        <v/>
      </c>
      <c r="CN11" s="203" t="str">
        <f>IF(modelloAUTO4=$B$2,IF(vernBarriera4="","STD",vernBarriera4),"")</f>
        <v/>
      </c>
      <c r="CO11" s="174" t="str">
        <f t="shared" si="5"/>
        <v/>
      </c>
      <c r="CP11" s="215" t="str">
        <f>IF(modelloAUTO4=$B$2,LATOcomAUTO4,"")</f>
        <v/>
      </c>
      <c r="CQ11"/>
      <c r="CR11" s="216" t="str">
        <f>IF(modelloAUTO4=$B$2,pezzi4*UNO,"")</f>
        <v/>
      </c>
      <c r="CS11" s="212" t="str">
        <f>IF(modelloAUTO4=$B$2,altezza4*DIECI+VLOOKUP($B$2,tabMODELLI,COLcoeffTAGLIOPROFILIlateraliEverticaliAttaccatiALLAbarriera,FALSE),"")</f>
        <v/>
      </c>
      <c r="CT11" s="217" t="str">
        <f>IF(modelloAUTO4=$B$2,"|90° 90°|","")</f>
        <v/>
      </c>
      <c r="CU11" s="218"/>
      <c r="CV11" s="219" t="str">
        <f>IF(modelloAUTO4=$B$2,pezzi4*DUE,"")</f>
        <v/>
      </c>
      <c r="CW11" s="220" t="str">
        <f>IF(modelloAUTO4=$B$2,larghezza4*DIECI-VLOOKUP($B$2,tabMODELLI,COLcoeffTAGLIOPROFILIlateraliEverticaliAttaccatiALLAbarriera,FALSE),"")</f>
        <v/>
      </c>
      <c r="CX11" s="217" t="str">
        <f t="shared" si="25"/>
        <v/>
      </c>
      <c r="CY11" s="221"/>
      <c r="CZ11" s="222" t="str">
        <f>IF(modelloAUTO4=$B$2,PROFlatAUTO4,"")</f>
        <v/>
      </c>
      <c r="DA11" s="223" t="str">
        <f>IF(modelloAUTO4=$B$2,pezzi4,"")</f>
        <v/>
      </c>
      <c r="DB11" s="217" t="str">
        <f>IF(modelloAUTO4=$B$2,altezza4*DIECI-VLOOKUP(PROFlatAUTO4,TABprofLATten,COLsfioroPROFtenLATrispettoALvano,FALSE),"")</f>
        <v/>
      </c>
      <c r="DC11" s="217" t="str">
        <f>IF(modelloAUTO4=$B$2,"|90° 45°/","")</f>
        <v/>
      </c>
      <c r="DD11" s="224"/>
      <c r="DE11" s="223" t="str">
        <f>IF(modelloAUTO4=$B$2,pezzi4,"")</f>
        <v/>
      </c>
      <c r="DF11" s="217" t="str">
        <f>IF(modelloAUTO4=$B$2,larghezza4*DIECI-(VLOOKUP(PROFlatAUTO4,TABprofLATten,COLsfioroPROFtenLATrispettoALvano,FALSE)*DUE),"")</f>
        <v/>
      </c>
      <c r="DG11" s="217" t="str">
        <f>IF(modelloAUTO4=$B$2,"\45° 90°|","")</f>
        <v/>
      </c>
      <c r="DH11" s="224"/>
      <c r="DI11" s="223" t="str">
        <f>IF(modelloAUTO4=$B$2,pezzi4,"")</f>
        <v/>
      </c>
      <c r="DJ11" s="217" t="str">
        <f>IF(modelloAUTO4=$B$2,altezza4*DIECI-VLOOKUP(PROFlatAUTO4,TABprofLATten,COLsfioroPROFtenLATrispettoALvano,FALSE),"")</f>
        <v/>
      </c>
      <c r="DK11" s="217" t="str">
        <f>IF(modelloAUTO4=$B$2,"\45° 45°/","")</f>
        <v/>
      </c>
      <c r="DL11" s="225"/>
      <c r="DM11" s="226" t="str">
        <f>IF(modelloAUTO4=$B$2,pezzi4,"")</f>
        <v/>
      </c>
      <c r="DN11" s="226" t="str">
        <f>IF(modelloAUTO4=$B$2,larghezza4*DIECI,"")</f>
        <v/>
      </c>
      <c r="DO11" s="227" t="str">
        <f>IF(modelloAUTO4=$B$2,"|90° 90°|","")</f>
        <v/>
      </c>
      <c r="DP11" s="221"/>
      <c r="DQ11" s="228" t="str">
        <f>IF(modelloAUTO4=$B$2,DIMprimoFOROdalPAVIMENTOperFISSAGGIOprofiloDItenutaLATERALE*DIECI,"")</f>
        <v/>
      </c>
      <c r="DR11" s="228" t="str">
        <f ca="1">IF(modelloAUTO4=$B$2,IF(VLOOKUP(altezza4,INDIRECT("tabNfissaggi"&amp;$B$2),INDIRECT("colNfiSsaggi"&amp;$B$2),TRUE)&lt;DR$6,"",(IF(VLOOKUP(altezza4,INDIRECT("tabNfissaggi"&amp;$B$2),INDIRECT("colNfiSsaggi"&amp;$B$2),FALSE)=DR$6,altezza4*DIECI-DIMprimoFOROdalPAVIMENTOperFISSAGGIOprofiloDItenutaLATERALE,DQ44+(((altezza4*DIECI-DIMprimoFOROdalPAVIMENTOperFISSAGGIOprofiloDItenutaLATERALE*DIECI*DUE))/(VLOOKUP((altezza4),INDIRECT("tabNfissaggi"&amp;$B$2),INDIRECT("colNfiSsaggi"&amp;$B$2),FALSE)-UNO))))),"")</f>
        <v/>
      </c>
      <c r="DS11" s="228" t="str">
        <f ca="1">IF(modelloAUTO4=$B$2,IF(VLOOKUP(altezza4,INDIRECT("tabNfissaggi"&amp;$B$2),INDIRECT("colNfiSsaggi"&amp;$B$2),TRUE)&lt;DS$6,"",(IF(VLOOKUP(altezza4,INDIRECT("tabNfissaggi"&amp;$B$2),INDIRECT("colNfiSsaggi"&amp;$B$2),FALSE)=DS$6,altezza4*DIECI-DIMprimoFOROdalPAVIMENTOperFISSAGGIOprofiloDItenutaLATERALE,DR44+(((altezza4*DIECI-DIMprimoFOROdalPAVIMENTOperFISSAGGIOprofiloDItenutaLATERALE*DIECI*DUE))/(VLOOKUP((altezza4),INDIRECT("tabNfissaggi"&amp;$B$2),INDIRECT("colNfiSsaggi"&amp;$B$2),FALSE)-UNO))))),"")</f>
        <v/>
      </c>
      <c r="DT11" s="228" t="str">
        <f ca="1">IF(modelloAUTO4=$B$2,IF(VLOOKUP(altezza4,INDIRECT("tabNfissaggi"&amp;$B$2),INDIRECT("colNfiSsaggi"&amp;$B$2),TRUE)&lt;DT$6,"",(IF(VLOOKUP(altezza4,INDIRECT("tabNfissaggi"&amp;$B$2),INDIRECT("colNfiSsaggi"&amp;$B$2),FALSE)=DT$6,altezza4*DIECI-DIMprimoFOROdalPAVIMENTOperFISSAGGIOprofiloDItenutaLATERALE,DS44+(((altezza4*DIECI-DIMprimoFOROdalPAVIMENTOperFISSAGGIOprofiloDItenutaLATERALE*DIECI*DUE))/(VLOOKUP((altezza4),INDIRECT("tabNfissaggi"&amp;$B$2),INDIRECT("colNfiSsaggi"&amp;$B$2),FALSE)-UNO))))),"")</f>
        <v/>
      </c>
      <c r="DU11" s="228" t="str">
        <f ca="1">IF(modelloAUTO4=$B$2,IF(VLOOKUP(altezza4,INDIRECT("tabNfissaggi"&amp;$B$2),INDIRECT("colNfiSsaggi"&amp;$B$2),TRUE)&lt;DU$6,"",(IF(VLOOKUP(altezza4,INDIRECT("tabNfissaggi"&amp;$B$2),INDIRECT("colNfiSsaggi"&amp;$B$2),FALSE)=DU$6,altezza4*DIECI-DIMprimoFOROdalPAVIMENTOperFISSAGGIOprofiloDItenutaLATERALE,DT44+(((altezza4*DIECI-DIMprimoFOROdalPAVIMENTOperFISSAGGIOprofiloDItenutaLATERALE*DIECI*DUE))/(VLOOKUP((altezza4),INDIRECT("tabNfissaggi"&amp;$B$2),INDIRECT("colNfiSsaggi"&amp;$B$2),FALSE)-UNO))))),"")</f>
        <v/>
      </c>
      <c r="DV11" s="221"/>
      <c r="DW11" s="229" t="str">
        <f>IF(modelloAUTO4=$B$2,(PRIMOforoNELLantaPARTENDOdaLBASSOclose-VLOOKUP($B$2,tabMODELLI,COLcoeffALTprofiloSogliaRimanenteSOTTOalTELAIOperimetrale,FALSE)),"")</f>
        <v/>
      </c>
      <c r="DX11" s="230" t="str">
        <f>IF(modelloAUTO4=$B$2,DW11+INTERASSSEforiANTAcernieraSAVIOmechanica,"")</f>
        <v/>
      </c>
      <c r="DY11" s="231" t="str">
        <f>IF(modelloAUTO4=$B$2,INDEX(TABforoBASSOcernieraNELLantaCONdogaCLICKRAPIDnellANTACONsavIOMECHANICA,UNO,MATCH(((CJ11)/DUE),TABforoBASSOcernieraNELLantaCONdogaCLICKRAPIDnellANTACONsavIOMECHANICA,UNO)),"")</f>
        <v/>
      </c>
      <c r="DZ11" s="232" t="str">
        <f>IF(modelloAUTO4=$B$2,DY11+INTERASSSEforiANTAcernieraSAVIOmechanica,"")</f>
        <v/>
      </c>
      <c r="EA11" s="231" t="str">
        <f>IF(modelloAUTO4=$B$2,INDEX(TABforoBASSOcernieraNELLantaCONdogaCLICKRAPIDnellANTACONsavIOMECHANICA,UNO,MATCH((CJ11-ALTEZZAcerNIERAcomMPOSTAdalle2aliMECHANICA-altezzaALAcanalinoDA35X35X2),TABforoBASSOcernieraNELLantaCONdogaCLICKRAPIDnellANTACONsavIOMECHANICA,UNO)),"")</f>
        <v/>
      </c>
      <c r="EB11" s="232" t="str">
        <f>IF(modelloAUTO4=$B$2,EA11+INTERASSSEforiANTAcernieraSAVIOmechanica,"")</f>
        <v/>
      </c>
      <c r="EC11" s="233"/>
      <c r="ED11" s="234" t="str">
        <f>IF(modelloAUTO4=$B$2,"a: "&amp;DW11+INTERASSSEforiANTAcernieraSAVIOmechanica/DUE,"")</f>
        <v/>
      </c>
      <c r="EE11" s="234" t="str">
        <f>IF(modelloAUTO4=$B$2,"a: "&amp;DY11+INTERASSSEforiANTAcernieraSAVIOmechanica/DUE,"")</f>
        <v/>
      </c>
      <c r="EF11" s="234" t="str">
        <f>IF(modelloAUTO4=$B$2,"a: "&amp;EA11+INTERASSSEforiANTAcernieraSAVIOmechanica/DUE,"")</f>
        <v/>
      </c>
      <c r="EG11"/>
      <c r="EH11" s="235" t="str">
        <f>IF(modelloAUTO4=$B$2,pezzi4,"")</f>
        <v/>
      </c>
      <c r="EI11" s="235" t="str">
        <f>IF(modelloAUTO4=$B$2,INTERASSEforoPERnottolinoDIcomandoMANIGLIAdiCHIUSURAaLEVAclose,"")</f>
        <v/>
      </c>
      <c r="EJ11" s="236" t="str">
        <f>IF(modelloAUTO4=$B$2,ALTCentroNOTTOLINOpartendoDALbassodellaDOGA,"")</f>
        <v/>
      </c>
      <c r="EK11"/>
      <c r="EL11" s="216" t="str">
        <f>IF(modelloAUTO4=$B$2,pezzi4*UNO,"")</f>
        <v/>
      </c>
      <c r="EM11" s="212" t="str">
        <f>IF(modelloAUTO4=$B$2,altezza4*DIECI+VLOOKUP($B$2,tabMODELLI,COLcoeffTAGLIOPROFILOdiAGGANCIOsistemaMODERNA,FALSE),"")</f>
        <v/>
      </c>
      <c r="EN11"/>
      <c r="EO11" s="216" t="str">
        <f>IF(modelloAUTO4=$B$2,pezzi4*UNO,"")</f>
        <v/>
      </c>
      <c r="EP11" s="212" t="str">
        <f>IF(modelloAUTO4=$B$2,altezza4*DIECI+VLOOKUP($B$2,tabMODELLI,COLcoeffTAGLIOPROFILOdiAGGANCIOsistemaMODERNA,FALSE),"")</f>
        <v/>
      </c>
      <c r="EQ11"/>
      <c r="ER11" s="216" t="str">
        <f>IF(modelloAUTO4=$B$2,pezzi4*UNO,"")</f>
        <v/>
      </c>
      <c r="ES11" s="212" t="str">
        <f>IF(modelloAUTO4=$B$2,altezza4*DIECI+VLOOKUP($B$2,tabMODELLI,COLcoeffTAGLIOPROFILIlateraliEverticaliAttaccatiALLAbarriera,FALSE),"")</f>
        <v/>
      </c>
      <c r="ET11" s="218"/>
      <c r="EU11" s="191" t="str">
        <f>IF(modelloAUTO4=$B$2,IF(PROFlatRICH4="",pezzi4*DUE*VLOOKUP($B$2,tabMODELLI,COLprofiliLATdiserie,FALSE),pezzi4*DUE),"")</f>
        <v/>
      </c>
      <c r="EV11" s="179" t="str">
        <f>IF(modelloAUTO4=$B$2,IF(PROFlatRICH4="","STD",PROFlatRICH4),"")</f>
        <v/>
      </c>
      <c r="EW11" s="275" t="str">
        <f>IF(modelloAUTO4=$B$2,IF(TIPOcopertina4="","",TIPOcopertina4),"")</f>
        <v/>
      </c>
      <c r="EX11" s="238" t="str">
        <f>IF(modelloAUTO4=$B$2,VLOOKUP($B$2,tabMODELLI,COLcoeffALTguarnINFERIOREschiacciata,FALSE)+(VLOOKUP($B$2,tabMODELLI,COLcoefALTdogaREALEda200,FALSE)+(VLOOKUP($B$2,tabMODELLI,COLcoefALTdogaSORMONTATAda200,FALSE)*(CEILING(altezza4*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1" s="218"/>
      <c r="EZ11" s="239" t="str">
        <f ca="1">IF(OR(modelloAUTO4=$B$2,modelloAUTO4=CLICK_RAPIDxPRIVATO),INDEX(INDIRECT("TABnCHIAVISTELLOvert"&amp;$B$2),rif_alt4,rif_larg4)*pezzi4,"")</f>
        <v/>
      </c>
      <c r="FA11" s="240" t="str">
        <f>IF(modelloAUTO4=$B$2,IF(AND(nCatenacci4&lt;&gt;"",profORIZZ4&lt;&gt;""),spessoreCATENACCIOverticale60X45X300,""),"")</f>
        <v/>
      </c>
      <c r="FB11" s="241" t="str">
        <f ca="1">IF(OR(nCatenacci4=0,nCatenacci4="",),"",(CJ11+QUATTRO-(IF(nCatenacci4="",ZERO,SESSANTA*(nCatenacci4/PZCLICK_RAPID4))))/((nCatenacci4/PZCLICK_RAPID4)+UNO))</f>
        <v/>
      </c>
      <c r="FD11" s="242" t="str">
        <f ca="1">IF(modelloAUTO4=$B$2,INDEX(INDIRECT("TABnMANIGLIEsuperiori"&amp;$B$2),rif_alt4,rif_larg4),"")</f>
        <v/>
      </c>
      <c r="FE11" s="243" t="str">
        <f ca="1">IF(modelloAUTO4=$B$2,(larghezza4-CATENACCIOLOorizzontaleINGOMBROclick_rapid-DUE)/INDEX(INDIRECT("TABnMANIGLIEsuperiori"&amp;$B$2),rif_alt4,rif_larg4),"")</f>
        <v/>
      </c>
      <c r="FG11" s="244" t="str">
        <f ca="1">IF(modelloAUTO4=$B$2,INDEX(INDIRECT("TABnMANIGLIEfrontali"&amp;$B$2),rif_alt4,rif_larg4),"")</f>
        <v/>
      </c>
      <c r="FH11"/>
      <c r="FI11" s="245">
        <f>((larghezza4*DIECI-COEFFlargCOMPLESSIVAdelKITcerniere_GANCIOassemblato))</f>
        <v>738</v>
      </c>
      <c r="FJ11" s="245">
        <f t="shared" si="17"/>
        <v>19.453363192402126</v>
      </c>
      <c r="FK11" s="245">
        <f t="shared" si="18"/>
        <v>0.4001326</v>
      </c>
      <c r="FL11" s="246">
        <f>(altezza4+TREDICI/DIECI)/CENTO*(CERNIERA_TUBOLARE_MODERNA+CERNIERA_APERTA_MODERNA+UNCINO)+(altezza4/(VLOOKUP($B$2,tabMODELLI,COLcoefALTdogaSORMONTATAda200,FALSE)/DIECI)*COEFFdogaINSERITAnellaCERNIERAaertaFINOallaFINEdelGANCIO*VLOOKUP($B$2,tabMODELLI,COLpesoALKGmlDOGA,FALSE))</f>
        <v>8.6801589999999997</v>
      </c>
      <c r="FM11" s="247">
        <f t="shared" si="19"/>
        <v>0.18663999999999997</v>
      </c>
      <c r="FN11" s="247">
        <f>altezza4/(VLOOKUP($B$2,tabMODELLI,COLcoefALTdogaSORMONTATAda200,FALSE)/DIECI)*((((larghezza4-(COEFFlargCOMPLESSIVAdelKITcerniere_GANCIOassemblato/DIECI))/CENTO)*VLOOKUP($B$2,tabMODELLI,COLpesoALKGmlDOGA,FALSE)))</f>
        <v>10.520189999999999</v>
      </c>
      <c r="FO11" s="247">
        <f>larghezza4/CENTO*PESOguarnORIZZmodernaKG\ML</f>
        <v>0.29970000000000002</v>
      </c>
      <c r="FP11" s="247">
        <f>(altezza4/(VLOOKUP($B$2,tabMODELLI,COLcoefALTdogaSORMONTATAda200,FALSE)/DIECI)-UNO)*((((larghezza4-(COEFFlargCOMPLESSIVAdelKITcerniere_GANCIOassemblato/DIECI))/CENTO)*pesoALmlDOPPIAsiliconaturaINunaDOGA))</f>
        <v>2.0664000000000002</v>
      </c>
      <c r="FQ11" s="247">
        <f>(altezza4/CENTO*H_MODERNA)</f>
        <v>0.72099999999999997</v>
      </c>
      <c r="FR11" s="248">
        <f t="shared" si="21"/>
        <v>11.437110800000001</v>
      </c>
      <c r="FS11" s="248">
        <f t="shared" si="22"/>
        <v>0.2271</v>
      </c>
      <c r="FT11" s="249">
        <f t="shared" si="26"/>
        <v>1.7362723577235773E-2</v>
      </c>
      <c r="FU11" s="249">
        <f t="shared" si="27"/>
        <v>13.534689999999999</v>
      </c>
      <c r="FV11" s="249">
        <f t="shared" si="28"/>
        <v>2.0975791999999984</v>
      </c>
      <c r="FW11" s="249">
        <f t="shared" si="23"/>
        <v>0</v>
      </c>
      <c r="FX11" s="246">
        <f t="shared" si="29"/>
        <v>10.716110800000001</v>
      </c>
      <c r="FY11" s="250">
        <f t="shared" si="24"/>
        <v>598.19065861590229</v>
      </c>
      <c r="FZ11"/>
      <c r="GA11" s="251"/>
      <c r="GB11" s="251"/>
      <c r="GC11" s="251"/>
      <c r="GD11" s="251"/>
      <c r="GE11" s="251"/>
      <c r="GF11" s="251"/>
      <c r="GG11" s="251"/>
      <c r="GH11"/>
      <c r="GI11" s="252" t="str">
        <f>IF(modelloAUTO4=$B$2,IF(PROFlatRICH4="",pezzi4*UNO*VLOOKUP($B$2,tabMODELLI,COLnMANIGLIAasportabile,FALSE),pezzi4*UNO),"")</f>
        <v/>
      </c>
      <c r="GJ11" s="252" t="str">
        <f>IF(modelloAUTO4=$B$2,pezzi4*DUE,"")</f>
        <v/>
      </c>
      <c r="GK11" s="252" t="str">
        <f>IF(modelloAUTO4=$B$2,pezzi4*UNO,"")</f>
        <v/>
      </c>
      <c r="GL11" s="253" t="str">
        <f>IF(modelloAUTO4=$B$2,IF(SYSTEMantiFURTO4&lt;&gt;"",VLOOKUP($B$2,TABsistemaANTIFURTO,COLusoVITEdISERIE,FALSE),pezzi4),"")</f>
        <v/>
      </c>
      <c r="GM11" s="252" t="str">
        <f>IF(modelloAUTO4=$B$2,pezzi4*UNO,"")</f>
        <v/>
      </c>
      <c r="GN11" s="252" t="str">
        <f>IF(modelloAUTO4=$B$2,NmaniglieDItrasporto4*DUE,"")</f>
        <v/>
      </c>
      <c r="GO11" s="254" t="str">
        <f>IF(modelloAUTO4=$B$2,pezzi4*QUINDICI,"")</f>
        <v/>
      </c>
      <c r="GP11" s="254" t="str">
        <f>IF(modelloAUTO4=$B$2,pezzi4*DUE,"")</f>
        <v/>
      </c>
      <c r="GQ11" s="254" t="str">
        <f>IF(modelloAUTO4=$B$2,pezzi4*DUE,"")</f>
        <v/>
      </c>
      <c r="GR11" s="254" t="str">
        <f>IF(modelloAUTO4=$B$2,pezzi4*UNO,"")</f>
        <v/>
      </c>
      <c r="GS11" s="254" t="str">
        <f>IF(modelloAUTO4=$B$2,pezzi4*DUE,"")</f>
        <v/>
      </c>
      <c r="GT11" s="254" t="str">
        <f>IF(modelloAUTO4=$B$2,pezzi4*DUE,"")</f>
        <v/>
      </c>
      <c r="GU11" s="254" t="str">
        <f>IF(modelloAUTO4=$B$2,pezzi4*DUE,"")</f>
        <v/>
      </c>
      <c r="GV11" s="254" t="str">
        <f>IF(modelloAUTO4=$B$2,pezzi4*DUE,"")</f>
        <v/>
      </c>
      <c r="GW11" s="251"/>
      <c r="GX11" s="251"/>
      <c r="GY11" s="251"/>
      <c r="GZ11" s="251"/>
      <c r="HA11" s="251"/>
      <c r="HB11" s="251"/>
      <c r="HC11" s="251"/>
      <c r="HD11" s="251"/>
      <c r="HE11" s="251"/>
      <c r="HF11" s="251"/>
      <c r="HG11" s="251"/>
      <c r="HH11" s="251"/>
      <c r="HI11" s="251"/>
      <c r="HJ11" s="251"/>
      <c r="HK11" s="251"/>
      <c r="HL11" s="251"/>
      <c r="HN11" s="191" t="str">
        <f>IF(modelloAUTO4=$B$2,IF(PROFlatRICH4="",pezzi4*VLOOKUP($B$2,tabMODELLI,COLnGUARNorizzINFERIOREbarriera,FALSE),pezzi4),"")</f>
        <v/>
      </c>
      <c r="HO11" s="193" t="str">
        <f>IF(modelloAUTO4=$B$2,IF(VLOOKUP($B$2,tabMODELLI,COLnGUARNorizzINFERIOREbarriera,FALSE)="","",larghezza4),"")</f>
        <v/>
      </c>
      <c r="HQ11" s="191" t="str">
        <f>IF(modelloAUTO4=$B$2,IF(PROFlatRICH4="",pezzi4*DUE*VLOOKUP($B$2,tabMODELLI,COLnGUARNorizzINTERMEDIEbarriera,FALSE),pezzi4*DUE),"")</f>
        <v/>
      </c>
      <c r="HR11" s="193" t="str">
        <f>IF(modelloAUTO4=$B$2,IF(VLOOKUP($B$2,tabMODELLI,COLnGUARNorizzINTERMEDIEbarriera,FALSE)="","",larghezza4),"")</f>
        <v/>
      </c>
      <c r="HT11" s="191" t="str">
        <f>IF(modelloAUTO4=$B$2,IF(PROFlatRICH4="",pezzi4*UNO*VLOOKUP($B$2,tabMODELLI,COLnGUARNvertBARRIERA,FALSE),pezzi4*UNO),"")</f>
        <v/>
      </c>
      <c r="HU11" s="193" t="str">
        <f>IF(modelloAUTO4=$B$2,IF(VLOOKUP($B$2,tabMODELLI,COLnGUARNvertBARRIERA,FALSE)="","",altezza4),"")</f>
        <v/>
      </c>
      <c r="HV11"/>
      <c r="HW11" s="191" t="str">
        <f>IF(modelloAUTO4=$B$2,IF(PROFlatRICH4="",pezzi4*VLOOKUP($B$2,tabMODELLI,COLnTAPPIdiGIUNZIONEguarnORIZZconVERT,FALSE),pezzi4),"")</f>
        <v/>
      </c>
      <c r="HX11"/>
      <c r="HY11" s="191" t="str">
        <f>IF(modelloAUTO4=$B$2,IF(PROFlatRICH4="",pezzi4*VLOOKUP($B$2,tabMODELLI,COLnGUARNorizzPROFILOdiTENUTAlaterale,FALSE),pezzi4),"")</f>
        <v/>
      </c>
      <c r="HZ11" s="193" t="str">
        <f>IF(modelloAUTO4=$B$2,IF(VLOOKUP($B$2,tabMODELLI,COLnGUARNorizzPROFILOdiTENUTAlaterale,FALSE)="","",altezza4),"")</f>
        <v/>
      </c>
      <c r="IA11"/>
      <c r="IB11" s="191" t="str">
        <f>IF(modelloAUTO4=$B$2,IF(PROFlatRICH4="",pezzi4*VLOOKUP($B$2,tabMODELLI,COLnGUARNvertPROFILOdiTENUTAlaterale,FALSE),pezzi4),"")</f>
        <v/>
      </c>
      <c r="IC11" s="193" t="str">
        <f>IF(modelloAUTO4=$B$2,IF(VLOOKUP($B$2,tabMODELLI,COLnGUARNvertPROFILOdiTENUTAlaterale,FALSE)="","",altezza4),"")</f>
        <v/>
      </c>
      <c r="ID11"/>
      <c r="IE11" s="191" t="str">
        <f>IF(modelloAUTO4=$B$2,IF(PROFlatRICH4="",pezzi4*VLOOKUP($B$2,tabMODELLI,COLnPROFILIinNYLON,FALSE),pezzi4),"")</f>
        <v/>
      </c>
      <c r="IF11" s="193" t="str">
        <f>IF(modelloAUTO4=$B$2,IF(VLOOKUP($B$2,tabMODELLI,COLnPROFILIinNYLON,FALSE)="","",altezza4),"")</f>
        <v/>
      </c>
      <c r="IH11" s="171" t="str">
        <f>IF(modelloAUTO4=$B$2,IF(PROFoTUBsxRICH4="","",pezzi4),"")</f>
        <v/>
      </c>
      <c r="II11" s="199" t="str">
        <f>IF(modelloAUTO4=$B$2,IF(PROFoTUBsxRICH4="","",PROFoTUBsxRICH4),"")</f>
        <v/>
      </c>
      <c r="IJ11" s="257" t="str">
        <f>IF(AND(modelloAUTO4=$B$2,PROFoTUBsxRICH4&lt;&gt;""),IF(ALTprofOtubRICHsx4="","STD",ALTprofOtubRICHsx4*DIECI),"")</f>
        <v/>
      </c>
      <c r="IL11" s="201" t="str">
        <f>IF(modelloAUTO4=$B$2,IF(PROFoTUBsxRICH4="","",IF(vernPROFoTUBlatSX4="","STD",vernPROFoTUBlatSX4)),"")</f>
        <v/>
      </c>
      <c r="IN11" s="171" t="str">
        <f>IF(modelloAUTO4=$B$2,IF(PROFoTUBdxRICH4="","",pezzi4),"")</f>
        <v/>
      </c>
      <c r="IO11" s="202" t="str">
        <f>IF(modelloAUTO4=$B$2,IF(PROFoTUBdxRICH4="","",PROFoTUBdxRICH4),"")</f>
        <v/>
      </c>
      <c r="IP11" s="257" t="str">
        <f>IF(AND(modelloAUTO4=$B$2,PROFoTUBdxRICH4&lt;&gt;""),IF(ALTprofOtubRICHdx4="","STD",ALTprofOtubRICHdx4*DIECI),"")</f>
        <v/>
      </c>
      <c r="IR11" s="203" t="str">
        <f>IF(modelloAUTO4=$B$2,IF(PROFoTUBdxRICH4="","",IF(vernPROFoTUBlatDX4="","STD",vernPROFoTUBlatDX4)),"")</f>
        <v/>
      </c>
      <c r="IT11" s="204" t="str">
        <f>IF(modelloAUTO4=$B$2,IF(profORIZZ4="","",pezzi4),"")</f>
        <v/>
      </c>
      <c r="IU11" s="205" t="str">
        <f>IF(modelloAUTO4=$B$2,IF(profORIZZ4="","",CODpiattoORIZZsugg4),"")</f>
        <v/>
      </c>
      <c r="IV11" s="206" t="str">
        <f>IF(modelloAUTO4=$B$2,IF(profORIZZ4="","",larghezza4*DIECI+IF(PROFoTUBsxRICH4="",ZERO,VLOOKUP(PROFoTUBsxRICH4,TABprofOtubLATERALI,COLlargPROFoTUBlat,FALSE))+IF(PROFoTUBdxRICH4="",ZERO,VLOOKUP(PROFoTUBdxRICH4,TABprofOtubLATERALI,COLlargPROFoTUBlat,FALSE))),"")</f>
        <v/>
      </c>
      <c r="IW11"/>
      <c r="IX11" s="168">
        <v>4</v>
      </c>
      <c r="IY11" s="258" t="str">
        <f>IF(AND(modelloAUTO4=$B$2,SYSTEMantiFURTO4&lt;&gt;""),VLOOKUP($B$2,TABsistemaANTIFURTO,COLlucchetto,FALSE),"")</f>
        <v/>
      </c>
      <c r="IZ11" s="258" t="str">
        <f>IF(AND(modelloAUTO4=$B$2,SYSTEMantiFURTO4&lt;&gt;""),VLOOKUP($B$2,TABsistemaANTIFURTO,COLaccessorioANTIFURTO2,FALSE),"")</f>
        <v/>
      </c>
      <c r="JA11" s="258" t="str">
        <f>IF(AND(modelloAUTO4=$B$2,SYSTEMantiFURTO4&lt;&gt;""),VLOOKUP($B$2,TABsistemaANTIFURTO,COLaccessorioANTIFURTO,FALSE),"")</f>
        <v/>
      </c>
      <c r="JB11" s="258" t="str">
        <f>IF(AND(modelloAUTO4=$B$2,SYSTEMantiFURTO4&lt;&gt;""),VLOOKUP($B$2,TABsistemaANTIFURTO,COLviteSPECIALExANTIFURTO,FALSE),"")</f>
        <v/>
      </c>
      <c r="JC11" s="258" t="str">
        <f>IF(AND(modelloAUTO4=$B$2,SYSTEMantiFURTO4&lt;&gt;""),VLOOKUP($B$2,TABsistemaANTIFURTO,COLlavorazioneXantifurto,FALSE),"")</f>
        <v/>
      </c>
      <c r="JD11"/>
      <c r="JE11"/>
      <c r="JF11"/>
      <c r="JG11"/>
      <c r="JH11"/>
      <c r="JI11"/>
      <c r="JJ11"/>
      <c r="JK11"/>
      <c r="JL11"/>
      <c r="JM11"/>
      <c r="JN11"/>
      <c r="JO11"/>
      <c r="JP11"/>
      <c r="JQ11"/>
      <c r="JR11"/>
      <c r="JS11"/>
      <c r="JT11"/>
      <c r="JU11"/>
      <c r="JV11"/>
      <c r="JW11"/>
      <c r="JX11" s="168">
        <v>4</v>
      </c>
      <c r="JY11" s="210" t="str">
        <f>IF(modelloAUTO4=$B$2,IF(fornPIANTcentr4="","",fornPIANTcentr4*pezzi4),"")</f>
        <v/>
      </c>
      <c r="JZ11" s="210" t="str">
        <f>IF(modelloAUTO4=$B$2,IF(fornPIANTcentr4="","",CODpiantCENTRsugg4),"")</f>
        <v/>
      </c>
      <c r="KB11" s="210" t="str">
        <f>IF(modelloAUTO4=$B$2,IF(CODpiantCENTRsuggAPPOG4="","",CODpiantCENTRdiAPPOGGIOrich4),"")</f>
        <v/>
      </c>
      <c r="KC11" s="210" t="str">
        <f>IF(modelloAUTO4=$B$2,IF(CODpiantCENTRsuggAPPOG4="","",CODpiantCENTRsuggAPPOG4),"")</f>
        <v/>
      </c>
      <c r="KP11" s="168">
        <v>4</v>
      </c>
      <c r="KQ11" s="259" t="str">
        <f>IF(AND(modelloAUTO4=$B$2,VLOOKUP($B$2,tabMODELLI,COLcoeffPOSSIBILITApellicolaADESIVA,FALSE)=UNO),IF(PELLICOLA4="","",pezzi4),"")</f>
        <v/>
      </c>
      <c r="KR11" s="236" t="str">
        <f>IF(AND(modelloAUTO4=$B$2,VLOOKUP($B$2,tabMODELLI,COLcoeffPOSSIBILITApellicolaADESIVA,FALSE)=UNO),IF(PELLICOLA4="","",larghezza4*DIECI-(VLOOKUP($B$2,tabMODELLI,COLcoeffPELLICOLAadesivaLARG,FALSE))),"")</f>
        <v/>
      </c>
      <c r="KS11" s="236" t="str">
        <f>IF(AND(modelloAUTO4=$B$2,VLOOKUP($B$2,tabMODELLI,COLcoeffPOSSIBILITApellicolaADESIVA,FALSE)=UNO),IF(PELLICOLA4="","",altezza4*DIECI-(VLOOKUP($B$2,tabMODELLI,COLcoeffPELLICOLAadesivaLARG,FALSE))),"")</f>
        <v/>
      </c>
      <c r="MA11" s="168">
        <v>4</v>
      </c>
      <c r="MB11" s="260" t="str">
        <f>IF(modelloAUTO4=$B$2,stanza4,"")</f>
        <v/>
      </c>
      <c r="MC11" s="168">
        <v>4</v>
      </c>
      <c r="MD11" s="230" t="str">
        <f>IF(modelloAUTO4=$B$2,larghezza4*DIECI+4+VLOOKUP($B$2,tabMODELLI,COLcoefAUMlargBUSTApvc,FALSE)+VLOOKUP($B$2,tabMODELLI,COLcoefAUMlargXprofILIlateraliBUSTApvc,FALSE)+IF(PROFoTUBsxRICH4="",ZERO,VLOOKUP(PROFoTUBsxRICH4,TABprofOtubLATERALI,COLlargPROFoTUBlatXimballaggio,FALSE)+profELETTRODOsaldaturaPVC)+IF(PROFoTUBdxRICH4="",ZERO,VLOOKUP(PROFoTUBdxRICH4,TABprofOtubLATERALI,COLlargPROFoTUBlatXimballaggio,FALSE)+profELETTRODOsaldaturaPVC),"")</f>
        <v/>
      </c>
      <c r="ME11" s="230" t="str">
        <f>IF(modelloAUTO4=$B$2,altezza4*DIECI*DUE+VLOOKUP($B$2,tabMODELLI,COLcoefAUMaltBUSTApvc,FALSE),"")</f>
        <v/>
      </c>
      <c r="MF11" s="261"/>
      <c r="MG11" s="230" t="str">
        <f>IF(modelloAUTO4=$B$2,altezza4*DIECI+VLOOKUP($B$2,tabMODELLI,COLcoeffSALDATURAinALTbustaPVC,FALSE),"")</f>
        <v/>
      </c>
      <c r="MH11" s="230" t="str">
        <f>IF(modelloAUTO4=$B$2,VLOOKUP($B$2,tabMODELLI,COLcoeffSALDATURAinLARGperTASCAbustaPVC,FALSE),"")</f>
        <v/>
      </c>
      <c r="MI11" s="230" t="str">
        <f>IF(modelloAUTO4=$B$2,IF(PROFoTUBsxRICH4="","",VLOOKUP(PROFoTUBsxRICH4,TABprofOtubLATERALI,COLlargPROFoTUBlatXimballaggio,FALSE)),"")</f>
        <v/>
      </c>
      <c r="MJ11" s="230" t="str">
        <f>IF(modelloAUTO4=$B$2,IF(PROFoTUBdxRICH4="","",VLOOKUP(PROFoTUBdxRICH4,TABprofOtubLATERALI,COLlargPROFoTUBlatXimballaggio,FALSE)),"")</f>
        <v/>
      </c>
      <c r="MK11"/>
      <c r="ML11" s="262" t="str">
        <f>IF(modelloAUTO4=$B$2,pezzi4*DUE,"")</f>
        <v/>
      </c>
      <c r="MM11" s="263" t="str">
        <f>IF(modelloAUTO4=$B$2,larghezza4+VLOOKUP($B$2,tabMODELLI,COLcoeffAUMoCALOinLARGpolistirolo,FALSE),"")</f>
        <v/>
      </c>
      <c r="MN11" s="263" t="str">
        <f>IF(modelloAUTO4=$B$2,altezza4+VLOOKUP($B$2,tabMODELLI,COLcoeffAUMoCALOinALTpolistirolo,FALSE),"")</f>
        <v/>
      </c>
      <c r="MO11"/>
      <c r="MP11" s="264" t="str">
        <f>IF(modelloAUTO4=$B$2,IF(VLOOKUP($B$2,tabMODELLI,COLcoeffAUMoCALOinLARGprofiloAu,FALSE)="",pezzi4*DUE,pezzi4*UNO),"")</f>
        <v/>
      </c>
      <c r="MQ11" s="265" t="str">
        <f>IF(modelloAUTO4=$B$2,VLOOKUP($B$2,tabMODELLI,COLdimStdSTRISCIAdelFIANCOxLARG1polistirolo,FALSE),"")</f>
        <v/>
      </c>
      <c r="MR11" s="263" t="str">
        <f>IF(modelloAUTO4=$B$2,larghezza4+VLOOKUP($B$2,tabMODELLI,colCOEFFdellaLARGnelFIANCOpolistirolo,FALSE),"")</f>
        <v/>
      </c>
      <c r="MT11" s="262" t="str">
        <f>IF(modelloAUTO4=$B$2,IF(VLOOKUP($B$2,tabMODELLI,COLdimstdSTRISCIAdelFIANCOxALT2polistirolo,FALSE)="",pezzi4*DUE,pezzi4),"")</f>
        <v/>
      </c>
      <c r="MU11" s="265" t="str">
        <f>IF(modelloAUTO4=$B$2,VLOOKUP($B$2,tabMODELLI,COLdimstdSTRISCIAdelFIANCOxALT1polistirolo,FALSE),"")</f>
        <v/>
      </c>
      <c r="MV11" s="263" t="str">
        <f>IF(modelloAUTO4=$B$2,altezza4+VLOOKUP($B$2,tabMODELLI,colCOEFFdellaALTnelFIANCOpolistirolo,FALSE),"")</f>
        <v/>
      </c>
      <c r="MX11" s="266" t="str">
        <f>IF(modelloAUTO4=$B$2,IF(VLOOKUP($B$2,tabMODELLI,COLdimstdSTRISCIAdelFIANCOxALT2polistirolo,FALSE)="","",pezzi4*UNO),"")</f>
        <v/>
      </c>
      <c r="MY11" s="267" t="str">
        <f>IF(modelloAUTO4=$B$2,IF(VLOOKUP($B$2,tabMODELLI,COLdimstdSTRISCIAdelFIANCOxALT2polistirolo,FALSE)="","",VLOOKUP($B$2,tabMODELLI,COLdimstdSTRISCIAdelFIANCOxALT2polistirolo,FALSE)),"")</f>
        <v/>
      </c>
      <c r="MZ11" s="263" t="str">
        <f>IF(modelloAUTO4=$B$2,altezza4+VLOOKUP($B$2,tabMODELLI,colCOEFFdellaALTnelFIANCOpolistirolo,FALSE),"")</f>
        <v/>
      </c>
      <c r="NB11" s="266" t="str">
        <f>IF(modelloAUTO4=$B$2,IF(VLOOKUP($B$2,tabMODELLI,COLcoeffAUMoCALOinLARGprofiloAu,FALSE)="","",pezzi4*UNO),"")</f>
        <v/>
      </c>
      <c r="NC11" s="216" t="str">
        <f>IF(modelloAUTO4=$B$2,IF(VLOOKUP($B$2,tabMODELLI,COLcoeffAUMoCALOinLARGprofiloAu,FALSE)="","",larghezza4+VLOOKUP($B$2,tabMODELLI,COLcoeffAUMoCALOinLARGprofiloAu,FALSE)),"")</f>
        <v/>
      </c>
      <c r="ND11" s="191" t="str">
        <f>IF(modelloAUTO4=$B$2,IF(VLOOKUP($B$2,tabMODELLI,COLcoeffAUMoCALOinLARGprofiloAu,FALSE)="","",VLOOKUP($B$2,tabMODELLI,COLdimstdSTRISCIAdelFIANCOxALT1polistirolo,FALSE)),"")</f>
        <v/>
      </c>
      <c r="NE11"/>
      <c r="NI11" s="168">
        <v>4</v>
      </c>
      <c r="NJ11" s="171">
        <f>IF(pezzi4="","",pezzi4)</f>
        <v>1</v>
      </c>
      <c r="NK11" s="170" t="str">
        <f>IF(modelloAUTO4="","",modelloAUTO4)</f>
        <v>CLOSE</v>
      </c>
      <c r="NL11" s="172">
        <f>IF(larghezza4="","",LARGortogonalitaADEGUATA4)</f>
        <v>99.9</v>
      </c>
      <c r="NM11" s="173">
        <f>IF(altezza4="","",altezza4)</f>
        <v>100</v>
      </c>
      <c r="NO11" s="189">
        <f>IF(PesoTEORICOparatia4="","",PesoTEORICOparatia4)</f>
        <v>9.99</v>
      </c>
      <c r="NR11"/>
      <c r="NS11"/>
      <c r="NT11"/>
      <c r="NU11"/>
      <c r="NV11"/>
      <c r="NW11"/>
      <c r="NX11"/>
      <c r="NY11"/>
      <c r="NZ11"/>
      <c r="OA11"/>
      <c r="OB11"/>
      <c r="OC11"/>
      <c r="OD11"/>
      <c r="OE11"/>
      <c r="OG11" s="269"/>
      <c r="OH11" s="270"/>
      <c r="OI11" s="270"/>
      <c r="OJ11" s="270"/>
      <c r="OK11" s="270"/>
      <c r="OL11" s="270"/>
      <c r="OM11" s="271"/>
      <c r="ON11" s="270"/>
      <c r="OO11" s="271"/>
    </row>
    <row r="12" spans="1:412" s="150" customFormat="1" ht="45">
      <c r="A12" s="168">
        <v>5</v>
      </c>
      <c r="B12" s="169" t="str">
        <f>IF(stanza5="","",stanza5)</f>
        <v/>
      </c>
      <c r="C12" s="170" t="str">
        <f>IF(modelloAUTO5="","",modelloAUTO5)</f>
        <v/>
      </c>
      <c r="D12" s="171" t="str">
        <f>IF(pezzi5="","",pezzi5)</f>
        <v/>
      </c>
      <c r="E12" s="172" t="str">
        <f>IF(larghezza5="","",LARGortogonalitaADEGUATA5)</f>
        <v/>
      </c>
      <c r="F12" s="173" t="str">
        <f>IF(altezza5="","",altezza5)</f>
        <v/>
      </c>
      <c r="G12" s="174" t="str">
        <f t="shared" si="0"/>
        <v/>
      </c>
      <c r="H12" s="175" t="str">
        <f>IF(LATOcomAUTO5="","",LATOcomAUTO5)</f>
        <v/>
      </c>
      <c r="I12" s="176" t="str">
        <f>IF(modelloAUTO5="","",IF(vernBarriera5="","",vernBarriera5))</f>
        <v/>
      </c>
      <c r="J12" s="177" t="str">
        <f>IF(modelloAUTO5=$B$2,IF(PELLICOLA5="","",pezzi5),"")</f>
        <v/>
      </c>
      <c r="K12" s="178" t="str">
        <f t="shared" si="1"/>
        <v/>
      </c>
      <c r="M12" s="179" t="str">
        <f>IF(modelloAUTO5=$B$2,IF(PROFlatAUTO5="ESCLUSI","",IF(PROFlatRICH5="","STD",PROFlatRICH5)),"")</f>
        <v/>
      </c>
      <c r="N12" s="180" t="str">
        <f>IF(AND(modelloAUTO5=$B$2,COPERTINAauto5&lt;&gt;""),TIPOcopertina5,"")</f>
        <v/>
      </c>
      <c r="O12" s="181" t="str">
        <f>IF(AND(modelloAUTO5=$B$2,PROFlatAUTO5&lt;&gt;"ESCLUSI"),IF(AND(COPERTINAauto5&lt;&gt;"",ALTprofLATrich5=""),"STD",ALTprofLATrich5*DIECI),"")</f>
        <v/>
      </c>
      <c r="P12" s="176" t="str">
        <f>IF(modelloAUTO5="","",IF(vernPROFlatTEN5="","",vernPROFlatTEN5))</f>
        <v/>
      </c>
      <c r="R12" s="176" t="str">
        <f>IF(PROFoTUBsxRICH5="","",PROFoTUBsxRICH5)</f>
        <v/>
      </c>
      <c r="S12" s="182"/>
      <c r="T12" s="176" t="str">
        <f>IF(modelloAUTO5="","",IF(PROFoTUBdxRICH5="","",PROFoTUBdxRICH5))</f>
        <v/>
      </c>
      <c r="U12" s="182"/>
      <c r="V12" s="183" t="str">
        <f>IF(modelloAUTO5="","",IF(PROFoTUBsxRICH5="","",IF(ALTprofOtubRICHsx5="","SX: STD","SX: "&amp;ALTprofOtubRICHsx5&amp;" - "))&amp;IF(PROFoTUBdxRICH5="","",IF(ALTprofOtubRICHdx5="","  DX: STD","DX :"&amp;ALTprofOtubRICHdx5)))</f>
        <v/>
      </c>
      <c r="W12" s="184" t="str">
        <f>IF(modello5="","",IF(vernPROFoTUBlatSX5="","","SX: "&amp;vernPROFoTUBlatSX5&amp;" - ")&amp;IF(vernPROFoTUBlatDX5="",""," DX: "&amp;vernPROFoTUBlatDX5))</f>
        <v/>
      </c>
      <c r="Y12" s="185" t="str">
        <f>IF(modelloAUTO5="","",IF(OR(larghezza5="",profORIZZ5=""),"",CODpiattoORIZZsugg5))</f>
        <v/>
      </c>
      <c r="Z12" s="186" t="str">
        <f>IF(modelloAUTO5="","",IF(profORIZZ5="","",larghezza5+IF(PROFoTUBsxRICH5="",0,VLOOKUP(PROFoTUBsxRICH5,TABprofOtubLATERALI,COLlargPROFoTUBlat,FALSE))+IF(PROFoTUBdxRICH5="",0,VLOOKUP(PROFoTUBdxRICH5,TABprofOtubLATERALI,COLlargPROFoTUBlat,FALSE))))</f>
        <v/>
      </c>
      <c r="AB12" s="187" t="str">
        <f>IF(modelloAUTO5="","",IF(CODpiantCENTRsugg5="","","N° "&amp;fornPIANTcentr5&amp;"-"&amp;IF(CODpiantCENTRsugg5=0,"ERRORE",CODpiantCENTRsugg5)))</f>
        <v/>
      </c>
      <c r="AC12" s="187" t="str">
        <f>IF(modelloAUTO5="","",IF(CODpiantCENTRsuggAPPOG5="","","N° "&amp;CODpiantCENTRdiAPPOGGIOrich5&amp;"-"&amp;IF(CODpiantCENTRsuggAPPOG5=0,"ERRORE",CODpiantCENTRsuggAPPOG5)))</f>
        <v/>
      </c>
      <c r="AE12" s="188" t="str">
        <f>IF(modelloAUTO5="","",IF(note_cliente5="","",note_cliente5))</f>
        <v/>
      </c>
      <c r="AF12" s="189" t="str">
        <f>IF(PesoTEORICOparatia5="","",PesoTEORICOparatia5)</f>
        <v/>
      </c>
      <c r="AG12" s="190">
        <v>5</v>
      </c>
      <c r="AI12" s="191" t="str">
        <f>IF(modelloAUTO5=$B$2,pezzi5*UNO,"")</f>
        <v/>
      </c>
      <c r="AJ12" s="192" t="str">
        <f>IF(modelloAUTO5=$B$2,larghezza5,"")</f>
        <v/>
      </c>
      <c r="AK12" s="193" t="str">
        <f>IF(modelloAUTO5=$B$2,altezza5,"")</f>
        <v/>
      </c>
      <c r="AL12" s="174" t="str">
        <f t="shared" si="2"/>
        <v/>
      </c>
      <c r="AM12" s="173" t="str">
        <f t="shared" si="3"/>
        <v>DX (di serie)</v>
      </c>
      <c r="AN12" s="194"/>
      <c r="AO12"/>
      <c r="AP12" s="195" t="str">
        <f>IF(modelloAUTO5=$B$2,IF(PROFlatRICH5="",pezzi5*DUE*VLOOKUP($B$2,tabMODELLI,COLprofiliLATdiserie,FALSE),pezzi5*DUE),"")</f>
        <v/>
      </c>
      <c r="AQ12" s="179" t="str">
        <f>IF(modelloAUTO5=$B$2,IF(PROFlatAUTO5="ESCLUSI","",IF(PROFlatRICH5="","STD",PROFlatRICH5)),"")</f>
        <v/>
      </c>
      <c r="AR12" s="196" t="str">
        <f>IF(AND(modelloAUTO5=$B$2,PROFlatAUTO5&lt;&gt;"ESCLUSI"),IF(ALTprofLATrich5="","STD",ALTprofLATrich5*DIECI),"")</f>
        <v/>
      </c>
      <c r="AT12" s="272" t="str">
        <f>IF(modelloAUTO5=$B$2,IF(TIPOcopertina5="","",TIPOcopertina5),"")</f>
        <v/>
      </c>
      <c r="AV12" s="198" t="str">
        <f>IF(modelloAUTO5=$B$2,IF(vernBarriera5="","STD",vernBarriera5),"")</f>
        <v/>
      </c>
      <c r="AX12" s="171" t="str">
        <f>IF(modelloAUTO5=$B$2,IF(PROFoTUBsxRICH5="","",pezzi5),"")</f>
        <v/>
      </c>
      <c r="AY12" s="199" t="str">
        <f>IF(modelloAUTO5=$B$2,IF(PROFoTUBsxRICH5="","",PROFoTUBsxRICH5),"")</f>
        <v/>
      </c>
      <c r="AZ12" s="200" t="str">
        <f>IF(AND(modelloAUTO5=$B$2,PROFoTUBsxRICH5&lt;&gt;""),IF(ALTprofOtubRICHsx5="","STD",ALTprofOtubRICHsx5),"")</f>
        <v/>
      </c>
      <c r="BB12" s="201" t="str">
        <f>IF(modelloAUTO5=$B$2,IF(PROFoTUBsxRICH5="","",IF(vernPROFoTUBlatSX5="","STD",vernPROFoTUBlatSX5)),"")</f>
        <v/>
      </c>
      <c r="BD12" s="171" t="str">
        <f>IF(modelloAUTO5=$B$2,IF(PROFoTUBdxRICH5="","",pezzi5),"")</f>
        <v/>
      </c>
      <c r="BE12" s="202" t="str">
        <f>IF(modelloAUTO5=$B$2,IF(PROFoTUBdxRICH5="","",PROFoTUBdxRICH5),"")</f>
        <v/>
      </c>
      <c r="BF12" s="200" t="str">
        <f>IF(AND(modelloAUTO5=$B$2,PROFoTUBdxRICH5&lt;&gt;""),IF(ALTprofOtubRICHdx5="","STD",ALTprofOtubRICHdx5),"")</f>
        <v/>
      </c>
      <c r="BH12" s="203" t="str">
        <f>IF(modelloAUTO5=$B$2,IF(PROFoTUBdxRICH5="","",IF(vernPROFoTUBlatDX5="","STD",vernPROFoTUBlatDX5)),"")</f>
        <v/>
      </c>
      <c r="BJ12" s="204" t="str">
        <f>IF(modelloAUTO5=$B$2,IF(profORIZZ5="","",pezzi5),"")</f>
        <v/>
      </c>
      <c r="BK12" s="205" t="str">
        <f>IF(modelloAUTO5=$B$2,IF(profORIZZ5="","",CODpiattoORIZZsugg5),"")</f>
        <v/>
      </c>
      <c r="BL12" s="206" t="str">
        <f>IF(modelloAUTO5=$B$2,IF(profORIZZ5="","",larghezza5*UNO+IF(PROFoTUBsxRICH5="",ZERO,VLOOKUP(PROFoTUBsxRICH5,TABprofOtubLATERALI,COLlargPROFoTUBlat,FALSE))+IF(PROFoTUBdxRICH5="",ZERO,VLOOKUP(PROFoTUBdxRICH5,TABprofOtubLATERALI,COLlargPROFoTUBlat,FALSE))),"")</f>
        <v/>
      </c>
      <c r="BN12" s="207" t="str">
        <f ca="1">IF(modelloAUTO5=$B$2,INDEX(INDIRECT("TABnCHIAVISTELLOvert"&amp;$B$2),rif_alt5,rif_larg5)*pezzi5,"")</f>
        <v/>
      </c>
      <c r="BO12"/>
      <c r="BP12" s="178" t="str">
        <f t="shared" si="4"/>
        <v/>
      </c>
      <c r="BQ12" s="208" t="str">
        <f ca="1">IF(modelloAUTO5=$B$2,INDEX(INDIRECT("TABnMANIGLIEsuperiori"&amp;$B$2),rif_alt5,rif_larg5)+INDEX(INDIRECT("TABnMANIGLIEfrontali"&amp;$B$2),rif_alt5,rif_larg5),"")</f>
        <v/>
      </c>
      <c r="BR12" s="191" t="str">
        <f>IF(modelloAUTO5=$B$2,pezzi5*DUE,"")</f>
        <v/>
      </c>
      <c r="BS12" s="209" t="str">
        <f>IF(modelloAUTO5=$B$2,BQ12*DUE,"")</f>
        <v/>
      </c>
      <c r="BT12" s="209" t="str">
        <f>IF(modelloAUTO5=$B$2,BR12*TRE,"")</f>
        <v/>
      </c>
      <c r="BU12" s="191" t="str">
        <f>IF(modelloAUTO5=$B$2,pezzi5*DUE,"")</f>
        <v/>
      </c>
      <c r="BV12" s="191" t="str">
        <f>IF(modelloAUTO5=$B$2,pezzi5*DUE,"")</f>
        <v/>
      </c>
      <c r="BW12" s="191" t="str">
        <f>IF(modelloAUTO5=$B$2,pezzi5*DUE,"")</f>
        <v/>
      </c>
      <c r="BX12" s="191" t="str">
        <f>IF(modelloAUTO5=$B$2,pezzi5*DUE,"")</f>
        <v/>
      </c>
      <c r="BY12" s="191" t="str">
        <f>IF(modelloAUTO5=$B$2,pezzi5*DUE,"")</f>
        <v/>
      </c>
      <c r="CA12" s="210" t="str">
        <f>IF(modelloAUTO5=$B$2,IF(fornPIANTcentr5="","",fornPIANTcentr5*pezzi5),"")</f>
        <v/>
      </c>
      <c r="CB12" s="210" t="str">
        <f>IF(modelloAUTO5=$B$2,IF(fornPIANTcentr5="","",CODpiantCENTRsugg5),"")</f>
        <v/>
      </c>
      <c r="CD12" s="210" t="str">
        <f>IF(modelloAUTO5=$B$2,IF(CODpiantCENTRsuggAPPOG5="","",CODpiantCENTRdiAPPOGGIOrich5),"")</f>
        <v/>
      </c>
      <c r="CE12" s="210" t="str">
        <f>IF(modelloAUTO5=$B$2,IF(CODpiantCENTRsuggAPPOG5="","",CODpiantCENTRsuggAPPOG5),"")</f>
        <v/>
      </c>
      <c r="CG12" s="273">
        <v>5</v>
      </c>
      <c r="CI12" s="211" t="str">
        <f>IF(modelloAUTO5=$B$2,altezza5*DIECI/FLOOR(VLOOKUP($B$2,tabMODELLI,COLcoefALTdogaSORMONTATAda200,FALSE),UNO)*pezzi5,"")</f>
        <v/>
      </c>
      <c r="CJ12" s="212" t="str">
        <f>IF(modelloAUTO5=$B$2,larghezza5*DIECI-VLOOKUP($B$2,tabMODELLI,COLcoeffTAGLIOdogaOPPURElastraINlarg,FALSE)-VLOOKUP(PROFlatAUTO5,TABprofLATten,COLcoeffCALOdoga,FALSE),"")</f>
        <v/>
      </c>
      <c r="CK12"/>
      <c r="CL12" s="213" t="str">
        <f>IF(modelloAUTO5=$B$2,(altezza5*DIECI/FLOOR(VLOOKUP($B$2,tabMODELLI,COLcoefALTdogaSORMONTATAda200,FALSE),CENTO)-FLOOR(altezza5*DIECI/FLOOR(VLOOKUP($B$2,tabMODELLI,COLcoefALTdogaSORMONTATAda200,FALSE),CENTO),UNO))*pezzi5,"")</f>
        <v/>
      </c>
      <c r="CM12" s="214" t="str">
        <f>IF(modelloAUTO5=$B$2,(((altezza5*DIECI-VLOOKUP($B$2,tabMODELLI,COLcoeffCALOtaglioPANNELLObarrieraMONOLITICOoASSEMBLATOInALT,FALSE))/VLOOKUP($B$2,tabMODELLI,colALTnominaleDOGAmm,FALSE)-(FLOOR(altezza5*DIECI/FLOOR(VLOOKUP($B$2,tabMODELLI,COLcoefALTdogaSORMONTATAda200,FALSE),CENTO),UNO)))*(VLOOKUP($B$2,tabMODELLI,colALTnominaleDOGAmm,FALSE))),"")</f>
        <v/>
      </c>
      <c r="CN12" s="203" t="str">
        <f>IF(modelloAUTO5=$B$2,IF(vernBarriera5="","STD",vernBarriera5),"")</f>
        <v/>
      </c>
      <c r="CO12" s="174" t="str">
        <f t="shared" si="5"/>
        <v/>
      </c>
      <c r="CP12" s="215" t="str">
        <f>IF(modelloAUTO5=$B$2,LATOcomAUTO5,"")</f>
        <v/>
      </c>
      <c r="CQ12"/>
      <c r="CR12" s="216" t="str">
        <f>IF(modelloAUTO5=$B$2,pezzi5*UNO,"")</f>
        <v/>
      </c>
      <c r="CS12" s="212" t="str">
        <f>IF(modelloAUTO5=$B$2,altezza5*DIECI+VLOOKUP($B$2,tabMODELLI,COLcoeffTAGLIOPROFILIlateraliEverticaliAttaccatiALLAbarriera,FALSE),"")</f>
        <v/>
      </c>
      <c r="CT12" s="217" t="str">
        <f>IF(modelloAUTO5=$B$2,"|90° 90°|","")</f>
        <v/>
      </c>
      <c r="CU12" s="218"/>
      <c r="CV12" s="219" t="str">
        <f>IF(modelloAUTO5=$B$2,pezzi5*DUE,"")</f>
        <v/>
      </c>
      <c r="CW12" s="220" t="str">
        <f>IF(modelloAUTO5=$B$2,larghezza5*DIECI-VLOOKUP($B$2,tabMODELLI,COLcoeffTAGLIOPROFILIlateraliEverticaliAttaccatiALLAbarriera,FALSE),"")</f>
        <v/>
      </c>
      <c r="CX12" s="217" t="str">
        <f t="shared" si="25"/>
        <v/>
      </c>
      <c r="CY12" s="221"/>
      <c r="CZ12" s="222" t="str">
        <f>IF(modelloAUTO5=$B$2,PROFlatAUTO5,"")</f>
        <v/>
      </c>
      <c r="DA12" s="223" t="str">
        <f>IF(modelloAUTO5=$B$2,pezzi5,"")</f>
        <v/>
      </c>
      <c r="DB12" s="217" t="str">
        <f>IF(modelloAUTO5=$B$2,altezza5*DIECI-VLOOKUP(PROFlatAUTO5,TABprofLATten,COLsfioroPROFtenLATrispettoALvano,FALSE),"")</f>
        <v/>
      </c>
      <c r="DC12" s="217" t="str">
        <f>IF(modelloAUTO5=$B$2,"|90° 45°/","")</f>
        <v/>
      </c>
      <c r="DD12" s="224"/>
      <c r="DE12" s="223" t="str">
        <f>IF(modelloAUTO5=$B$2,pezzi5,"")</f>
        <v/>
      </c>
      <c r="DF12" s="217" t="str">
        <f>IF(modelloAUTO5=$B$2,larghezza5*DIECI-(VLOOKUP(PROFlatAUTO5,TABprofLATten,COLsfioroPROFtenLATrispettoALvano,FALSE)*DUE),"")</f>
        <v/>
      </c>
      <c r="DG12" s="217" t="str">
        <f>IF(modelloAUTO5=$B$2,"\45° 90°|","")</f>
        <v/>
      </c>
      <c r="DH12" s="224"/>
      <c r="DI12" s="223" t="str">
        <f>IF(modelloAUTO5=$B$2,pezzi5,"")</f>
        <v/>
      </c>
      <c r="DJ12" s="217" t="str">
        <f>IF(modelloAUTO5=$B$2,altezza5*DIECI-VLOOKUP(PROFlatAUTO5,TABprofLATten,COLsfioroPROFtenLATrispettoALvano,FALSE),"")</f>
        <v/>
      </c>
      <c r="DK12" s="217" t="str">
        <f>IF(modelloAUTO5=$B$2,"\45° 45°/","")</f>
        <v/>
      </c>
      <c r="DL12" s="225"/>
      <c r="DM12" s="226" t="str">
        <f>IF(modelloAUTO5=$B$2,pezzi5,"")</f>
        <v/>
      </c>
      <c r="DN12" s="226" t="str">
        <f>IF(modelloAUTO5=$B$2,larghezza5*DIECI,"")</f>
        <v/>
      </c>
      <c r="DO12" s="227" t="str">
        <f>IF(modelloAUTO5=$B$2,"|90° 90°|","")</f>
        <v/>
      </c>
      <c r="DP12" s="221"/>
      <c r="DQ12" s="228" t="str">
        <f>IF(modelloAUTO5=$B$2,DIMprimoFOROdalPAVIMENTOperFISSAGGIOprofiloDItenutaLATERALE*DIECI,"")</f>
        <v/>
      </c>
      <c r="DR12" s="228" t="str">
        <f ca="1">IF(modelloAUTO5=$B$2,IF(VLOOKUP(altezza5,INDIRECT("tabNfissaggi"&amp;$B$2),INDIRECT("colNfiSsaggi"&amp;$B$2),TRUE)&lt;DR$6,"",(IF(VLOOKUP(altezza5,INDIRECT("tabNfissaggi"&amp;$B$2),INDIRECT("colNfiSsaggi"&amp;$B$2),FALSE)=DR$6,altezza5*DIECI-DIMprimoFOROdalPAVIMENTOperFISSAGGIOprofiloDItenutaLATERALE,DQ52+(((altezza5*DIECI-DIMprimoFOROdalPAVIMENTOperFISSAGGIOprofiloDItenutaLATERALE*DIECI*DUE))/(VLOOKUP((altezza5),INDIRECT("tabNfissaggi"&amp;$B$2),INDIRECT("colNfiSsaggi"&amp;$B$2),FALSE)-UNO))))),"")</f>
        <v/>
      </c>
      <c r="DS12" s="228" t="str">
        <f ca="1">IF(modelloAUTO5=$B$2,IF(VLOOKUP(altezza5,INDIRECT("tabNfissaggi"&amp;$B$2),INDIRECT("colNfiSsaggi"&amp;$B$2),TRUE)&lt;DS$6,"",(IF(VLOOKUP(altezza5,INDIRECT("tabNfissaggi"&amp;$B$2),INDIRECT("colNfiSsaggi"&amp;$B$2),FALSE)=DS$6,altezza5*DIECI-DIMprimoFOROdalPAVIMENTOperFISSAGGIOprofiloDItenutaLATERALE,DR52+(((altezza5*DIECI-DIMprimoFOROdalPAVIMENTOperFISSAGGIOprofiloDItenutaLATERALE*DIECI*DUE))/(VLOOKUP((altezza5),INDIRECT("tabNfissaggi"&amp;$B$2),INDIRECT("colNfiSsaggi"&amp;$B$2),FALSE)-UNO))))),"")</f>
        <v/>
      </c>
      <c r="DT12" s="228" t="str">
        <f ca="1">IF(modelloAUTO5=$B$2,IF(VLOOKUP(altezza5,INDIRECT("tabNfissaggi"&amp;$B$2),INDIRECT("colNfiSsaggi"&amp;$B$2),TRUE)&lt;DT$6,"",(IF(VLOOKUP(altezza5,INDIRECT("tabNfissaggi"&amp;$B$2),INDIRECT("colNfiSsaggi"&amp;$B$2),FALSE)=DT$6,altezza5*DIECI-DIMprimoFOROdalPAVIMENTOperFISSAGGIOprofiloDItenutaLATERALE,DS52+(((altezza5*DIECI-DIMprimoFOROdalPAVIMENTOperFISSAGGIOprofiloDItenutaLATERALE*DIECI*DUE))/(VLOOKUP((altezza5),INDIRECT("tabNfissaggi"&amp;$B$2),INDIRECT("colNfiSsaggi"&amp;$B$2),FALSE)-UNO))))),"")</f>
        <v/>
      </c>
      <c r="DU12" s="228" t="str">
        <f ca="1">IF(modelloAUTO5=$B$2,IF(VLOOKUP(altezza5,INDIRECT("tabNfissaggi"&amp;$B$2),INDIRECT("colNfiSsaggi"&amp;$B$2),TRUE)&lt;DU$6,"",(IF(VLOOKUP(altezza5,INDIRECT("tabNfissaggi"&amp;$B$2),INDIRECT("colNfiSsaggi"&amp;$B$2),FALSE)=DU$6,altezza5*DIECI-DIMprimoFOROdalPAVIMENTOperFISSAGGIOprofiloDItenutaLATERALE,DT52+(((altezza5*DIECI-DIMprimoFOROdalPAVIMENTOperFISSAGGIOprofiloDItenutaLATERALE*DIECI*DUE))/(VLOOKUP((altezza5),INDIRECT("tabNfissaggi"&amp;$B$2),INDIRECT("colNfiSsaggi"&amp;$B$2),FALSE)-UNO))))),"")</f>
        <v/>
      </c>
      <c r="DV12" s="221"/>
      <c r="DW12" s="229" t="str">
        <f>IF(modelloAUTO5=$B$2,(PRIMOforoNELLantaPARTENDOdaLBASSOclose-VLOOKUP($B$2,tabMODELLI,COLcoeffALTprofiloSogliaRimanenteSOTTOalTELAIOperimetrale,FALSE)),"")</f>
        <v/>
      </c>
      <c r="DX12" s="230" t="str">
        <f>IF(modelloAUTO5=$B$2,DW12+INTERASSSEforiANTAcernieraSAVIOmechanica,"")</f>
        <v/>
      </c>
      <c r="DY12" s="231" t="str">
        <f>IF(modelloAUTO5=$B$2,INDEX(TABforoBASSOcernieraNELLantaCONdogaCLICKRAPIDnellANTACONsavIOMECHANICA,UNO,MATCH(((CJ12)/DUE),TABforoBASSOcernieraNELLantaCONdogaCLICKRAPIDnellANTACONsavIOMECHANICA,UNO)),"")</f>
        <v/>
      </c>
      <c r="DZ12" s="232" t="str">
        <f>IF(modelloAUTO5=$B$2,DY12+INTERASSSEforiANTAcernieraSAVIOmechanica,"")</f>
        <v/>
      </c>
      <c r="EA12" s="231" t="str">
        <f>IF(modelloAUTO5=$B$2,INDEX(TABforoBASSOcernieraNELLantaCONdogaCLICKRAPIDnellANTACONsavIOMECHANICA,UNO,MATCH((CJ12-ALTEZZAcerNIERAcomMPOSTAdalle2aliMECHANICA-altezzaALAcanalinoDA35X35X2),TABforoBASSOcernieraNELLantaCONdogaCLICKRAPIDnellANTACONsavIOMECHANICA,UNO)),"")</f>
        <v/>
      </c>
      <c r="EB12" s="232" t="str">
        <f>IF(modelloAUTO5=$B$2,EA12+INTERASSSEforiANTAcernieraSAVIOmechanica,"")</f>
        <v/>
      </c>
      <c r="EC12" s="233"/>
      <c r="ED12" s="234" t="str">
        <f>IF(modelloAUTO5=$B$2,"a: "&amp;DW12+INTERASSSEforiANTAcernieraSAVIOmechanica/DUE,"")</f>
        <v/>
      </c>
      <c r="EE12" s="234" t="str">
        <f>IF(modelloAUTO5=$B$2,"a: "&amp;DY12+INTERASSSEforiANTAcernieraSAVIOmechanica/DUE,"")</f>
        <v/>
      </c>
      <c r="EF12" s="234" t="str">
        <f>IF(modelloAUTO5=$B$2,"a: "&amp;EA12+INTERASSSEforiANTAcernieraSAVIOmechanica/DUE,"")</f>
        <v/>
      </c>
      <c r="EG12"/>
      <c r="EH12" s="235" t="str">
        <f>IF(modelloAUTO5=$B$2,pezzi5,"")</f>
        <v/>
      </c>
      <c r="EI12" s="235" t="str">
        <f>IF(modelloAUTO5=$B$2,INTERASSEforoPERnottolinoDIcomandoMANIGLIAdiCHIUSURAaLEVAclose,"")</f>
        <v/>
      </c>
      <c r="EJ12" s="236" t="str">
        <f>IF(modelloAUTO5=$B$2,ALTCentroNOTTOLINOpartendoDALbassodellaDOGA,"")</f>
        <v/>
      </c>
      <c r="EK12" s="4"/>
      <c r="EL12" s="216" t="str">
        <f>IF(modelloAUTO5=$B$2,pezzi5*UNO,"")</f>
        <v/>
      </c>
      <c r="EM12" s="212" t="str">
        <f>IF(modelloAUTO5=$B$2,altezza5*DIECI+VLOOKUP($B$2,tabMODELLI,COLcoeffTAGLIOPROFILOdiAGGANCIOsistemaMODERNA,FALSE),"")</f>
        <v/>
      </c>
      <c r="EN12"/>
      <c r="EO12" s="216" t="str">
        <f>IF(modelloAUTO5=$B$2,pezzi5*UNO,"")</f>
        <v/>
      </c>
      <c r="EP12" s="212" t="str">
        <f>IF(modelloAUTO5=$B$2,altezza5*DIECI+VLOOKUP($B$2,tabMODELLI,COLcoeffTAGLIOPROFILOdiAGGANCIOsistemaMODERNA,FALSE),"")</f>
        <v/>
      </c>
      <c r="EQ12"/>
      <c r="ER12" s="216" t="str">
        <f>IF(modelloAUTO5=$B$2,pezzi5*UNO,"")</f>
        <v/>
      </c>
      <c r="ES12" s="212" t="str">
        <f>IF(modelloAUTO5=$B$2,altezza5*DIECI+VLOOKUP($B$2,tabMODELLI,COLcoeffTAGLIOPROFILIlateraliEverticaliAttaccatiALLAbarriera,FALSE),"")</f>
        <v/>
      </c>
      <c r="ET12" s="218"/>
      <c r="EU12" s="191" t="str">
        <f>IF(modelloAUTO5=$B$2,IF(PROFlatRICH5="",pezzi5*DUE*VLOOKUP($B$2,tabMODELLI,COLprofiliLATdiserie,FALSE),pezzi5*DUE),"")</f>
        <v/>
      </c>
      <c r="EV12" s="179" t="str">
        <f>IF(modelloAUTO5=$B$2,IF(PROFlatRICH5="","STD",PROFlatRICH5),"")</f>
        <v/>
      </c>
      <c r="EW12" s="275" t="str">
        <f>IF(modelloAUTO5=$B$2,IF(TIPOcopertina5="","",TIPOcopertina5),"")</f>
        <v/>
      </c>
      <c r="EX12" s="238" t="str">
        <f>IF(modelloAUTO5=$B$2,VLOOKUP($B$2,tabMODELLI,COLcoeffALTguarnINFERIOREschiacciata,FALSE)+(VLOOKUP($B$2,tabMODELLI,COLcoefALTdogaREALEda200,FALSE)+(VLOOKUP($B$2,tabMODELLI,COLcoefALTdogaSORMONTATAda200,FALSE)*(CEILING(altezza5*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2" s="218"/>
      <c r="EZ12" s="276" t="str">
        <f ca="1">IF(OR(modelloAUTO5=$B$2,modelloAUTO5=CLICK_RAPIDxPRIVATO),INDEX(INDIRECT("TABnCHIAVISTELLOvert"&amp;$B$2),rif_alt5,rif_larg5)*pezzi5,"")</f>
        <v/>
      </c>
      <c r="FA12" s="240" t="str">
        <f>IF(modelloAUTO5=$B$2,IF(AND(nCatenacci5&lt;&gt;"",profORIZZ5&lt;&gt;""),spessoreCATENACCIOverticale60X55X300,""),"")</f>
        <v/>
      </c>
      <c r="FB12" s="277" t="str">
        <f ca="1">IF(OR(nCatenacci5=0,nCatenacci5="",),"",(CJ12+QUATTRO-(IF(nCatenacci5="",ZERO,SESSANTA*(nCatenacci5/PZCLICK_RAPID5))))/((nCatenacci5/PZCLICK_RAPID5)+UNO))</f>
        <v/>
      </c>
      <c r="FD12" s="242" t="str">
        <f ca="1">IF(modelloAUTO5=$B$2,INDEX(INDIRECT("TABnMANIGLIEsuperiori"&amp;$B$2),rif_alt5,rif_larg5),"")</f>
        <v/>
      </c>
      <c r="FE12" s="243" t="str">
        <f ca="1">IF(modelloAUTO5=$B$2,(larghezza5-CATENACCIOLOorizzontaleINGOMBROclick_rapid-DUE)/INDEX(INDIRECT("TABnMANIGLIEsuperiori"&amp;$B$2),rif_alt5,rif_larg5),"")</f>
        <v/>
      </c>
      <c r="FG12" s="244" t="str">
        <f ca="1">IF(modelloAUTO5=$B$2,INDEX(INDIRECT("TABnMANIGLIEfrontali"&amp;$B$2),rif_alt5,rif_larg5),"")</f>
        <v/>
      </c>
      <c r="FH12"/>
      <c r="FI12" s="245">
        <f>((larghezza5*DIECI-COEFFlargCOMPLESSIVAdelKITcerniere_GANCIOassemblato))</f>
        <v>-261</v>
      </c>
      <c r="FJ12" s="245">
        <f t="shared" si="17"/>
        <v>19.453363192402126</v>
      </c>
      <c r="FK12" s="245">
        <f t="shared" si="18"/>
        <v>0.4001326</v>
      </c>
      <c r="FL12" s="246">
        <f>(altezza5+TREDICI/DIECI)/CENTO*(CERNIERA_TUBOLARE_MODERNA+CERNIERA_APERTA_MODERNA+UNCINO)+(altezza5/(VLOOKUP($B$2,tabMODELLI,COLcoefALTdogaSORMONTATAda200,FALSE)/DIECI)*COEFFdogaINSERITAnellaCERNIERAaertaFINOallaFINEdelGANCIO*VLOOKUP($B$2,tabMODELLI,COLpesoALKGmlDOGA,FALSE))</f>
        <v>9.6758999999999998E-2</v>
      </c>
      <c r="FM12" s="247">
        <f t="shared" si="19"/>
        <v>0.18663999999999997</v>
      </c>
      <c r="FN12" s="247">
        <f>altezza5/(VLOOKUP($B$2,tabMODELLI,COLcoefALTdogaSORMONTATAda200,FALSE)/DIECI)*((((larghezza5-(COEFFlargCOMPLESSIVAdelKITcerniere_GANCIOassemblato/DIECI))/CENTO)*VLOOKUP($B$2,tabMODELLI,COLpesoALKGmlDOGA,FALSE)))</f>
        <v>0</v>
      </c>
      <c r="FO12" s="247">
        <f>larghezza5/CENTO*PESOguarnORIZZmodernaKG\ML</f>
        <v>0</v>
      </c>
      <c r="FP12" s="247">
        <f>(altezza5/(VLOOKUP($B$2,tabMODELLI,COLcoefALTdogaSORMONTATAda200,FALSE)/DIECI)-UNO)*((((larghezza5-(COEFFlargCOMPLESSIVAdelKITcerniere_GANCIOassemblato/DIECI))/CENTO)*pesoALmlDOPPIAsiliconaturaINunaDOGA))</f>
        <v>0.1827</v>
      </c>
      <c r="FQ12" s="247">
        <f>(altezza5/CENTO*H_MODERNA)</f>
        <v>0</v>
      </c>
      <c r="FR12" s="248">
        <f t="shared" si="21"/>
        <v>0.4331158</v>
      </c>
      <c r="FS12" s="248">
        <f t="shared" si="22"/>
        <v>-7.2599999999999998E-2</v>
      </c>
      <c r="FT12" s="249">
        <f t="shared" si="26"/>
        <v>-4.2183908045977011E-4</v>
      </c>
      <c r="FU12" s="249">
        <f t="shared" si="27"/>
        <v>0.1101</v>
      </c>
      <c r="FV12" s="249">
        <f t="shared" si="28"/>
        <v>-0.32301579999999996</v>
      </c>
      <c r="FW12" s="249">
        <f t="shared" si="23"/>
        <v>1.3626068804597699E-4</v>
      </c>
      <c r="FX12" s="246">
        <f t="shared" si="29"/>
        <v>0.4331158</v>
      </c>
      <c r="FY12" s="250">
        <f t="shared" si="24"/>
        <v>-1045.7321416684672</v>
      </c>
      <c r="FZ12"/>
      <c r="GA12" s="251"/>
      <c r="GB12" s="251"/>
      <c r="GC12" s="251"/>
      <c r="GD12" s="251"/>
      <c r="GE12" s="251"/>
      <c r="GF12" s="251"/>
      <c r="GG12" s="251"/>
      <c r="GH12"/>
      <c r="GI12" s="252" t="str">
        <f>IF(modelloAUTO5=$B$2,IF(PROFlatRICH5="",pezzi5*UNO*VLOOKUP($B$2,tabMODELLI,COLnMANIGLIAasportabile,FALSE),pezzi5*UNO),"")</f>
        <v/>
      </c>
      <c r="GJ12" s="252" t="str">
        <f>IF(modelloAUTO5=$B$2,pezzi5*DUE,"")</f>
        <v/>
      </c>
      <c r="GK12" s="252" t="str">
        <f>IF(modelloAUTO5=$B$2,pezzi5*UNO,"")</f>
        <v/>
      </c>
      <c r="GL12" s="253" t="str">
        <f>IF(modelloAUTO5=$B$2,IF(SYSTEMantiFURTO5&lt;&gt;"",VLOOKUP($B$2,TABsistemaANTIFURTO,COLusoVITEdISERIE,FALSE),pezzi5),"")</f>
        <v/>
      </c>
      <c r="GM12" s="252" t="str">
        <f>IF(modelloAUTO5=$B$2,pezzi5*UNO,"")</f>
        <v/>
      </c>
      <c r="GN12" s="252" t="str">
        <f>IF(modelloAUTO5=$B$2,NmaniglieDItrasporto5*DUE,"")</f>
        <v/>
      </c>
      <c r="GO12" s="254" t="str">
        <f>IF(modelloAUTO5=$B$2,pezzi5*QUINDICI,"")</f>
        <v/>
      </c>
      <c r="GP12" s="254" t="str">
        <f>IF(modelloAUTO5=$B$2,pezzi5*DUE,"")</f>
        <v/>
      </c>
      <c r="GQ12" s="254" t="str">
        <f>IF(modelloAUTO5=$B$2,pezzi5*DUE,"")</f>
        <v/>
      </c>
      <c r="GR12" s="254" t="str">
        <f>IF(modelloAUTO5=$B$2,pezzi5*UNO,"")</f>
        <v/>
      </c>
      <c r="GS12" s="254" t="str">
        <f>IF(modelloAUTO5=$B$2,pezzi5*DUE,"")</f>
        <v/>
      </c>
      <c r="GT12" s="254" t="str">
        <f>IF(modelloAUTO5=$B$2,pezzi5*DUE,"")</f>
        <v/>
      </c>
      <c r="GU12" s="254" t="str">
        <f>IF(modelloAUTO5=$B$2,pezzi5*DUE,"")</f>
        <v/>
      </c>
      <c r="GV12" s="254" t="str">
        <f>IF(modelloAUTO5=$B$2,pezzi5*DUE,"")</f>
        <v/>
      </c>
      <c r="GW12" s="251"/>
      <c r="GX12" s="251"/>
      <c r="GY12" s="251"/>
      <c r="GZ12" s="251"/>
      <c r="HA12" s="251"/>
      <c r="HB12" s="251"/>
      <c r="HC12" s="251"/>
      <c r="HD12" s="251"/>
      <c r="HE12" s="251"/>
      <c r="HF12" s="251"/>
      <c r="HG12" s="251"/>
      <c r="HH12" s="251"/>
      <c r="HI12" s="251"/>
      <c r="HJ12" s="251"/>
      <c r="HK12" s="251"/>
      <c r="HL12" s="251"/>
      <c r="HN12" s="191" t="str">
        <f>IF(modelloAUTO5=$B$2,IF(PROFlatRICH5="",pezzi5*VLOOKUP($B$2,tabMODELLI,COLnGUARNorizzINFERIOREbarriera,FALSE),pezzi5),"")</f>
        <v/>
      </c>
      <c r="HO12" s="193" t="str">
        <f>IF(modelloAUTO5=$B$2,IF(VLOOKUP($B$2,tabMODELLI,COLnGUARNorizzINFERIOREbarriera,FALSE)="","",larghezza5),"")</f>
        <v/>
      </c>
      <c r="HQ12" s="191" t="str">
        <f>IF(modelloAUTO5=$B$2,IF(PROFlatRICH5="",pezzi5*DUE*VLOOKUP($B$2,tabMODELLI,COLnGUARNorizzINTERMEDIEbarriera,FALSE),pezzi5*DUE),"")</f>
        <v/>
      </c>
      <c r="HR12" s="193" t="str">
        <f>IF(modelloAUTO5=$B$2,IF(VLOOKUP($B$2,tabMODELLI,COLnGUARNorizzINTERMEDIEbarriera,FALSE)="","",larghezza5),"")</f>
        <v/>
      </c>
      <c r="HT12" s="191" t="str">
        <f>IF(modelloAUTO5=$B$2,IF(PROFlatRICH5="",pezzi5*UNO*VLOOKUP($B$2,tabMODELLI,COLnGUARNvertBARRIERA,FALSE),pezzi5*UNO),"")</f>
        <v/>
      </c>
      <c r="HU12" s="193" t="str">
        <f>IF(modelloAUTO5=$B$2,IF(VLOOKUP($B$2,tabMODELLI,COLnGUARNvertBARRIERA,FALSE)="","",altezza5),"")</f>
        <v/>
      </c>
      <c r="HV12"/>
      <c r="HW12" s="191" t="str">
        <f>IF(modelloAUTO5=$B$2,IF(PROFlatRICH5="",pezzi5*VLOOKUP($B$2,tabMODELLI,COLnTAPPIdiGIUNZIONEguarnORIZZconVERT,FALSE),pezzi5),"")</f>
        <v/>
      </c>
      <c r="HX12"/>
      <c r="HY12" s="191" t="str">
        <f>IF(modelloAUTO5=$B$2,IF(PROFlatRICH5="",pezzi5*VLOOKUP($B$2,tabMODELLI,COLnGUARNorizzPROFILOdiTENUTAlaterale,FALSE),pezzi5),"")</f>
        <v/>
      </c>
      <c r="HZ12" s="193" t="str">
        <f>IF(modelloAUTO5=$B$2,IF(VLOOKUP($B$2,tabMODELLI,COLnGUARNorizzPROFILOdiTENUTAlaterale,FALSE)="","",altezza5),"")</f>
        <v/>
      </c>
      <c r="IA12"/>
      <c r="IB12" s="191" t="str">
        <f>IF(modelloAUTO5=$B$2,IF(PROFlatRICH5="",pezzi5*VLOOKUP($B$2,tabMODELLI,COLnGUARNvertPROFILOdiTENUTAlaterale,FALSE),pezzi5),"")</f>
        <v/>
      </c>
      <c r="IC12" s="193" t="str">
        <f>IF(modelloAUTO5=$B$2,IF(VLOOKUP($B$2,tabMODELLI,COLnGUARNvertPROFILOdiTENUTAlaterale,FALSE)="","",altezza5),"")</f>
        <v/>
      </c>
      <c r="ID12"/>
      <c r="IE12" s="191" t="str">
        <f>IF(modelloAUTO5=$B$2,IF(PROFlatRICH5="",pezzi5*VLOOKUP($B$2,tabMODELLI,COLnPROFILIinNYLON,FALSE),pezzi5),"")</f>
        <v/>
      </c>
      <c r="IF12" s="193" t="str">
        <f>IF(modelloAUTO5=$B$2,IF(VLOOKUP($B$2,tabMODELLI,COLnPROFILIinNYLON,FALSE)="","",altezza5),"")</f>
        <v/>
      </c>
      <c r="IH12" s="171" t="str">
        <f>IF(modelloAUTO5=$B$2,IF(PROFoTUBsxRICH5="","",pezzi5),"")</f>
        <v/>
      </c>
      <c r="II12" s="199" t="str">
        <f>IF(modelloAUTO5=$B$2,IF(PROFoTUBsxRICH5="","",PROFoTUBsxRICH5),"")</f>
        <v/>
      </c>
      <c r="IJ12" s="257" t="str">
        <f>IF(AND(modelloAUTO5=$B$2,PROFoTUBsxRICH5&lt;&gt;""),IF(ALTprofOtubRICHsx5="","STD",ALTprofOtubRICHsx5*DIECI),"")</f>
        <v/>
      </c>
      <c r="IL12" s="201" t="str">
        <f>IF(modelloAUTO5=$B$2,IF(PROFoTUBsxRICH5="","",IF(vernPROFoTUBlatSX5="","STD",vernPROFoTUBlatSX5)),"")</f>
        <v/>
      </c>
      <c r="IN12" s="171" t="str">
        <f>IF(modelloAUTO5=$B$2,IF(PROFoTUBdxRICH5="","",pezzi5),"")</f>
        <v/>
      </c>
      <c r="IO12" s="202" t="str">
        <f>IF(modelloAUTO5=$B$2,IF(PROFoTUBdxRICH5="","",PROFoTUBdxRICH5),"")</f>
        <v/>
      </c>
      <c r="IP12" s="257" t="str">
        <f>IF(AND(modelloAUTO5=$B$2,PROFoTUBdxRICH5&lt;&gt;""),IF(ALTprofOtubRICHdx5="","STD",ALTprofOtubRICHdx5*DIECI),"")</f>
        <v/>
      </c>
      <c r="IR12" s="203" t="str">
        <f>IF(modelloAUTO5=$B$2,IF(PROFoTUBdxRICH5="","",IF(vernPROFoTUBlatDX5="","STD",vernPROFoTUBlatDX5)),"")</f>
        <v/>
      </c>
      <c r="IT12" s="204" t="str">
        <f>IF(modelloAUTO5=$B$2,IF(profORIZZ5="","",pezzi5),"")</f>
        <v/>
      </c>
      <c r="IU12" s="205" t="str">
        <f>IF(modelloAUTO5=$B$2,IF(profORIZZ5="","",CODpiattoORIZZsugg5),"")</f>
        <v/>
      </c>
      <c r="IV12" s="206" t="str">
        <f>IF(modelloAUTO5=$B$2,IF(profORIZZ5="","",larghezza5*DIECI+IF(PROFoTUBsxRICH5="",ZERO,VLOOKUP(PROFoTUBsxRICH5,TABprofOtubLATERALI,COLlargPROFoTUBlat,FALSE))+IF(PROFoTUBdxRICH5="",ZERO,VLOOKUP(PROFoTUBdxRICH5,TABprofOtubLATERALI,COLlargPROFoTUBlat,FALSE))),"")</f>
        <v/>
      </c>
      <c r="IW12"/>
      <c r="IX12" s="168">
        <v>5</v>
      </c>
      <c r="IY12" s="258" t="str">
        <f>IF(AND(modelloAUTO5=$B$2,SYSTEMantiFURTO5&lt;&gt;""),VLOOKUP($B$2,TABsistemaANTIFURTO,COLlucchetto,FALSE),"")</f>
        <v/>
      </c>
      <c r="IZ12" s="258" t="str">
        <f>IF(AND(modelloAUTO5=$B$2,SYSTEMantiFURTO5&lt;&gt;""),VLOOKUP($B$2,TABsistemaANTIFURTO,COLaccessorioANTIFURTO2,FALSE),"")</f>
        <v/>
      </c>
      <c r="JA12" s="258" t="str">
        <f>IF(AND(modelloAUTO5=$B$2,SYSTEMantiFURTO5&lt;&gt;""),VLOOKUP($B$2,TABsistemaANTIFURTO,COLaccessorioANTIFURTO,FALSE),"")</f>
        <v/>
      </c>
      <c r="JB12" s="258" t="str">
        <f>IF(AND(modelloAUTO5=$B$2,SYSTEMantiFURTO5&lt;&gt;""),VLOOKUP($B$2,TABsistemaANTIFURTO,COLviteSPECIALExANTIFURTO,FALSE),"")</f>
        <v/>
      </c>
      <c r="JC12" s="258" t="str">
        <f>IF(AND(modelloAUTO5=$B$2,SYSTEMantiFURTO5&lt;&gt;""),VLOOKUP($B$2,TABsistemaANTIFURTO,COLlavorazioneXantifurto,FALSE),"")</f>
        <v/>
      </c>
      <c r="JD12"/>
      <c r="JE12"/>
      <c r="JF12"/>
      <c r="JG12"/>
      <c r="JH12"/>
      <c r="JI12"/>
      <c r="JJ12"/>
      <c r="JK12"/>
      <c r="JL12"/>
      <c r="JM12"/>
      <c r="JN12"/>
      <c r="JO12"/>
      <c r="JP12"/>
      <c r="JQ12"/>
      <c r="JR12"/>
      <c r="JS12"/>
      <c r="JT12"/>
      <c r="JU12"/>
      <c r="JV12"/>
      <c r="JW12"/>
      <c r="JX12" s="168">
        <v>5</v>
      </c>
      <c r="JY12" s="210" t="str">
        <f>IF(modelloAUTO5=$B$2,IF(fornPIANTcentr5="","",fornPIANTcentr5*pezzi5),"")</f>
        <v/>
      </c>
      <c r="JZ12" s="210" t="str">
        <f>IF(modelloAUTO5=$B$2,IF(fornPIANTcentr5="","",CODpiantCENTRsugg5),"")</f>
        <v/>
      </c>
      <c r="KB12" s="210" t="str">
        <f>IF(modelloAUTO5=$B$2,IF(CODpiantCENTRsuggAPPOG5="","",CODpiantCENTRdiAPPOGGIOrich5),"")</f>
        <v/>
      </c>
      <c r="KC12" s="210" t="str">
        <f>IF(modelloAUTO5=$B$2,IF(CODpiantCENTRsuggAPPOG5="","",CODpiantCENTRsuggAPPOG5),"")</f>
        <v/>
      </c>
      <c r="KP12" s="168">
        <v>5</v>
      </c>
      <c r="KQ12" s="259" t="str">
        <f>IF(AND(modelloAUTO5=$B$2,VLOOKUP($B$2,tabMODELLI,COLcoeffPOSSIBILITApellicolaADESIVA,FALSE)=UNO),IF(PELLICOLA5="","",pezzi5),"")</f>
        <v/>
      </c>
      <c r="KR12" s="236" t="str">
        <f>IF(AND(modelloAUTO5=$B$2,VLOOKUP($B$2,tabMODELLI,COLcoeffPOSSIBILITApellicolaADESIVA,FALSE)=UNO),IF(PELLICOLA5="","",larghezza5*DIECI-(VLOOKUP($B$2,tabMODELLI,COLcoeffPELLICOLAadesivaLARG,FALSE))),"")</f>
        <v/>
      </c>
      <c r="KS12" s="236" t="str">
        <f>IF(AND(modelloAUTO5=$B$2,VLOOKUP($B$2,tabMODELLI,COLcoeffPOSSIBILITApellicolaADESIVA,FALSE)=UNO),IF(PELLICOLA5="","",altezza5*DIECI-(VLOOKUP($B$2,tabMODELLI,COLcoeffPELLICOLAadesivaLARG,FALSE))),"")</f>
        <v/>
      </c>
      <c r="MA12" s="168">
        <v>5</v>
      </c>
      <c r="MB12" s="260" t="str">
        <f>IF(modelloAUTO5=$B$2,stanza5,"")</f>
        <v/>
      </c>
      <c r="MC12" s="168">
        <v>5</v>
      </c>
      <c r="MD12" s="230" t="str">
        <f>IF(modelloAUTO5=$B$2,larghezza5*DIECI+4+VLOOKUP($B$2,tabMODELLI,COLcoefAUMlargBUSTApvc,FALSE)+VLOOKUP($B$2,tabMODELLI,COLcoefAUMlargXprofILIlateraliBUSTApvc,FALSE)+IF(PROFoTUBsxRICH5="",ZERO,VLOOKUP(PROFoTUBsxRICH5,TABprofOtubLATERALI,COLlargPROFoTUBlatXimballaggio,FALSE)+profELETTRODOsaldaturaPVC)+IF(PROFoTUBdxRICH5="",ZERO,VLOOKUP(PROFoTUBdxRICH5,TABprofOtubLATERALI,COLlargPROFoTUBlatXimballaggio,FALSE)+profELETTRODOsaldaturaPVC),"")</f>
        <v/>
      </c>
      <c r="ME12" s="230" t="str">
        <f>IF(modelloAUTO5=$B$2,altezza5*DIECI*DUE+VLOOKUP($B$2,tabMODELLI,COLcoefAUMaltBUSTApvc,FALSE),"")</f>
        <v/>
      </c>
      <c r="MF12" s="261"/>
      <c r="MG12" s="230" t="str">
        <f>IF(modelloAUTO5=$B$2,altezza5*DIECI+VLOOKUP($B$2,tabMODELLI,COLcoeffSALDATURAinALTbustaPVC,FALSE),"")</f>
        <v/>
      </c>
      <c r="MH12" s="230" t="str">
        <f>IF(modelloAUTO5=$B$2,VLOOKUP($B$2,tabMODELLI,COLcoeffSALDATURAinLARGperTASCAbustaPVC,FALSE),"")</f>
        <v/>
      </c>
      <c r="MI12" s="230" t="str">
        <f>IF(modelloAUTO5=$B$2,IF(PROFoTUBsxRICH5="","",VLOOKUP(PROFoTUBsxRICH5,TABprofOtubLATERALI,COLlargPROFoTUBlatXimballaggio,FALSE)),"")</f>
        <v/>
      </c>
      <c r="MJ12" s="230" t="str">
        <f>IF(modelloAUTO5=$B$2,IF(PROFoTUBdxRICH5="","",VLOOKUP(PROFoTUBdxRICH5,TABprofOtubLATERALI,COLlargPROFoTUBlatXimballaggio,FALSE)),"")</f>
        <v/>
      </c>
      <c r="MK12"/>
      <c r="ML12" s="262" t="str">
        <f>IF(modelloAUTO5=$B$2,pezzi5*DUE,"")</f>
        <v/>
      </c>
      <c r="MM12" s="263" t="str">
        <f>IF(modelloAUTO5=$B$2,larghezza5+VLOOKUP($B$2,tabMODELLI,COLcoeffAUMoCALOinLARGpolistirolo,FALSE),"")</f>
        <v/>
      </c>
      <c r="MN12" s="263" t="str">
        <f>IF(modelloAUTO5=$B$2,altezza5+VLOOKUP($B$2,tabMODELLI,COLcoeffAUMoCALOinALTpolistirolo,FALSE),"")</f>
        <v/>
      </c>
      <c r="MO12"/>
      <c r="MP12" s="264" t="str">
        <f>IF(modelloAUTO5=$B$2,IF(VLOOKUP($B$2,tabMODELLI,COLcoeffAUMoCALOinLARGprofiloAu,FALSE)="",pezzi5*DUE,pezzi5*UNO),"")</f>
        <v/>
      </c>
      <c r="MQ12" s="265" t="str">
        <f>IF(modelloAUTO5=$B$2,VLOOKUP($B$2,tabMODELLI,COLdimStdSTRISCIAdelFIANCOxLARG1polistirolo,FALSE),"")</f>
        <v/>
      </c>
      <c r="MR12" s="263" t="str">
        <f>IF(modelloAUTO5=$B$2,larghezza5+VLOOKUP($B$2,tabMODELLI,colCOEFFdellaLARGnelFIANCOpolistirolo,FALSE),"")</f>
        <v/>
      </c>
      <c r="MT12" s="262" t="str">
        <f>IF(modelloAUTO5=$B$2,IF(VLOOKUP($B$2,tabMODELLI,COLdimstdSTRISCIAdelFIANCOxALT2polistirolo,FALSE)="",pezzi5*DUE,pezzi5),"")</f>
        <v/>
      </c>
      <c r="MU12" s="265" t="str">
        <f>IF(modelloAUTO5=$B$2,VLOOKUP($B$2,tabMODELLI,COLdimstdSTRISCIAdelFIANCOxALT1polistirolo,FALSE),"")</f>
        <v/>
      </c>
      <c r="MV12" s="263" t="str">
        <f>IF(modelloAUTO5=$B$2,altezza5+VLOOKUP($B$2,tabMODELLI,colCOEFFdellaALTnelFIANCOpolistirolo,FALSE),"")</f>
        <v/>
      </c>
      <c r="MX12" s="266" t="str">
        <f>IF(modelloAUTO5=$B$2,IF(VLOOKUP($B$2,tabMODELLI,COLdimstdSTRISCIAdelFIANCOxALT2polistirolo,FALSE)="","",pezzi5*UNO),"")</f>
        <v/>
      </c>
      <c r="MY12" s="267" t="str">
        <f>IF(modelloAUTO5=$B$2,IF(VLOOKUP($B$2,tabMODELLI,COLdimstdSTRISCIAdelFIANCOxALT2polistirolo,FALSE)="","",VLOOKUP($B$2,tabMODELLI,COLdimstdSTRISCIAdelFIANCOxALT2polistirolo,FALSE)),"")</f>
        <v/>
      </c>
      <c r="MZ12" s="263" t="str">
        <f>IF(modelloAUTO5=$B$2,altezza5+VLOOKUP($B$2,tabMODELLI,colCOEFFdellaALTnelFIANCOpolistirolo,FALSE),"")</f>
        <v/>
      </c>
      <c r="NB12" s="266" t="str">
        <f>IF(modelloAUTO5=$B$2,IF(VLOOKUP($B$2,tabMODELLI,COLcoeffAUMoCALOinLARGprofiloAu,FALSE)="","",pezzi5*UNO),"")</f>
        <v/>
      </c>
      <c r="NC12" s="216" t="str">
        <f>IF(modelloAUTO5=$B$2,IF(VLOOKUP($B$2,tabMODELLI,COLcoeffAUMoCALOinLARGprofiloAu,FALSE)="","",larghezza5+VLOOKUP($B$2,tabMODELLI,COLcoeffAUMoCALOinLARGprofiloAu,FALSE)),"")</f>
        <v/>
      </c>
      <c r="ND12" s="191" t="str">
        <f>IF(modelloAUTO5=$B$2,IF(VLOOKUP($B$2,tabMODELLI,COLcoeffAUMoCALOinLARGprofiloAu,FALSE)="","",VLOOKUP($B$2,tabMODELLI,COLdimstdSTRISCIAdelFIANCOxALT1polistirolo,FALSE)),"")</f>
        <v/>
      </c>
      <c r="NE12"/>
      <c r="NI12" s="168">
        <v>5</v>
      </c>
      <c r="NJ12" s="171" t="str">
        <f>IF(pezzi5="","",pezzi5)</f>
        <v/>
      </c>
      <c r="NK12" s="170" t="str">
        <f>IF(modelloAUTO5="","",modelloAUTO5)</f>
        <v/>
      </c>
      <c r="NL12" s="172" t="str">
        <f>IF(larghezza5="","",LARGortogonalitaADEGUATA5)</f>
        <v/>
      </c>
      <c r="NM12" s="173" t="str">
        <f>IF(altezza5="","",altezza5)</f>
        <v/>
      </c>
      <c r="NO12" s="189" t="str">
        <f>IF(PesoTEORICOparatia5="","",PesoTEORICOparatia5)</f>
        <v/>
      </c>
      <c r="NR12"/>
      <c r="NS12"/>
      <c r="NT12"/>
      <c r="NU12"/>
      <c r="NV12"/>
      <c r="NW12"/>
      <c r="NX12"/>
      <c r="NY12"/>
      <c r="NZ12"/>
      <c r="OA12"/>
      <c r="OB12"/>
      <c r="OC12"/>
      <c r="OD12"/>
      <c r="OE12"/>
      <c r="OG12" s="269"/>
      <c r="OH12" s="270"/>
      <c r="OI12" s="270"/>
      <c r="OJ12" s="270"/>
      <c r="OK12" s="270"/>
      <c r="OL12" s="270"/>
      <c r="OM12" s="271"/>
      <c r="ON12" s="270"/>
      <c r="OO12" s="271"/>
    </row>
    <row r="13" spans="1:412" s="150" customFormat="1" ht="45">
      <c r="A13" s="168">
        <v>6</v>
      </c>
      <c r="B13" s="169" t="str">
        <f>IF(stanza6="","",stanza6)</f>
        <v/>
      </c>
      <c r="C13" s="170" t="str">
        <f>IF(modelloAUTO6="","",modelloAUTO6)</f>
        <v/>
      </c>
      <c r="D13" s="171" t="str">
        <f>IF(pezzi6="","",pezzi6)</f>
        <v/>
      </c>
      <c r="E13" s="172" t="str">
        <f>IF(larghezza6="","",LARGortogonalitaADEGUATA6)</f>
        <v/>
      </c>
      <c r="F13" s="173" t="str">
        <f>IF(altezza6="","",altezza6)</f>
        <v/>
      </c>
      <c r="G13" s="174" t="str">
        <f t="shared" si="0"/>
        <v/>
      </c>
      <c r="H13" s="175" t="str">
        <f>IF(LATOcomAUTO6="","",LATOcomAUTO6)</f>
        <v/>
      </c>
      <c r="I13" s="176" t="str">
        <f>IF(modelloAUTO6="","",IF(vernBarriera6="","",vernBarriera6))</f>
        <v/>
      </c>
      <c r="J13" s="177" t="str">
        <f>IF(modelloAUTO6=$B$2,IF(PELLICOLA6="","",pezzi6),"")</f>
        <v/>
      </c>
      <c r="K13" s="178" t="str">
        <f t="shared" si="1"/>
        <v/>
      </c>
      <c r="M13" s="179" t="str">
        <f>IF(modelloAUTO6=$B$2,IF(PROFlatAUTO6="ESCLUSI","",IF(PROFlatRICH6="","STD",PROFlatRICH6)),"")</f>
        <v/>
      </c>
      <c r="N13" s="180" t="str">
        <f>IF(AND(modelloAUTO6=$B$2,COPERTINAauto6&lt;&gt;""),TIPOcopertina6,"")</f>
        <v/>
      </c>
      <c r="O13" s="181" t="str">
        <f>IF(AND(modelloAUTO6=$B$2,PROFlatAUTO6&lt;&gt;"ESCLUSI"),IF(AND(COPERTINAauto6&lt;&gt;"",ALTprofLATrich6=""),"STD",ALTprofLATrich6*DIECI),"")</f>
        <v/>
      </c>
      <c r="P13" s="176" t="str">
        <f>IF(modelloAUTO6="","",IF(vernPROFlatTEN6="","",vernPROFlatTEN6))</f>
        <v/>
      </c>
      <c r="R13" s="176" t="str">
        <f>IF(PROFoTUBsxRICH6="","",PROFoTUBsxRICH6)</f>
        <v/>
      </c>
      <c r="S13" s="182"/>
      <c r="T13" s="176" t="str">
        <f>IF(modelloAUTO6="","",IF(PROFoTUBdxRICH6="","",PROFoTUBdxRICH6))</f>
        <v/>
      </c>
      <c r="U13" s="182"/>
      <c r="V13" s="183" t="str">
        <f>IF(modelloAUTO6="","",IF(PROFoTUBsxRICH6="","",IF(ALTprofOtubRICHsx6="","SX: STD","SX: "&amp;ALTprofOtubRICHsx6&amp;" - "))&amp;IF(PROFoTUBdxRICH6="","",IF(ALTprofOtubRICHdx6="","  DX: STD","DX :"&amp;ALTprofOtubRICHdx6)))</f>
        <v/>
      </c>
      <c r="W13" s="184" t="str">
        <f>IF(modello6="","",IF(vernPROFoTUBlatSX6="","","SX: "&amp;vernPROFoTUBlatSX6&amp;" - ")&amp;IF(vernPROFoTUBlatDX6="",""," DX: "&amp;vernPROFoTUBlatDX6))</f>
        <v/>
      </c>
      <c r="Y13" s="185" t="str">
        <f>IF(modelloAUTO6="","",IF(OR(larghezza6="",profORIZZ6=""),"",CODpiattoORIZZsugg6))</f>
        <v/>
      </c>
      <c r="Z13" s="186" t="str">
        <f>IF(modelloAUTO6="","",IF(profORIZZ6="","",larghezza6+IF(PROFoTUBsxRICH6="",0,VLOOKUP(PROFoTUBsxRICH6,TABprofOtubLATERALI,COLlargPROFoTUBlat,FALSE))+IF(PROFoTUBdxRICH6="",0,VLOOKUP(PROFoTUBdxRICH6,TABprofOtubLATERALI,COLlargPROFoTUBlat,FALSE))))</f>
        <v/>
      </c>
      <c r="AB13" s="187" t="str">
        <f>IF(modelloAUTO6="","",IF(CODpiantCENTRsugg6="","","N° "&amp;fornPIANTcentr6&amp;"-"&amp;IF(CODpiantCENTRsugg6=0,"ERRORE",CODpiantCENTRsugg6)))</f>
        <v/>
      </c>
      <c r="AC13" s="187" t="str">
        <f>IF(modelloAUTO6="","",IF(CODpiantCENTRsuggAPPOG6="","","N° "&amp;CODpiantCENTRdiAPPOGGIOrich6&amp;"-"&amp;IF(CODpiantCENTRsuggAPPOG6=0,"ERRORE",CODpiantCENTRsuggAPPOG6)))</f>
        <v/>
      </c>
      <c r="AE13" s="188" t="str">
        <f>IF(modelloAUTO6="","",IF(note_cliente6="","",note_cliente6))</f>
        <v/>
      </c>
      <c r="AF13" s="189" t="str">
        <f>IF(PesoTEORICOparatia6="","",PesoTEORICOparatia6)</f>
        <v/>
      </c>
      <c r="AG13" s="190">
        <v>6</v>
      </c>
      <c r="AI13" s="191" t="str">
        <f>IF(modelloAUTO6=$B$2,pezzi6*UNO,"")</f>
        <v/>
      </c>
      <c r="AJ13" s="192" t="str">
        <f>IF(modelloAUTO6=$B$2,larghezza6,"")</f>
        <v/>
      </c>
      <c r="AK13" s="193" t="str">
        <f>IF(modelloAUTO6=$B$2,altezza6,"")</f>
        <v/>
      </c>
      <c r="AL13" s="174" t="str">
        <f t="shared" si="2"/>
        <v/>
      </c>
      <c r="AM13" s="173" t="str">
        <f t="shared" si="3"/>
        <v>DX (di serie)</v>
      </c>
      <c r="AN13" s="194"/>
      <c r="AO13"/>
      <c r="AP13" s="195" t="str">
        <f>IF(modelloAUTO6=$B$2,IF(PROFlatRICH6="",pezzi6*DUE*VLOOKUP($B$2,tabMODELLI,COLprofiliLATdiserie,FALSE),pezzi6*DUE),"")</f>
        <v/>
      </c>
      <c r="AQ13" s="179" t="str">
        <f>IF(modelloAUTO6=$B$2,IF(PROFlatAUTO6="ESCLUSI","",IF(PROFlatRICH6="","STD",PROFlatRICH6)),"")</f>
        <v/>
      </c>
      <c r="AR13" s="196" t="str">
        <f>IF(AND(modelloAUTO6=$B$2,PROFlatAUTO6&lt;&gt;"ESCLUSI"),IF(ALTprofLATrich6="","STD",ALTprofLATrich6*DIECI),"")</f>
        <v/>
      </c>
      <c r="AT13" s="272" t="str">
        <f>IF(modelloAUTO6=$B$2,IF(TIPOcopertina6="","",TIPOcopertina6),"")</f>
        <v/>
      </c>
      <c r="AV13" s="198" t="str">
        <f>IF(modelloAUTO6=$B$2,IF(vernBarriera6="","STD",vernBarriera6),"")</f>
        <v/>
      </c>
      <c r="AX13" s="171" t="str">
        <f>IF(modelloAUTO6=$B$2,IF(PROFoTUBsxRICH6="","",pezzi6),"")</f>
        <v/>
      </c>
      <c r="AY13" s="199" t="str">
        <f>IF(modelloAUTO6=$B$2,IF(PROFoTUBsxRICH6="","",PROFoTUBsxRICH6),"")</f>
        <v/>
      </c>
      <c r="AZ13" s="200" t="str">
        <f>IF(AND(modelloAUTO6=$B$2,PROFoTUBsxRICH6&lt;&gt;""),IF(ALTprofOtubRICHsx6="","STD",ALTprofOtubRICHsx6),"")</f>
        <v/>
      </c>
      <c r="BB13" s="201" t="str">
        <f>IF(modelloAUTO6=$B$2,IF(PROFoTUBsxRICH6="","",IF(vernPROFoTUBlatSX6="","STD",vernPROFoTUBlatSX6)),"")</f>
        <v/>
      </c>
      <c r="BD13" s="171" t="str">
        <f>IF(modelloAUTO6=$B$2,IF(PROFoTUBdxRICH6="","",pezzi6),"")</f>
        <v/>
      </c>
      <c r="BE13" s="202" t="str">
        <f>IF(modelloAUTO6=$B$2,IF(PROFoTUBdxRICH6="","",PROFoTUBdxRICH6),"")</f>
        <v/>
      </c>
      <c r="BF13" s="200" t="str">
        <f>IF(AND(modelloAUTO6=$B$2,PROFoTUBdxRICH6&lt;&gt;""),IF(ALTprofOtubRICHdx6="","STD",ALTprofOtubRICHdx6),"")</f>
        <v/>
      </c>
      <c r="BH13" s="203" t="str">
        <f>IF(modelloAUTO6=$B$2,IF(PROFoTUBdxRICH6="","",IF(vernPROFoTUBlatDX6="","STD",vernPROFoTUBlatDX6)),"")</f>
        <v/>
      </c>
      <c r="BJ13" s="204" t="str">
        <f>IF(modelloAUTO6=$B$2,IF(profORIZZ6="","",pezzi6),"")</f>
        <v/>
      </c>
      <c r="BK13" s="205" t="str">
        <f>IF(modelloAUTO6=$B$2,IF(profORIZZ6="","",CODpiattoORIZZsugg6),"")</f>
        <v/>
      </c>
      <c r="BL13" s="206" t="str">
        <f>IF(modelloAUTO6=$B$2,IF(profORIZZ6="","",larghezza6*UNO+IF(PROFoTUBsxRICH6="",ZERO,VLOOKUP(PROFoTUBsxRICH6,TABprofOtubLATERALI,COLlargPROFoTUBlat,FALSE))+IF(PROFoTUBdxRICH6="",ZERO,VLOOKUP(PROFoTUBdxRICH6,TABprofOtubLATERALI,COLlargPROFoTUBlat,FALSE))),"")</f>
        <v/>
      </c>
      <c r="BN13" s="207" t="str">
        <f ca="1">IF(modelloAUTO6=$B$2,INDEX(INDIRECT("TABnCHIAVISTELLOvert"&amp;$B$2),rif_alt6,rif_larg6)*pezzi6,"")</f>
        <v/>
      </c>
      <c r="BO13"/>
      <c r="BP13" s="178" t="str">
        <f t="shared" si="4"/>
        <v/>
      </c>
      <c r="BQ13" s="208" t="str">
        <f ca="1">IF(modelloAUTO6=$B$2,INDEX(INDIRECT("TABnMANIGLIEsuperiori"&amp;$B$2),rif_alt6,rif_larg6)+INDEX(INDIRECT("TABnMANIGLIEfrontali"&amp;$B$2),rif_alt6,rif_larg6),"")</f>
        <v/>
      </c>
      <c r="BR13" s="191" t="str">
        <f>IF(modelloAUTO6=$B$2,pezzi6*DUE,"")</f>
        <v/>
      </c>
      <c r="BS13" s="209" t="str">
        <f>IF(modelloAUTO6=$B$2,BQ13*DUE,"")</f>
        <v/>
      </c>
      <c r="BT13" s="209" t="str">
        <f>IF(modelloAUTO6=$B$2,BR13*TRE,"")</f>
        <v/>
      </c>
      <c r="BU13" s="191" t="str">
        <f>IF(modelloAUTO6=$B$2,pezzi6*DUE,"")</f>
        <v/>
      </c>
      <c r="BV13" s="191" t="str">
        <f>IF(modelloAUTO6=$B$2,pezzi6*DUE,"")</f>
        <v/>
      </c>
      <c r="BW13" s="191" t="str">
        <f>IF(modelloAUTO6=$B$2,pezzi6*DUE,"")</f>
        <v/>
      </c>
      <c r="BX13" s="191" t="str">
        <f>IF(modelloAUTO6=$B$2,pezzi6*DUE,"")</f>
        <v/>
      </c>
      <c r="BY13" s="191" t="str">
        <f>IF(modelloAUTO6=$B$2,pezzi6*DUE,"")</f>
        <v/>
      </c>
      <c r="CA13" s="210" t="str">
        <f>IF(modelloAUTO6=$B$2,IF(fornPIANTcentr6="","",fornPIANTcentr6*pezzi6),"")</f>
        <v/>
      </c>
      <c r="CB13" s="210" t="str">
        <f>IF(modelloAUTO6=$B$2,IF(fornPIANTcentr6="","",CODpiantCENTRsugg6),"")</f>
        <v/>
      </c>
      <c r="CD13" s="210" t="str">
        <f>IF(modelloAUTO6=$B$2,IF(CODpiantCENTRsuggAPPOG6="","",CODpiantCENTRdiAPPOGGIOrich6),"")</f>
        <v/>
      </c>
      <c r="CE13" s="210" t="str">
        <f>IF(modelloAUTO6=$B$2,IF(CODpiantCENTRsuggAPPOG6="","",CODpiantCENTRsuggAPPOG6),"")</f>
        <v/>
      </c>
      <c r="CG13" s="273">
        <v>6</v>
      </c>
      <c r="CI13" s="211" t="str">
        <f>IF(modelloAUTO6=$B$2,altezza6*DIECI/FLOOR(VLOOKUP($B$2,tabMODELLI,COLcoefALTdogaSORMONTATAda200,FALSE),UNO)*pezzi6,"")</f>
        <v/>
      </c>
      <c r="CJ13" s="212" t="str">
        <f>IF(modelloAUTO6=$B$2,larghezza6*DIECI-VLOOKUP($B$2,tabMODELLI,COLcoeffTAGLIOdogaOPPURElastraINlarg,FALSE)-VLOOKUP(PROFlatAUTO6,TABprofLATten,COLcoeffCALOdoga,FALSE),"")</f>
        <v/>
      </c>
      <c r="CK13"/>
      <c r="CL13" s="213" t="str">
        <f>IF(modelloAUTO6=$B$2,(altezza6*DIECI/FLOOR(VLOOKUP($B$2,tabMODELLI,COLcoefALTdogaSORMONTATAda200,FALSE),CENTO)-FLOOR(altezza6*DIECI/FLOOR(VLOOKUP($B$2,tabMODELLI,COLcoefALTdogaSORMONTATAda200,FALSE),CENTO),UNO))*pezzi6,"")</f>
        <v/>
      </c>
      <c r="CM13" s="214" t="str">
        <f>IF(modelloAUTO6=$B$2,(((altezza6*DIECI-VLOOKUP($B$2,tabMODELLI,COLcoeffCALOtaglioPANNELLObarrieraMONOLITICOoASSEMBLATOInALT,FALSE))/VLOOKUP($B$2,tabMODELLI,colALTnominaleDOGAmm,FALSE)-(FLOOR(altezza6*DIECI/FLOOR(VLOOKUP($B$2,tabMODELLI,COLcoefALTdogaSORMONTATAda200,FALSE),CENTO),UNO)))*(VLOOKUP($B$2,tabMODELLI,colALTnominaleDOGAmm,FALSE))),"")</f>
        <v/>
      </c>
      <c r="CN13" s="203" t="str">
        <f>IF(modelloAUTO6=$B$2,IF(vernBarriera6="","STD",vernBarriera6),"")</f>
        <v/>
      </c>
      <c r="CO13" s="174" t="str">
        <f t="shared" si="5"/>
        <v/>
      </c>
      <c r="CP13" s="215" t="str">
        <f>IF(modelloAUTO6=$B$2,LATOcomAUTO6,"")</f>
        <v/>
      </c>
      <c r="CQ13"/>
      <c r="CR13" s="216" t="str">
        <f>IF(modelloAUTO6=$B$2,pezzi6*UNO,"")</f>
        <v/>
      </c>
      <c r="CS13" s="212" t="str">
        <f>IF(modelloAUTO6=$B$2,altezza6*DIECI+VLOOKUP($B$2,tabMODELLI,COLcoeffTAGLIOPROFILIlateraliEverticaliAttaccatiALLAbarriera,FALSE),"")</f>
        <v/>
      </c>
      <c r="CT13" s="217" t="str">
        <f>IF(modelloAUTO6=$B$2,"|90° 90°|","")</f>
        <v/>
      </c>
      <c r="CU13" s="218"/>
      <c r="CV13" s="219" t="str">
        <f>IF(modelloAUTO6=$B$2,pezzi6*DUE,"")</f>
        <v/>
      </c>
      <c r="CW13" s="220" t="str">
        <f>IF(modelloAUTO6=$B$2,larghezza6*DIECI-VLOOKUP($B$2,tabMODELLI,COLcoeffTAGLIOPROFILIlateraliEverticaliAttaccatiALLAbarriera,FALSE),"")</f>
        <v/>
      </c>
      <c r="CX13" s="217" t="str">
        <f t="shared" si="25"/>
        <v/>
      </c>
      <c r="CY13" s="221"/>
      <c r="CZ13" s="222" t="str">
        <f>IF(modelloAUTO6=$B$2,PROFlatAUTO6,"")</f>
        <v/>
      </c>
      <c r="DA13" s="223" t="str">
        <f>IF(modelloAUTO6=$B$2,pezzi6,"")</f>
        <v/>
      </c>
      <c r="DB13" s="217" t="str">
        <f>IF(modelloAUTO6=$B$2,altezza6*DIECI-VLOOKUP(PROFlatAUTO6,TABprofLATten,COLsfioroPROFtenLATrispettoALvano,FALSE),"")</f>
        <v/>
      </c>
      <c r="DC13" s="217" t="str">
        <f>IF(modelloAUTO6=$B$2,"|90° 45°/","")</f>
        <v/>
      </c>
      <c r="DD13" s="224"/>
      <c r="DE13" s="223" t="str">
        <f>IF(modelloAUTO6=$B$2,pezzi6,"")</f>
        <v/>
      </c>
      <c r="DF13" s="217" t="str">
        <f>IF(modelloAUTO6=$B$2,larghezza6*DIECI-(VLOOKUP(PROFlatAUTO6,TABprofLATten,COLsfioroPROFtenLATrispettoALvano,FALSE)*DUE),"")</f>
        <v/>
      </c>
      <c r="DG13" s="217" t="str">
        <f>IF(modelloAUTO6=$B$2,"\45° 90°|","")</f>
        <v/>
      </c>
      <c r="DH13" s="224"/>
      <c r="DI13" s="223" t="str">
        <f>IF(modelloAUTO6=$B$2,pezzi6,"")</f>
        <v/>
      </c>
      <c r="DJ13" s="217" t="str">
        <f>IF(modelloAUTO6=$B$2,altezza6*DIECI-VLOOKUP(PROFlatAUTO6,TABprofLATten,COLsfioroPROFtenLATrispettoALvano,FALSE),"")</f>
        <v/>
      </c>
      <c r="DK13" s="217" t="str">
        <f>IF(modelloAUTO6=$B$2,"\45° 45°/","")</f>
        <v/>
      </c>
      <c r="DL13" s="225"/>
      <c r="DM13" s="226" t="str">
        <f>IF(modelloAUTO6=$B$2,pezzi6,"")</f>
        <v/>
      </c>
      <c r="DN13" s="226" t="str">
        <f>IF(modelloAUTO6=$B$2,larghezza6*DIECI,"")</f>
        <v/>
      </c>
      <c r="DO13" s="227" t="str">
        <f>IF(modelloAUTO6=$B$2,"|90° 90°|","")</f>
        <v/>
      </c>
      <c r="DP13" s="221"/>
      <c r="DQ13" s="228" t="str">
        <f>IF(modelloAUTO6=$B$2,DIMprimoFOROdalPAVIMENTOperFISSAGGIOprofiloDItenutaLATERALE*DIECI,"")</f>
        <v/>
      </c>
      <c r="DR13" s="228" t="str">
        <f ca="1">IF(modelloAUTO6=$B$2,IF(VLOOKUP(altezza6,INDIRECT("tabNfissaggi"&amp;$B$2),INDIRECT("colNfiSsaggi"&amp;$B$2),TRUE)&lt;DR$6,"",(IF(VLOOKUP(altezza6,INDIRECT("tabNfissaggi"&amp;$B$2),INDIRECT("colNfiSsaggi"&amp;$B$2),FALSE)=DR$6,altezza6*DIECI-DIMprimoFOROdalPAVIMENTOperFISSAGGIOprofiloDItenutaLATERALE,DQ63+(((altezza6*DIECI-DIMprimoFOROdalPAVIMENTOperFISSAGGIOprofiloDItenutaLATERALE*DIECI*DUE))/(VLOOKUP((altezza6),INDIRECT("tabNfissaggi"&amp;$B$2),INDIRECT("colNfiSsaggi"&amp;$B$2),FALSE)-UNO))))),"")</f>
        <v/>
      </c>
      <c r="DS13" s="228" t="str">
        <f ca="1">IF(modelloAUTO6=$B$2,IF(VLOOKUP(altezza6,INDIRECT("tabNfissaggi"&amp;$B$2),INDIRECT("colNfiSsaggi"&amp;$B$2),TRUE)&lt;DS$6,"",(IF(VLOOKUP(altezza6,INDIRECT("tabNfissaggi"&amp;$B$2),INDIRECT("colNfiSsaggi"&amp;$B$2),FALSE)=DS$6,altezza6*DIECI-DIMprimoFOROdalPAVIMENTOperFISSAGGIOprofiloDItenutaLATERALE,DR63+(((altezza6*DIECI-DIMprimoFOROdalPAVIMENTOperFISSAGGIOprofiloDItenutaLATERALE*DIECI*DUE))/(VLOOKUP((altezza6),INDIRECT("tabNfissaggi"&amp;$B$2),INDIRECT("colNfiSsaggi"&amp;$B$2),FALSE)-UNO))))),"")</f>
        <v/>
      </c>
      <c r="DT13" s="228" t="str">
        <f ca="1">IF(modelloAUTO6=$B$2,IF(VLOOKUP(altezza6,INDIRECT("tabNfissaggi"&amp;$B$2),INDIRECT("colNfiSsaggi"&amp;$B$2),TRUE)&lt;DT$6,"",(IF(VLOOKUP(altezza6,INDIRECT("tabNfissaggi"&amp;$B$2),INDIRECT("colNfiSsaggi"&amp;$B$2),FALSE)=DT$6,altezza6*DIECI-DIMprimoFOROdalPAVIMENTOperFISSAGGIOprofiloDItenutaLATERALE,DS63+(((altezza6*DIECI-DIMprimoFOROdalPAVIMENTOperFISSAGGIOprofiloDItenutaLATERALE*DIECI*DUE))/(VLOOKUP((altezza6),INDIRECT("tabNfissaggi"&amp;$B$2),INDIRECT("colNfiSsaggi"&amp;$B$2),FALSE)-UNO))))),"")</f>
        <v/>
      </c>
      <c r="DU13" s="228" t="str">
        <f ca="1">IF(modelloAUTO6=$B$2,IF(VLOOKUP(altezza6,INDIRECT("tabNfissaggi"&amp;$B$2),INDIRECT("colNfiSsaggi"&amp;$B$2),TRUE)&lt;DU$6,"",(IF(VLOOKUP(altezza6,INDIRECT("tabNfissaggi"&amp;$B$2),INDIRECT("colNfiSsaggi"&amp;$B$2),FALSE)=DU$6,altezza6*DIECI-DIMprimoFOROdalPAVIMENTOperFISSAGGIOprofiloDItenutaLATERALE,DT63+(((altezza6*DIECI-DIMprimoFOROdalPAVIMENTOperFISSAGGIOprofiloDItenutaLATERALE*DIECI*DUE))/(VLOOKUP((altezza6),INDIRECT("tabNfissaggi"&amp;$B$2),INDIRECT("colNfiSsaggi"&amp;$B$2),FALSE)-UNO))))),"")</f>
        <v/>
      </c>
      <c r="DV13" s="221"/>
      <c r="DW13" s="229" t="str">
        <f>IF(modelloAUTO6=$B$2,(PRIMOforoNELLantaPARTENDOdaLBASSOclose-VLOOKUP($B$2,tabMODELLI,COLcoeffALTprofiloSogliaRimanenteSOTTOalTELAIOperimetrale,FALSE)),"")</f>
        <v/>
      </c>
      <c r="DX13" s="230" t="str">
        <f>IF(modelloAUTO6=$B$2,DW13+INTERASSSEforiANTAcernieraSAVIOmechanica,"")</f>
        <v/>
      </c>
      <c r="DY13" s="231" t="str">
        <f>IF(modelloAUTO6=$B$2,INDEX(TABforoBASSOcernieraNELLantaCONdogaCLICKRAPIDnellANTACONsavIOMECHANICA,UNO,MATCH(((CJ13)/DUE),TABforoBASSOcernieraNELLantaCONdogaCLICKRAPIDnellANTACONsavIOMECHANICA,UNO)),"")</f>
        <v/>
      </c>
      <c r="DZ13" s="232" t="str">
        <f>IF(modelloAUTO6=$B$2,DY13+INTERASSSEforiANTAcernieraSAVIOmechanica,"")</f>
        <v/>
      </c>
      <c r="EA13" s="231" t="str">
        <f>IF(modelloAUTO6=$B$2,INDEX(TABforoBASSOcernieraNELLantaCONdogaCLICKRAPIDnellANTACONsavIOMECHANICA,UNO,MATCH((CJ13-ALTEZZAcerNIERAcomMPOSTAdalle2aliMECHANICA-altezzaALAcanalinoDA35X35X2),TABforoBASSOcernieraNELLantaCONdogaCLICKRAPIDnellANTACONsavIOMECHANICA,UNO)),"")</f>
        <v/>
      </c>
      <c r="EB13" s="232" t="str">
        <f>IF(modelloAUTO6=$B$2,EA13+INTERASSSEforiANTAcernieraSAVIOmechanica,"")</f>
        <v/>
      </c>
      <c r="EC13" s="233"/>
      <c r="ED13" s="234" t="str">
        <f>IF(modelloAUTO6=$B$2,"a: "&amp;DW13+INTERASSSEforiANTAcernieraSAVIOmechanica/DUE,"")</f>
        <v/>
      </c>
      <c r="EE13" s="234" t="str">
        <f>IF(modelloAUTO6=$B$2,"a: "&amp;DY13+INTERASSSEforiANTAcernieraSAVIOmechanica/DUE,"")</f>
        <v/>
      </c>
      <c r="EF13" s="234" t="str">
        <f>IF(modelloAUTO6=$B$2,"a: "&amp;EA13+INTERASSSEforiANTAcernieraSAVIOmechanica/DUE,"")</f>
        <v/>
      </c>
      <c r="EG13"/>
      <c r="EH13" s="235" t="str">
        <f>IF(modelloAUTO6=$B$2,pezzi6,"")</f>
        <v/>
      </c>
      <c r="EI13" s="235" t="str">
        <f>IF(modelloAUTO6=$B$2,INTERASSEforoPERnottolinoDIcomandoMANIGLIAdiCHIUSURAaLEVAclose,"")</f>
        <v/>
      </c>
      <c r="EJ13" s="236" t="str">
        <f>IF(modelloAUTO6=$B$2,ALTCentroNOTTOLINOpartendoDALbassodellaDOGA,"")</f>
        <v/>
      </c>
      <c r="EK13" s="4"/>
      <c r="EL13" s="216" t="str">
        <f>IF(modelloAUTO6=$B$2,pezzi6*UNO,"")</f>
        <v/>
      </c>
      <c r="EM13" s="212" t="str">
        <f>IF(modelloAUTO6=$B$2,altezza6*DIECI+VLOOKUP($B$2,tabMODELLI,COLcoeffTAGLIOPROFILOdiAGGANCIOsistemaMODERNA,FALSE),"")</f>
        <v/>
      </c>
      <c r="EN13"/>
      <c r="EO13" s="216" t="str">
        <f>IF(modelloAUTO6=$B$2,pezzi6*UNO,"")</f>
        <v/>
      </c>
      <c r="EP13" s="212" t="str">
        <f>IF(modelloAUTO6=$B$2,altezza6*DIECI+VLOOKUP($B$2,tabMODELLI,COLcoeffTAGLIOPROFILOdiAGGANCIOsistemaMODERNA,FALSE),"")</f>
        <v/>
      </c>
      <c r="EQ13"/>
      <c r="ER13" s="216" t="str">
        <f>IF(modelloAUTO6=$B$2,pezzi6*UNO,"")</f>
        <v/>
      </c>
      <c r="ES13" s="212" t="str">
        <f>IF(modelloAUTO6=$B$2,altezza6*DIECI+VLOOKUP($B$2,tabMODELLI,COLcoeffTAGLIOPROFILIlateraliEverticaliAttaccatiALLAbarriera,FALSE),"")</f>
        <v/>
      </c>
      <c r="ET13" s="218"/>
      <c r="EU13" s="191" t="str">
        <f>IF(modelloAUTO6=$B$2,IF(PROFlatRICH6="",pezzi6*DUE*VLOOKUP($B$2,tabMODELLI,COLprofiliLATdiserie,FALSE),pezzi6*DUE),"")</f>
        <v/>
      </c>
      <c r="EV13" s="179" t="str">
        <f>IF(modelloAUTO6=$B$2,IF(PROFlatRICH6="","STD",PROFlatRICH6),"")</f>
        <v/>
      </c>
      <c r="EW13" s="275" t="str">
        <f>IF(modelloAUTO6=$B$2,IF(TIPOcopertina6="","",TIPOcopertina6),"")</f>
        <v/>
      </c>
      <c r="EX13" s="238" t="str">
        <f>IF(modelloAUTO6=$B$2,VLOOKUP($B$2,tabMODELLI,COLcoeffALTguarnINFERIOREschiacciata,FALSE)+(VLOOKUP($B$2,tabMODELLI,COLcoefALTdogaREALEda200,FALSE)+(VLOOKUP($B$2,tabMODELLI,COLcoefALTdogaSORMONTATAda200,FALSE)*(CEILING(altezza6*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3" s="218"/>
      <c r="EZ13" s="276" t="str">
        <f ca="1">IF(OR(modelloAUTO6=$B$2,modelloAUTO6=CLICK_RAPIDxPRIVATO),INDEX(INDIRECT("TABnCHIAVISTELLOvert"&amp;$B$2),rif_alt6,rif_larg6)*pezzi6,"")</f>
        <v/>
      </c>
      <c r="FA13" s="240" t="str">
        <f>IF(modelloAUTO6=$B$2,IF(AND(nCatenacci6&lt;&gt;"",profORIZZ6&lt;&gt;""),spessoreCATENACCIOverticale60X65X300,""),"")</f>
        <v/>
      </c>
      <c r="FB13" s="277" t="str">
        <f ca="1">IF(OR(nCatenacci6=0,nCatenacci6="",),"",(CJ13+QUATTRO-(IF(nCatenacci6="",ZERO,SESSANTA*(nCatenacci6/PZCLICK_RAPID6))))/((nCatenacci6/PZCLICK_RAPID6)+UNO))</f>
        <v/>
      </c>
      <c r="FD13" s="242" t="str">
        <f ca="1">IF(modelloAUTO6=$B$2,INDEX(INDIRECT("TABnMANIGLIEsuperiori"&amp;$B$2),rif_alt6,rif_larg6),"")</f>
        <v/>
      </c>
      <c r="FE13" s="243" t="str">
        <f ca="1">IF(modelloAUTO6=$B$2,(larghezza6-CATENACCIOLOorizzontaleINGOMBROclick_rapid-DUE)/INDEX(INDIRECT("TABnMANIGLIEsuperiori"&amp;$B$2),rif_alt6,rif_larg6),"")</f>
        <v/>
      </c>
      <c r="FG13" s="244" t="str">
        <f ca="1">IF(modelloAUTO6=$B$2,INDEX(INDIRECT("TABnMANIGLIEfrontali"&amp;$B$2),rif_alt6,rif_larg6),"")</f>
        <v/>
      </c>
      <c r="FH13"/>
      <c r="FI13" s="245">
        <f>((larghezza6*DIECI-COEFFlargCOMPLESSIVAdelKITcerniere_GANCIOassemblato))</f>
        <v>-261</v>
      </c>
      <c r="FJ13" s="245">
        <f t="shared" si="17"/>
        <v>19.453363192402126</v>
      </c>
      <c r="FK13" s="245">
        <f t="shared" si="18"/>
        <v>0.4001326</v>
      </c>
      <c r="FL13" s="246">
        <f>(altezza6+TREDICI/DIECI)/CENTO*(CERNIERA_TUBOLARE_MODERNA+CERNIERA_APERTA_MODERNA+UNCINO)+(altezza6/(VLOOKUP($B$2,tabMODELLI,COLcoefALTdogaSORMONTATAda200,FALSE)/DIECI)*COEFFdogaINSERITAnellaCERNIERAaertaFINOallaFINEdelGANCIO*VLOOKUP($B$2,tabMODELLI,COLpesoALKGmlDOGA,FALSE))</f>
        <v>9.6758999999999998E-2</v>
      </c>
      <c r="FM13" s="247">
        <f t="shared" si="19"/>
        <v>0.18663999999999997</v>
      </c>
      <c r="FN13" s="247">
        <f>altezza6/(VLOOKUP($B$2,tabMODELLI,COLcoefALTdogaSORMONTATAda200,FALSE)/DIECI)*((((larghezza6-(COEFFlargCOMPLESSIVAdelKITcerniere_GANCIOassemblato/DIECI))/CENTO)*VLOOKUP($B$2,tabMODELLI,COLpesoALKGmlDOGA,FALSE)))</f>
        <v>0</v>
      </c>
      <c r="FO13" s="247">
        <f>larghezza6/CENTO*PESOguarnORIZZmodernaKG\ML</f>
        <v>0</v>
      </c>
      <c r="FP13" s="247">
        <f>(altezza6/(VLOOKUP($B$2,tabMODELLI,COLcoefALTdogaSORMONTATAda200,FALSE)/DIECI)-UNO)*((((larghezza6-(COEFFlargCOMPLESSIVAdelKITcerniere_GANCIOassemblato/DIECI))/CENTO)*pesoALmlDOPPIAsiliconaturaINunaDOGA))</f>
        <v>0.1827</v>
      </c>
      <c r="FQ13" s="247">
        <f>(altezza6/CENTO*H_MODERNA)</f>
        <v>0</v>
      </c>
      <c r="FR13" s="248">
        <f t="shared" si="21"/>
        <v>0.4331158</v>
      </c>
      <c r="FS13" s="248">
        <f t="shared" si="22"/>
        <v>-7.2599999999999998E-2</v>
      </c>
      <c r="FT13" s="249">
        <f t="shared" si="26"/>
        <v>-4.2183908045977011E-4</v>
      </c>
      <c r="FU13" s="249">
        <f t="shared" si="27"/>
        <v>0.1101</v>
      </c>
      <c r="FV13" s="249">
        <f t="shared" si="28"/>
        <v>-0.32301579999999996</v>
      </c>
      <c r="FW13" s="249">
        <f t="shared" si="23"/>
        <v>1.3626068804597699E-4</v>
      </c>
      <c r="FX13" s="246">
        <f t="shared" si="29"/>
        <v>0.4331158</v>
      </c>
      <c r="FY13" s="250">
        <f t="shared" si="24"/>
        <v>-1045.7321416684672</v>
      </c>
      <c r="FZ13"/>
      <c r="GA13" s="251"/>
      <c r="GB13" s="251"/>
      <c r="GC13" s="251"/>
      <c r="GD13" s="251"/>
      <c r="GE13" s="251"/>
      <c r="GF13" s="251"/>
      <c r="GG13" s="251"/>
      <c r="GI13" s="252" t="str">
        <f>IF(modelloAUTO6=$B$2,IF(PROFlatRICH6="",pezzi6*UNO*VLOOKUP($B$2,tabMODELLI,COLnMANIGLIAasportabile,FALSE),pezzi6*UNO),"")</f>
        <v/>
      </c>
      <c r="GJ13" s="252" t="str">
        <f>IF(modelloAUTO6=$B$2,pezzi6*DUE,"")</f>
        <v/>
      </c>
      <c r="GK13" s="252" t="str">
        <f>IF(modelloAUTO6=$B$2,pezzi6*UNO,"")</f>
        <v/>
      </c>
      <c r="GL13" s="253" t="str">
        <f>IF(modelloAUTO6=$B$2,IF(SYSTEMantiFURTO6&lt;&gt;"",VLOOKUP($B$2,TABsistemaANTIFURTO,COLusoVITEdISERIE,FALSE),pezzi6),"")</f>
        <v/>
      </c>
      <c r="GM13" s="252" t="str">
        <f>IF(modelloAUTO6=$B$2,pezzi6*UNO,"")</f>
        <v/>
      </c>
      <c r="GN13" s="252" t="str">
        <f>IF(modelloAUTO6=$B$2,NmaniglieDItrasporto6*DUE,"")</f>
        <v/>
      </c>
      <c r="GO13" s="254" t="str">
        <f>IF(modelloAUTO6=$B$2,pezzi6*QUINDICI,"")</f>
        <v/>
      </c>
      <c r="GP13" s="254" t="str">
        <f>IF(modelloAUTO6=$B$2,pezzi6*DUE,"")</f>
        <v/>
      </c>
      <c r="GQ13" s="254" t="str">
        <f>IF(modelloAUTO6=$B$2,pezzi6*DUE,"")</f>
        <v/>
      </c>
      <c r="GR13" s="254" t="str">
        <f>IF(modelloAUTO6=$B$2,pezzi6*UNO,"")</f>
        <v/>
      </c>
      <c r="GS13" s="254" t="str">
        <f>IF(modelloAUTO6=$B$2,pezzi6*DUE,"")</f>
        <v/>
      </c>
      <c r="GT13" s="254" t="str">
        <f>IF(modelloAUTO6=$B$2,pezzi6*DUE,"")</f>
        <v/>
      </c>
      <c r="GU13" s="254" t="str">
        <f>IF(modelloAUTO6=$B$2,pezzi6*DUE,"")</f>
        <v/>
      </c>
      <c r="GV13" s="254" t="str">
        <f>IF(modelloAUTO6=$B$2,pezzi6*DUE,"")</f>
        <v/>
      </c>
      <c r="GW13" s="251"/>
      <c r="GX13" s="251"/>
      <c r="GY13" s="251"/>
      <c r="GZ13" s="251"/>
      <c r="HA13" s="251"/>
      <c r="HB13" s="251"/>
      <c r="HC13" s="251"/>
      <c r="HD13" s="251"/>
      <c r="HE13" s="251"/>
      <c r="HF13" s="251"/>
      <c r="HG13" s="251"/>
      <c r="HH13" s="251"/>
      <c r="HI13" s="251"/>
      <c r="HJ13" s="251"/>
      <c r="HK13" s="251"/>
      <c r="HL13" s="251"/>
      <c r="HN13" s="191" t="str">
        <f>IF(modelloAUTO6=$B$2,IF(PROFlatRICH6="",pezzi6*VLOOKUP($B$2,tabMODELLI,COLnGUARNorizzINFERIOREbarriera,FALSE),pezzi6),"")</f>
        <v/>
      </c>
      <c r="HO13" s="193" t="str">
        <f>IF(modelloAUTO6=$B$2,IF(VLOOKUP($B$2,tabMODELLI,COLnGUARNorizzINFERIOREbarriera,FALSE)="","",larghezza6),"")</f>
        <v/>
      </c>
      <c r="HQ13" s="191" t="str">
        <f>IF(modelloAUTO6=$B$2,IF(PROFlatRICH6="",pezzi6*DUE*VLOOKUP($B$2,tabMODELLI,COLnGUARNorizzINTERMEDIEbarriera,FALSE),pezzi6*DUE),"")</f>
        <v/>
      </c>
      <c r="HR13" s="193" t="str">
        <f>IF(modelloAUTO6=$B$2,IF(VLOOKUP($B$2,tabMODELLI,COLnGUARNorizzINTERMEDIEbarriera,FALSE)="","",larghezza6),"")</f>
        <v/>
      </c>
      <c r="HT13" s="191" t="str">
        <f>IF(modelloAUTO6=$B$2,IF(PROFlatRICH6="",pezzi6*UNO*VLOOKUP($B$2,tabMODELLI,COLnGUARNvertBARRIERA,FALSE),pezzi6*UNO),"")</f>
        <v/>
      </c>
      <c r="HU13" s="193" t="str">
        <f>IF(modelloAUTO6=$B$2,IF(VLOOKUP($B$2,tabMODELLI,COLnGUARNvertBARRIERA,FALSE)="","",altezza6),"")</f>
        <v/>
      </c>
      <c r="HV13"/>
      <c r="HW13" s="191" t="str">
        <f>IF(modelloAUTO6=$B$2,IF(PROFlatRICH6="",pezzi6*VLOOKUP($B$2,tabMODELLI,COLnTAPPIdiGIUNZIONEguarnORIZZconVERT,FALSE),pezzi6),"")</f>
        <v/>
      </c>
      <c r="HX13"/>
      <c r="HY13" s="191" t="str">
        <f>IF(modelloAUTO6=$B$2,IF(PROFlatRICH6="",pezzi6*VLOOKUP($B$2,tabMODELLI,COLnGUARNorizzPROFILOdiTENUTAlaterale,FALSE),pezzi6),"")</f>
        <v/>
      </c>
      <c r="HZ13" s="193" t="str">
        <f>IF(modelloAUTO6=$B$2,IF(VLOOKUP($B$2,tabMODELLI,COLnGUARNorizzPROFILOdiTENUTAlaterale,FALSE)="","",altezza6),"")</f>
        <v/>
      </c>
      <c r="IA13"/>
      <c r="IB13" s="191" t="str">
        <f>IF(modelloAUTO6=$B$2,IF(PROFlatRICH6="",pezzi6*VLOOKUP($B$2,tabMODELLI,COLnGUARNvertPROFILOdiTENUTAlaterale,FALSE),pezzi6),"")</f>
        <v/>
      </c>
      <c r="IC13" s="193" t="str">
        <f>IF(modelloAUTO6=$B$2,IF(VLOOKUP($B$2,tabMODELLI,COLnGUARNvertPROFILOdiTENUTAlaterale,FALSE)="","",altezza6),"")</f>
        <v/>
      </c>
      <c r="ID13"/>
      <c r="IE13" s="191" t="str">
        <f>IF(modelloAUTO6=$B$2,IF(PROFlatRICH6="",pezzi6*VLOOKUP($B$2,tabMODELLI,COLnPROFILIinNYLON,FALSE),pezzi6),"")</f>
        <v/>
      </c>
      <c r="IF13" s="193" t="str">
        <f>IF(modelloAUTO6=$B$2,IF(VLOOKUP($B$2,tabMODELLI,COLnPROFILIinNYLON,FALSE)="","",altezza6),"")</f>
        <v/>
      </c>
      <c r="IH13" s="171" t="str">
        <f>IF(modelloAUTO6=$B$2,IF(PROFoTUBsxRICH6="","",pezzi6),"")</f>
        <v/>
      </c>
      <c r="II13" s="199" t="str">
        <f>IF(modelloAUTO6=$B$2,IF(PROFoTUBsxRICH6="","",PROFoTUBsxRICH6),"")</f>
        <v/>
      </c>
      <c r="IJ13" s="257" t="str">
        <f>IF(AND(modelloAUTO6=$B$2,PROFoTUBsxRICH6&lt;&gt;""),IF(ALTprofOtubRICHsx6="","STD",ALTprofOtubRICHsx6*DIECI),"")</f>
        <v/>
      </c>
      <c r="IL13" s="201" t="str">
        <f>IF(modelloAUTO6=$B$2,IF(PROFoTUBsxRICH6="","",IF(vernPROFoTUBlatSX6="","STD",vernPROFoTUBlatSX6)),"")</f>
        <v/>
      </c>
      <c r="IN13" s="171" t="str">
        <f>IF(modelloAUTO6=$B$2,IF(PROFoTUBdxRICH6="","",pezzi6),"")</f>
        <v/>
      </c>
      <c r="IO13" s="202" t="str">
        <f>IF(modelloAUTO6=$B$2,IF(PROFoTUBdxRICH6="","",PROFoTUBdxRICH6),"")</f>
        <v/>
      </c>
      <c r="IP13" s="257" t="str">
        <f>IF(AND(modelloAUTO6=$B$2,PROFoTUBdxRICH6&lt;&gt;""),IF(ALTprofOtubRICHdx6="","STD",ALTprofOtubRICHdx6*DIECI),"")</f>
        <v/>
      </c>
      <c r="IR13" s="203" t="str">
        <f>IF(modelloAUTO6=$B$2,IF(PROFoTUBdxRICH6="","",IF(vernPROFoTUBlatDX6="","STD",vernPROFoTUBlatDX6)),"")</f>
        <v/>
      </c>
      <c r="IT13" s="204" t="str">
        <f>IF(modelloAUTO6=$B$2,IF(profORIZZ6="","",pezzi6),"")</f>
        <v/>
      </c>
      <c r="IU13" s="205" t="str">
        <f>IF(modelloAUTO6=$B$2,IF(profORIZZ6="","",CODpiattoORIZZsugg6),"")</f>
        <v/>
      </c>
      <c r="IV13" s="206" t="str">
        <f>IF(modelloAUTO6=$B$2,IF(profORIZZ6="","",larghezza6*DIECI+IF(PROFoTUBsxRICH6="",ZERO,VLOOKUP(PROFoTUBsxRICH6,TABprofOtubLATERALI,COLlargPROFoTUBlat,FALSE))+IF(PROFoTUBdxRICH6="",ZERO,VLOOKUP(PROFoTUBdxRICH6,TABprofOtubLATERALI,COLlargPROFoTUBlat,FALSE))),"")</f>
        <v/>
      </c>
      <c r="IW13"/>
      <c r="IX13" s="168">
        <v>6</v>
      </c>
      <c r="IY13" s="258" t="str">
        <f>IF(AND(modelloAUTO6=$B$2,SYSTEMantiFURTO6&lt;&gt;""),VLOOKUP($B$2,TABsistemaANTIFURTO,COLlucchetto,FALSE),"")</f>
        <v/>
      </c>
      <c r="IZ13" s="258" t="str">
        <f>IF(AND(modelloAUTO6=$B$2,SYSTEMantiFURTO6&lt;&gt;""),VLOOKUP($B$2,TABsistemaANTIFURTO,COLaccessorioANTIFURTO2,FALSE),"")</f>
        <v/>
      </c>
      <c r="JA13" s="258" t="str">
        <f>IF(AND(modelloAUTO6=$B$2,SYSTEMantiFURTO6&lt;&gt;""),VLOOKUP($B$2,TABsistemaANTIFURTO,COLaccessorioANTIFURTO,FALSE),"")</f>
        <v/>
      </c>
      <c r="JB13" s="258" t="str">
        <f>IF(AND(modelloAUTO6=$B$2,SYSTEMantiFURTO6&lt;&gt;""),VLOOKUP($B$2,TABsistemaANTIFURTO,COLviteSPECIALExANTIFURTO,FALSE),"")</f>
        <v/>
      </c>
      <c r="JC13" s="258" t="str">
        <f>IF(AND(modelloAUTO6=$B$2,SYSTEMantiFURTO6&lt;&gt;""),VLOOKUP($B$2,TABsistemaANTIFURTO,COLlavorazioneXantifurto,FALSE),"")</f>
        <v/>
      </c>
      <c r="JD13"/>
      <c r="JE13"/>
      <c r="JF13"/>
      <c r="JG13"/>
      <c r="JH13"/>
      <c r="JI13"/>
      <c r="JJ13"/>
      <c r="JK13"/>
      <c r="JL13"/>
      <c r="JM13"/>
      <c r="JN13"/>
      <c r="JO13"/>
      <c r="JP13"/>
      <c r="JQ13"/>
      <c r="JR13"/>
      <c r="JS13"/>
      <c r="JT13"/>
      <c r="JU13"/>
      <c r="JV13"/>
      <c r="JW13"/>
      <c r="JX13" s="168">
        <v>6</v>
      </c>
      <c r="JY13" s="210" t="str">
        <f>IF(modelloAUTO6=$B$2,IF(fornPIANTcentr6="","",fornPIANTcentr6*pezzi6),"")</f>
        <v/>
      </c>
      <c r="JZ13" s="210" t="str">
        <f>IF(modelloAUTO6=$B$2,IF(fornPIANTcentr6="","",CODpiantCENTRsugg6),"")</f>
        <v/>
      </c>
      <c r="KB13" s="210" t="str">
        <f>IF(modelloAUTO6=$B$2,IF(CODpiantCENTRsuggAPPOG6="","",CODpiantCENTRdiAPPOGGIOrich6),"")</f>
        <v/>
      </c>
      <c r="KC13" s="210" t="str">
        <f>IF(modelloAUTO6=$B$2,IF(CODpiantCENTRsuggAPPOG6="","",CODpiantCENTRsuggAPPOG6),"")</f>
        <v/>
      </c>
      <c r="KP13" s="168">
        <v>6</v>
      </c>
      <c r="KQ13" s="259" t="str">
        <f>IF(AND(modelloAUTO6=$B$2,VLOOKUP($B$2,tabMODELLI,COLcoeffPOSSIBILITApellicolaADESIVA,FALSE)=UNO),IF(PELLICOLA6="","",pezzi6),"")</f>
        <v/>
      </c>
      <c r="KR13" s="236" t="str">
        <f>IF(AND(modelloAUTO6=$B$2,VLOOKUP($B$2,tabMODELLI,COLcoeffPOSSIBILITApellicolaADESIVA,FALSE)=UNO),IF(PELLICOLA6="","",larghezza6*DIECI-(VLOOKUP($B$2,tabMODELLI,COLcoeffPELLICOLAadesivaLARG,FALSE))),"")</f>
        <v/>
      </c>
      <c r="KS13" s="236" t="str">
        <f>IF(AND(modelloAUTO6=$B$2,VLOOKUP($B$2,tabMODELLI,COLcoeffPOSSIBILITApellicolaADESIVA,FALSE)=UNO),IF(PELLICOLA6="","",altezza6*DIECI-(VLOOKUP($B$2,tabMODELLI,COLcoeffPELLICOLAadesivaLARG,FALSE))),"")</f>
        <v/>
      </c>
      <c r="MA13" s="168">
        <v>6</v>
      </c>
      <c r="MB13" s="260" t="str">
        <f>IF(modelloAUTO6=$B$2,stanza6,"")</f>
        <v/>
      </c>
      <c r="MC13" s="168">
        <v>6</v>
      </c>
      <c r="MD13" s="230" t="str">
        <f>IF(modelloAUTO6=$B$2,larghezza6*DIECI+4+VLOOKUP($B$2,tabMODELLI,COLcoefAUMlargBUSTApvc,FALSE)+VLOOKUP($B$2,tabMODELLI,COLcoefAUMlargXprofILIlateraliBUSTApvc,FALSE)+IF(PROFoTUBsxRICH6="",ZERO,VLOOKUP(PROFoTUBsxRICH6,TABprofOtubLATERALI,COLlargPROFoTUBlatXimballaggio,FALSE)+profELETTRODOsaldaturaPVC)+IF(PROFoTUBdxRICH6="",ZERO,VLOOKUP(PROFoTUBdxRICH6,TABprofOtubLATERALI,COLlargPROFoTUBlatXimballaggio,FALSE)+profELETTRODOsaldaturaPVC),"")</f>
        <v/>
      </c>
      <c r="ME13" s="230" t="str">
        <f>IF(modelloAUTO6=$B$2,altezza6*DIECI*DUE+VLOOKUP($B$2,tabMODELLI,COLcoefAUMaltBUSTApvc,FALSE),"")</f>
        <v/>
      </c>
      <c r="MF13" s="261"/>
      <c r="MG13" s="230" t="str">
        <f>IF(modelloAUTO6=$B$2,altezza6*DIECI+VLOOKUP($B$2,tabMODELLI,COLcoeffSALDATURAinALTbustaPVC,FALSE),"")</f>
        <v/>
      </c>
      <c r="MH13" s="230" t="str">
        <f>IF(modelloAUTO6=$B$2,VLOOKUP($B$2,tabMODELLI,COLcoeffSALDATURAinLARGperTASCAbustaPVC,FALSE),"")</f>
        <v/>
      </c>
      <c r="MI13" s="230" t="str">
        <f>IF(modelloAUTO6=$B$2,IF(PROFoTUBsxRICH6="","",VLOOKUP(PROFoTUBsxRICH6,TABprofOtubLATERALI,COLlargPROFoTUBlatXimballaggio,FALSE)),"")</f>
        <v/>
      </c>
      <c r="MJ13" s="230" t="str">
        <f>IF(modelloAUTO6=$B$2,IF(PROFoTUBdxRICH6="","",VLOOKUP(PROFoTUBdxRICH6,TABprofOtubLATERALI,COLlargPROFoTUBlatXimballaggio,FALSE)),"")</f>
        <v/>
      </c>
      <c r="ML13" s="262" t="str">
        <f>IF(modelloAUTO6=$B$2,pezzi6*DUE,"")</f>
        <v/>
      </c>
      <c r="MM13" s="263" t="str">
        <f>IF(modelloAUTO6=$B$2,larghezza6+VLOOKUP($B$2,tabMODELLI,COLcoeffAUMoCALOinLARGpolistirolo,FALSE),"")</f>
        <v/>
      </c>
      <c r="MN13" s="263" t="str">
        <f>IF(modelloAUTO6=$B$2,altezza6+VLOOKUP($B$2,tabMODELLI,COLcoeffAUMoCALOinALTpolistirolo,FALSE),"")</f>
        <v/>
      </c>
      <c r="MO13"/>
      <c r="MP13" s="264" t="str">
        <f>IF(modelloAUTO6=$B$2,IF(VLOOKUP($B$2,tabMODELLI,COLcoeffAUMoCALOinLARGprofiloAu,FALSE)="",pezzi6*DUE,pezzi6*UNO),"")</f>
        <v/>
      </c>
      <c r="MQ13" s="265" t="str">
        <f>IF(modelloAUTO6=$B$2,VLOOKUP($B$2,tabMODELLI,COLdimStdSTRISCIAdelFIANCOxLARG1polistirolo,FALSE),"")</f>
        <v/>
      </c>
      <c r="MR13" s="263" t="str">
        <f>IF(modelloAUTO6=$B$2,larghezza6+VLOOKUP($B$2,tabMODELLI,colCOEFFdellaLARGnelFIANCOpolistirolo,FALSE),"")</f>
        <v/>
      </c>
      <c r="MT13" s="262" t="str">
        <f>IF(modelloAUTO6=$B$2,IF(VLOOKUP($B$2,tabMODELLI,COLdimstdSTRISCIAdelFIANCOxALT2polistirolo,FALSE)="",pezzi6*DUE,pezzi6),"")</f>
        <v/>
      </c>
      <c r="MU13" s="265" t="str">
        <f>IF(modelloAUTO6=$B$2,VLOOKUP($B$2,tabMODELLI,COLdimstdSTRISCIAdelFIANCOxALT1polistirolo,FALSE),"")</f>
        <v/>
      </c>
      <c r="MV13" s="263" t="str">
        <f>IF(modelloAUTO6=$B$2,altezza6+VLOOKUP($B$2,tabMODELLI,colCOEFFdellaALTnelFIANCOpolistirolo,FALSE),"")</f>
        <v/>
      </c>
      <c r="MX13" s="266" t="str">
        <f>IF(modelloAUTO6=$B$2,IF(VLOOKUP($B$2,tabMODELLI,COLdimstdSTRISCIAdelFIANCOxALT2polistirolo,FALSE)="","",pezzi6*UNO),"")</f>
        <v/>
      </c>
      <c r="MY13" s="267" t="str">
        <f>IF(modelloAUTO6=$B$2,IF(VLOOKUP($B$2,tabMODELLI,COLdimstdSTRISCIAdelFIANCOxALT2polistirolo,FALSE)="","",VLOOKUP($B$2,tabMODELLI,COLdimstdSTRISCIAdelFIANCOxALT2polistirolo,FALSE)),"")</f>
        <v/>
      </c>
      <c r="MZ13" s="263" t="str">
        <f>IF(modelloAUTO6=$B$2,altezza6+VLOOKUP($B$2,tabMODELLI,colCOEFFdellaALTnelFIANCOpolistirolo,FALSE),"")</f>
        <v/>
      </c>
      <c r="NB13" s="266" t="str">
        <f>IF(modelloAUTO6=$B$2,IF(VLOOKUP($B$2,tabMODELLI,COLcoeffAUMoCALOinLARGprofiloAu,FALSE)="","",pezzi6*UNO),"")</f>
        <v/>
      </c>
      <c r="NC13" s="216" t="str">
        <f>IF(modelloAUTO6=$B$2,IF(VLOOKUP($B$2,tabMODELLI,COLcoeffAUMoCALOinLARGprofiloAu,FALSE)="","",larghezza6+VLOOKUP($B$2,tabMODELLI,COLcoeffAUMoCALOinLARGprofiloAu,FALSE)),"")</f>
        <v/>
      </c>
      <c r="ND13" s="191" t="str">
        <f>IF(modelloAUTO6=$B$2,IF(VLOOKUP($B$2,tabMODELLI,COLcoeffAUMoCALOinLARGprofiloAu,FALSE)="","",VLOOKUP($B$2,tabMODELLI,COLdimstdSTRISCIAdelFIANCOxALT1polistirolo,FALSE)),"")</f>
        <v/>
      </c>
      <c r="NE13"/>
      <c r="NI13" s="168">
        <v>6</v>
      </c>
      <c r="NJ13" s="171" t="str">
        <f>IF(pezzi6="","",pezzi6)</f>
        <v/>
      </c>
      <c r="NK13" s="170" t="str">
        <f>IF(modelloAUTO6="","",modelloAUTO6)</f>
        <v/>
      </c>
      <c r="NL13" s="172" t="str">
        <f>IF(larghezza6="","",LARGortogonalitaADEGUATA6)</f>
        <v/>
      </c>
      <c r="NM13" s="173" t="str">
        <f>IF(altezza6="","",altezza6)</f>
        <v/>
      </c>
      <c r="NO13" s="189" t="str">
        <f>IF(PesoTEORICOparatia6="","",PesoTEORICOparatia6)</f>
        <v/>
      </c>
      <c r="NR13"/>
      <c r="NS13"/>
      <c r="NT13"/>
      <c r="NU13"/>
      <c r="NV13"/>
      <c r="NW13"/>
      <c r="NX13"/>
      <c r="NY13"/>
      <c r="NZ13"/>
      <c r="OA13"/>
      <c r="OB13"/>
      <c r="OC13"/>
      <c r="OD13"/>
      <c r="OE13"/>
      <c r="OG13" s="269"/>
      <c r="OH13" s="270"/>
      <c r="OI13" s="270"/>
      <c r="OJ13" s="270"/>
      <c r="OK13" s="270"/>
      <c r="OL13" s="270"/>
      <c r="OM13" s="271"/>
      <c r="ON13" s="270"/>
      <c r="OO13" s="271"/>
    </row>
    <row r="14" spans="1:412" s="150" customFormat="1" ht="37">
      <c r="A14" s="168">
        <v>7</v>
      </c>
      <c r="B14" s="169" t="str">
        <f>IF(stanza7="","",stanza7)</f>
        <v/>
      </c>
      <c r="C14" s="170" t="str">
        <f>IF(modelloAUTO7="","",modelloAUTO7)</f>
        <v/>
      </c>
      <c r="D14" s="171" t="str">
        <f>IF(pezzi7="","",pezzi7)</f>
        <v/>
      </c>
      <c r="E14" s="172" t="str">
        <f>IF(larghezza7="","",LARGortogonalitaADEGUATA7)</f>
        <v/>
      </c>
      <c r="F14" s="173" t="str">
        <f>IF(altezza7="","",altezza7)</f>
        <v/>
      </c>
      <c r="G14" s="174" t="str">
        <f t="shared" si="0"/>
        <v/>
      </c>
      <c r="H14" s="175" t="str">
        <f>IF(LATOcomAUTO7="","",LATOcomAUTO7)</f>
        <v/>
      </c>
      <c r="I14" s="176" t="str">
        <f>IF(modelloAUTO7="","",IF(vernBarriera7="","",vernBarriera7))</f>
        <v/>
      </c>
      <c r="J14" s="177" t="str">
        <f>IF(modelloAUTO7=$B$2,IF(PELLICOLA7="","",pezzi7),"")</f>
        <v/>
      </c>
      <c r="K14" s="178" t="str">
        <f t="shared" si="1"/>
        <v/>
      </c>
      <c r="M14" s="179" t="str">
        <f>IF(modelloAUTO7=$B$2,IF(PROFlatAUTO7="ESCLUSI","",IF(PROFlatRICH7="","STD",PROFlatRICH7)),"")</f>
        <v/>
      </c>
      <c r="N14" s="180" t="str">
        <f>IF(AND(modelloAUTO7=$B$2,COPERTINAauto7&lt;&gt;""),TIPOcopertina7,"")</f>
        <v/>
      </c>
      <c r="O14" s="181" t="str">
        <f>IF(AND(modelloAUTO7=$B$2,PROFlatAUTO7&lt;&gt;"ESCLUSI"),IF(AND(COPERTINAauto7&lt;&gt;"",ALTprofLATrich7=""),"STD",ALTprofLATrich7*DIECI),"")</f>
        <v/>
      </c>
      <c r="P14" s="176" t="str">
        <f>IF(modelloAUTO7="","",IF(vernPROFlatTEN7="","",vernPROFlatTEN7))</f>
        <v/>
      </c>
      <c r="R14" s="176" t="str">
        <f>IF(PROFoTUBsxRICH7="","",PROFoTUBsxRICH7)</f>
        <v/>
      </c>
      <c r="S14" s="182"/>
      <c r="T14" s="176" t="str">
        <f>IF(modelloAUTO7="","",IF(PROFoTUBdxRICH7="","",PROFoTUBdxRICH7))</f>
        <v/>
      </c>
      <c r="U14" s="182"/>
      <c r="V14" s="183" t="str">
        <f>IF(modelloAUTO7="","",IF(PROFoTUBsxRICH7="","",IF(ALTprofOtubRICHsx7="","SX: STD","SX: "&amp;ALTprofOtubRICHsx7&amp;" - "))&amp;IF(PROFoTUBdxRICH7="","",IF(ALTprofOtubRICHdx7="","  DX: STD","DX :"&amp;ALTprofOtubRICHdx7)))</f>
        <v/>
      </c>
      <c r="W14" s="184" t="str">
        <f>IF(modello7="","",IF(vernPROFoTUBlatSX7="","","SX: "&amp;vernPROFoTUBlatSX7&amp;" - ")&amp;IF(vernPROFoTUBlatDX7="",""," DX: "&amp;vernPROFoTUBlatDX7))</f>
        <v/>
      </c>
      <c r="Y14" s="185" t="str">
        <f>IF(modelloAUTO7="","",IF(OR(larghezza7="",profORIZZ7=""),"",CODpiattoORIZZsugg7))</f>
        <v/>
      </c>
      <c r="Z14" s="186" t="str">
        <f>IF(modelloAUTO7="","",IF(profORIZZ7="","",larghezza7+IF(PROFoTUBsxRICH7="",0,VLOOKUP(PROFoTUBsxRICH7,TABprofOtubLATERALI,COLlargPROFoTUBlat,FALSE))+IF(PROFoTUBdxRICH7="",0,VLOOKUP(PROFoTUBdxRICH7,TABprofOtubLATERALI,COLlargPROFoTUBlat,FALSE))))</f>
        <v/>
      </c>
      <c r="AB14" s="187" t="str">
        <f>IF(modelloAUTO7="","",IF(CODpiantCENTRsugg7="","","N° "&amp;fornPIANTcentr7&amp;"-"&amp;IF(CODpiantCENTRsugg7=0,"ERRORE",CODpiantCENTRsugg7)))</f>
        <v/>
      </c>
      <c r="AC14" s="187" t="str">
        <f>IF(modelloAUTO7="","",IF(CODpiantCENTRsuggAPPOG7="","","N° "&amp;CODpiantCENTRdiAPPOGGIOrich7&amp;"-"&amp;IF(CODpiantCENTRsuggAPPOG7=0,"ERRORE",CODpiantCENTRsuggAPPOG7)))</f>
        <v/>
      </c>
      <c r="AE14" s="188" t="str">
        <f>IF(modelloAUTO7="","",IF(note_cliente7="","",note_cliente7))</f>
        <v/>
      </c>
      <c r="AF14" s="189" t="str">
        <f>IF(PesoTEORICOparatia7="","",PesoTEORICOparatia7)</f>
        <v/>
      </c>
      <c r="AG14" s="190">
        <v>7</v>
      </c>
      <c r="AI14" s="191" t="str">
        <f>IF(modelloAUTO7=$B$2,pezzi7*UNO,"")</f>
        <v/>
      </c>
      <c r="AJ14" s="192" t="str">
        <f>IF(modelloAUTO7=$B$2,larghezza7,"")</f>
        <v/>
      </c>
      <c r="AK14" s="193" t="str">
        <f>IF(modelloAUTO7=$B$2,altezza7,"")</f>
        <v/>
      </c>
      <c r="AL14" s="174" t="str">
        <f t="shared" si="2"/>
        <v/>
      </c>
      <c r="AM14" s="173" t="str">
        <f t="shared" si="3"/>
        <v>DX (di serie)</v>
      </c>
      <c r="AN14" s="194"/>
      <c r="AO14"/>
      <c r="AP14" s="195" t="str">
        <f>IF(modelloAUTO7=$B$2,IF(PROFlatRICH7="",pezzi7*DUE*VLOOKUP($B$2,tabMODELLI,COLprofiliLATdiserie,FALSE),pezzi7*DUE),"")</f>
        <v/>
      </c>
      <c r="AQ14" s="179" t="str">
        <f>IF(modelloAUTO7=$B$2,IF(PROFlatAUTO7="ESCLUSI","",IF(PROFlatRICH7="","STD",PROFlatRICH7)),"")</f>
        <v/>
      </c>
      <c r="AR14" s="196" t="str">
        <f>IF(AND(modelloAUTO7=$B$2,PROFlatAUTO7&lt;&gt;"ESCLUSI"),IF(ALTprofLATrich7="","STD",ALTprofLATrich7*DIECI),"")</f>
        <v/>
      </c>
      <c r="AT14" s="272" t="str">
        <f>IF(modelloAUTO7=$B$2,IF(TIPOcopertina7="","",TIPOcopertina7),"")</f>
        <v/>
      </c>
      <c r="AV14" s="198" t="str">
        <f>IF(modelloAUTO7=$B$2,IF(vernBarriera7="","STD",vernBarriera7),"")</f>
        <v/>
      </c>
      <c r="AX14" s="171" t="str">
        <f>IF(modelloAUTO7=$B$2,IF(PROFoTUBsxRICH7="","",pezzi7),"")</f>
        <v/>
      </c>
      <c r="AY14" s="199" t="str">
        <f>IF(modelloAUTO7=$B$2,IF(PROFoTUBsxRICH7="","",PROFoTUBsxRICH7),"")</f>
        <v/>
      </c>
      <c r="AZ14" s="200" t="str">
        <f>IF(AND(modelloAUTO7=$B$2,PROFoTUBsxRICH7&lt;&gt;""),IF(ALTprofOtubRICHsx7="","STD",ALTprofOtubRICHsx7),"")</f>
        <v/>
      </c>
      <c r="BB14" s="201" t="str">
        <f>IF(modelloAUTO7=$B$2,IF(PROFoTUBsxRICH7="","",IF(vernPROFoTUBlatSX7="","STD",vernPROFoTUBlatSX7)),"")</f>
        <v/>
      </c>
      <c r="BD14" s="171" t="str">
        <f>IF(modelloAUTO7=$B$2,IF(PROFoTUBdxRICH7="","",pezzi7),"")</f>
        <v/>
      </c>
      <c r="BE14" s="202" t="str">
        <f>IF(modelloAUTO7=$B$2,IF(PROFoTUBdxRICH7="","",PROFoTUBdxRICH7),"")</f>
        <v/>
      </c>
      <c r="BF14" s="200" t="str">
        <f>IF(AND(modelloAUTO7=$B$2,PROFoTUBdxRICH7&lt;&gt;""),IF(ALTprofOtubRICHdx7="","STD",ALTprofOtubRICHdx7),"")</f>
        <v/>
      </c>
      <c r="BH14" s="203" t="str">
        <f>IF(modelloAUTO7=$B$2,IF(PROFoTUBdxRICH7="","",IF(vernPROFoTUBlatDX7="","STD",vernPROFoTUBlatDX7)),"")</f>
        <v/>
      </c>
      <c r="BJ14" s="204" t="str">
        <f>IF(modelloAUTO7=$B$2,IF(profORIZZ7="","",pezzi7),"")</f>
        <v/>
      </c>
      <c r="BK14" s="205" t="str">
        <f>IF(modelloAUTO7=$B$2,IF(profORIZZ7="","",CODpiattoORIZZsugg7),"")</f>
        <v/>
      </c>
      <c r="BL14" s="206" t="str">
        <f>IF(modelloAUTO7=$B$2,IF(profORIZZ7="","",larghezza7*UNO+IF(PROFoTUBsxRICH7="",ZERO,VLOOKUP(PROFoTUBsxRICH7,TABprofOtubLATERALI,COLlargPROFoTUBlat,FALSE))+IF(PROFoTUBdxRICH7="",ZERO,VLOOKUP(PROFoTUBdxRICH7,TABprofOtubLATERALI,COLlargPROFoTUBlat,FALSE))),"")</f>
        <v/>
      </c>
      <c r="BN14" s="207" t="str">
        <f ca="1">IF(modelloAUTO7=$B$2,INDEX(INDIRECT("TABnCHIAVISTELLOvert"&amp;$B$2),rif_alt7,rif_larg7)*pezzi7,"")</f>
        <v/>
      </c>
      <c r="BO14"/>
      <c r="BP14" s="178" t="str">
        <f t="shared" si="4"/>
        <v/>
      </c>
      <c r="BQ14" s="208" t="str">
        <f ca="1">IF(modelloAUTO7=$B$2,INDEX(INDIRECT("TABnMANIGLIEsuperiori"&amp;$B$2),rif_alt7,rif_larg7)+INDEX(INDIRECT("TABnMANIGLIEfrontali"&amp;$B$2),rif_alt7,rif_larg7),"")</f>
        <v/>
      </c>
      <c r="BR14" s="191" t="str">
        <f>IF(modelloAUTO7=$B$2,pezzi7*DUE,"")</f>
        <v/>
      </c>
      <c r="BS14" s="209" t="str">
        <f>IF(modelloAUTO7=$B$2,BQ14*DUE,"")</f>
        <v/>
      </c>
      <c r="BT14" s="209" t="str">
        <f>IF(modelloAUTO7=$B$2,BR14*TRE,"")</f>
        <v/>
      </c>
      <c r="BU14" s="191" t="str">
        <f>IF(modelloAUTO7=$B$2,pezzi7*DUE,"")</f>
        <v/>
      </c>
      <c r="BV14" s="191" t="str">
        <f>IF(modelloAUTO7=$B$2,pezzi7*DUE,"")</f>
        <v/>
      </c>
      <c r="BW14" s="191" t="str">
        <f>IF(modelloAUTO7=$B$2,pezzi7*DUE,"")</f>
        <v/>
      </c>
      <c r="BX14" s="191" t="str">
        <f>IF(modelloAUTO7=$B$2,pezzi7*DUE,"")</f>
        <v/>
      </c>
      <c r="BY14" s="191" t="str">
        <f>IF(modelloAUTO7=$B$2,pezzi7*DUE,"")</f>
        <v/>
      </c>
      <c r="CA14" s="210" t="str">
        <f>IF(modelloAUTO7=$B$2,IF(fornPIANTcentr7="","",fornPIANTcentr7*pezzi7),"")</f>
        <v/>
      </c>
      <c r="CB14" s="210" t="str">
        <f>IF(modelloAUTO7=$B$2,IF(fornPIANTcentr7="","",CODpiantCENTRsugg7),"")</f>
        <v/>
      </c>
      <c r="CD14" s="210" t="str">
        <f>IF(modelloAUTO7=$B$2,IF(CODpiantCENTRsuggAPPOG7="","",CODpiantCENTRdiAPPOGGIOrich7),"")</f>
        <v/>
      </c>
      <c r="CE14" s="210" t="str">
        <f>IF(modelloAUTO7=$B$2,IF(CODpiantCENTRsuggAPPOG7="","",CODpiantCENTRsuggAPPOG7),"")</f>
        <v/>
      </c>
      <c r="CG14" s="273">
        <v>7</v>
      </c>
      <c r="CI14" s="211" t="str">
        <f>IF(modelloAUTO7=$B$2,altezza7*DIECI/FLOOR(VLOOKUP($B$2,tabMODELLI,COLcoefALTdogaSORMONTATAda200,FALSE),UNO)*pezzi7,"")</f>
        <v/>
      </c>
      <c r="CJ14" s="212" t="str">
        <f>IF(modelloAUTO7=$B$2,larghezza7*DIECI-VLOOKUP($B$2,tabMODELLI,COLcoeffTAGLIOdogaOPPURElastraINlarg,FALSE)-VLOOKUP(PROFlatAUTO7,TABprofLATten,COLcoeffCALOdoga,FALSE),"")</f>
        <v/>
      </c>
      <c r="CK14"/>
      <c r="CL14" s="213" t="str">
        <f>IF(modelloAUTO7=$B$2,(altezza7*DIECI/FLOOR(VLOOKUP($B$2,tabMODELLI,COLcoefALTdogaSORMONTATAda200,FALSE),CENTO)-FLOOR(altezza7*DIECI/FLOOR(VLOOKUP($B$2,tabMODELLI,COLcoefALTdogaSORMONTATAda200,FALSE),CENTO),UNO))*pezzi7,"")</f>
        <v/>
      </c>
      <c r="CM14" s="214" t="str">
        <f>IF(modelloAUTO7=$B$2,(((altezza7*DIECI-VLOOKUP($B$2,tabMODELLI,COLcoeffCALOtaglioPANNELLObarrieraMONOLITICOoASSEMBLATOInALT,FALSE))/VLOOKUP($B$2,tabMODELLI,colALTnominaleDOGAmm,FALSE)-(FLOOR(altezza7*DIECI/FLOOR(VLOOKUP($B$2,tabMODELLI,COLcoefALTdogaSORMONTATAda200,FALSE),CENTO),UNO)))*(VLOOKUP($B$2,tabMODELLI,colALTnominaleDOGAmm,FALSE))),"")</f>
        <v/>
      </c>
      <c r="CN14" s="203" t="str">
        <f>IF(modelloAUTO7=$B$2,IF(vernBarriera7="","STD",vernBarriera7),"")</f>
        <v/>
      </c>
      <c r="CO14" s="174" t="str">
        <f t="shared" si="5"/>
        <v/>
      </c>
      <c r="CP14" s="215" t="str">
        <f>IF(modelloAUTO7=$B$2,LATOcomAUTO7,"")</f>
        <v/>
      </c>
      <c r="CQ14"/>
      <c r="CR14" s="216" t="str">
        <f>IF(modelloAUTO7=$B$2,pezzi7*UNO,"")</f>
        <v/>
      </c>
      <c r="CS14" s="212" t="str">
        <f>IF(modelloAUTO7=$B$2,altezza7*DIECI+VLOOKUP($B$2,tabMODELLI,COLcoeffTAGLIOPROFILIlateraliEverticaliAttaccatiALLAbarriera,FALSE),"")</f>
        <v/>
      </c>
      <c r="CT14" s="217" t="str">
        <f>IF(modelloAUTO7=$B$2,"|90° 90°|","")</f>
        <v/>
      </c>
      <c r="CU14" s="218"/>
      <c r="CV14" s="219" t="str">
        <f>IF(modelloAUTO7=$B$2,pezzi7*DUE,"")</f>
        <v/>
      </c>
      <c r="CW14" s="220" t="str">
        <f>IF(modelloAUTO7=$B$2,larghezza7*DIECI-VLOOKUP($B$2,tabMODELLI,COLcoeffTAGLIOPROFILIlateraliEverticaliAttaccatiALLAbarriera,FALSE),"")</f>
        <v/>
      </c>
      <c r="CX14" s="217" t="str">
        <f t="shared" si="25"/>
        <v/>
      </c>
      <c r="CY14" s="221"/>
      <c r="CZ14" s="222" t="str">
        <f>IF(modelloAUTO7=$B$2,PROFlatAUTO7,"")</f>
        <v/>
      </c>
      <c r="DA14" s="223" t="str">
        <f>IF(modelloAUTO7=$B$2,pezzi7,"")</f>
        <v/>
      </c>
      <c r="DB14" s="217" t="str">
        <f>IF(modelloAUTO7=$B$2,altezza7*DIECI-VLOOKUP(PROFlatAUTO7,TABprofLATten,COLsfioroPROFtenLATrispettoALvano,FALSE),"")</f>
        <v/>
      </c>
      <c r="DC14" s="217" t="str">
        <f>IF(modelloAUTO7=$B$2,"|90° 45°/","")</f>
        <v/>
      </c>
      <c r="DD14" s="224"/>
      <c r="DE14" s="223" t="str">
        <f>IF(modelloAUTO7=$B$2,pezzi7,"")</f>
        <v/>
      </c>
      <c r="DF14" s="217" t="str">
        <f>IF(modelloAUTO7=$B$2,larghezza7*DIECI-(VLOOKUP(PROFlatAUTO7,TABprofLATten,COLsfioroPROFtenLATrispettoALvano,FALSE)*DUE),"")</f>
        <v/>
      </c>
      <c r="DG14" s="217" t="str">
        <f>IF(modelloAUTO7=$B$2,"\45° 90°|","")</f>
        <v/>
      </c>
      <c r="DH14" s="224"/>
      <c r="DI14" s="223" t="str">
        <f>IF(modelloAUTO7=$B$2,pezzi7,"")</f>
        <v/>
      </c>
      <c r="DJ14" s="217" t="str">
        <f>IF(modelloAUTO7=$B$2,altezza7*DIECI-VLOOKUP(PROFlatAUTO7,TABprofLATten,COLsfioroPROFtenLATrispettoALvano,FALSE),"")</f>
        <v/>
      </c>
      <c r="DK14" s="217" t="str">
        <f>IF(modelloAUTO7=$B$2,"\45° 45°/","")</f>
        <v/>
      </c>
      <c r="DL14" s="225"/>
      <c r="DM14" s="226" t="str">
        <f>IF(modelloAUTO7=$B$2,pezzi7,"")</f>
        <v/>
      </c>
      <c r="DN14" s="226" t="str">
        <f>IF(modelloAUTO7=$B$2,larghezza7*DIECI,"")</f>
        <v/>
      </c>
      <c r="DO14" s="227" t="str">
        <f>IF(modelloAUTO7=$B$2,"|90° 90°|","")</f>
        <v/>
      </c>
      <c r="DP14" s="221"/>
      <c r="DQ14" s="228" t="str">
        <f>IF(modelloAUTO7=$B$2,DIMprimoFOROdalPAVIMENTOperFISSAGGIOprofiloDItenutaLATERALE*DIECI,"")</f>
        <v/>
      </c>
      <c r="DR14" s="228" t="str">
        <f ca="1">IF(modelloAUTO7=$B$2,IF(VLOOKUP(altezza7,INDIRECT("tabNfissaggi"&amp;$B$2),INDIRECT("colNfiSsaggi"&amp;$B$2),TRUE)&lt;DR$6,"",(IF(VLOOKUP(altezza7,INDIRECT("tabNfissaggi"&amp;$B$2),INDIRECT("colNfiSsaggi"&amp;$B$2),FALSE)=DR$6,altezza7*DIECI-DIMprimoFOROdalPAVIMENTOperFISSAGGIOprofiloDItenutaLATERALE,DQ74+(((altezza7*DIECI-DIMprimoFOROdalPAVIMENTOperFISSAGGIOprofiloDItenutaLATERALE*DIECI*DUE))/(VLOOKUP((altezza7),INDIRECT("tabNfissaggi"&amp;$B$2),INDIRECT("colNfiSsaggi"&amp;$B$2),FALSE)-UNO))))),"")</f>
        <v/>
      </c>
      <c r="DS14" s="228" t="str">
        <f ca="1">IF(modelloAUTO7=$B$2,IF(VLOOKUP(altezza7,INDIRECT("tabNfissaggi"&amp;$B$2),INDIRECT("colNfiSsaggi"&amp;$B$2),TRUE)&lt;DS$6,"",(IF(VLOOKUP(altezza7,INDIRECT("tabNfissaggi"&amp;$B$2),INDIRECT("colNfiSsaggi"&amp;$B$2),FALSE)=DS$6,altezza7*DIECI-DIMprimoFOROdalPAVIMENTOperFISSAGGIOprofiloDItenutaLATERALE,DR74+(((altezza7*DIECI-DIMprimoFOROdalPAVIMENTOperFISSAGGIOprofiloDItenutaLATERALE*DIECI*DUE))/(VLOOKUP((altezza7),INDIRECT("tabNfissaggi"&amp;$B$2),INDIRECT("colNfiSsaggi"&amp;$B$2),FALSE)-UNO))))),"")</f>
        <v/>
      </c>
      <c r="DT14" s="228" t="str">
        <f ca="1">IF(modelloAUTO7=$B$2,IF(VLOOKUP(altezza7,INDIRECT("tabNfissaggi"&amp;$B$2),INDIRECT("colNfiSsaggi"&amp;$B$2),TRUE)&lt;DT$6,"",(IF(VLOOKUP(altezza7,INDIRECT("tabNfissaggi"&amp;$B$2),INDIRECT("colNfiSsaggi"&amp;$B$2),FALSE)=DT$6,altezza7*DIECI-DIMprimoFOROdalPAVIMENTOperFISSAGGIOprofiloDItenutaLATERALE,DS74+(((altezza7*DIECI-DIMprimoFOROdalPAVIMENTOperFISSAGGIOprofiloDItenutaLATERALE*DIECI*DUE))/(VLOOKUP((altezza7),INDIRECT("tabNfissaggi"&amp;$B$2),INDIRECT("colNfiSsaggi"&amp;$B$2),FALSE)-UNO))))),"")</f>
        <v/>
      </c>
      <c r="DU14" s="228" t="str">
        <f ca="1">IF(modelloAUTO7=$B$2,IF(VLOOKUP(altezza7,INDIRECT("tabNfissaggi"&amp;$B$2),INDIRECT("colNfiSsaggi"&amp;$B$2),TRUE)&lt;DU$6,"",(IF(VLOOKUP(altezza7,INDIRECT("tabNfissaggi"&amp;$B$2),INDIRECT("colNfiSsaggi"&amp;$B$2),FALSE)=DU$6,altezza7*DIECI-DIMprimoFOROdalPAVIMENTOperFISSAGGIOprofiloDItenutaLATERALE,DT74+(((altezza7*DIECI-DIMprimoFOROdalPAVIMENTOperFISSAGGIOprofiloDItenutaLATERALE*DIECI*DUE))/(VLOOKUP((altezza7),INDIRECT("tabNfissaggi"&amp;$B$2),INDIRECT("colNfiSsaggi"&amp;$B$2),FALSE)-UNO))))),"")</f>
        <v/>
      </c>
      <c r="DV14" s="221"/>
      <c r="DW14" s="229" t="str">
        <f>IF(modelloAUTO7=$B$2,(PRIMOforoNELLantaPARTENDOdaLBASSOclose-VLOOKUP($B$2,tabMODELLI,COLcoeffALTprofiloSogliaRimanenteSOTTOalTELAIOperimetrale,FALSE)),"")</f>
        <v/>
      </c>
      <c r="DX14" s="230" t="str">
        <f>IF(modelloAUTO7=$B$2,DW14+INTERASSSEforiANTAcernieraSAVIOmechanica,"")</f>
        <v/>
      </c>
      <c r="DY14" s="231" t="str">
        <f>IF(modelloAUTO7=$B$2,INDEX(TABforoBASSOcernieraNELLantaCONdogaCLICKRAPIDnellANTACONsavIOMECHANICA,UNO,MATCH(((CJ14)/DUE),TABforoBASSOcernieraNELLantaCONdogaCLICKRAPIDnellANTACONsavIOMECHANICA,UNO)),"")</f>
        <v/>
      </c>
      <c r="DZ14" s="232" t="str">
        <f>IF(modelloAUTO7=$B$2,DY14+INTERASSSEforiANTAcernieraSAVIOmechanica,"")</f>
        <v/>
      </c>
      <c r="EA14" s="231" t="str">
        <f>IF(modelloAUTO7=$B$2,INDEX(TABforoBASSOcernieraNELLantaCONdogaCLICKRAPIDnellANTACONsavIOMECHANICA,UNO,MATCH((CJ14-ALTEZZAcerNIERAcomMPOSTAdalle2aliMECHANICA-altezzaALAcanalinoDA35X35X2),TABforoBASSOcernieraNELLantaCONdogaCLICKRAPIDnellANTACONsavIOMECHANICA,UNO)),"")</f>
        <v/>
      </c>
      <c r="EB14" s="232" t="str">
        <f>IF(modelloAUTO7=$B$2,EA14+INTERASSSEforiANTAcernieraSAVIOmechanica,"")</f>
        <v/>
      </c>
      <c r="EC14" s="233"/>
      <c r="ED14" s="234" t="str">
        <f>IF(modelloAUTO7=$B$2,"a: "&amp;DW14+INTERASSSEforiANTAcernieraSAVIOmechanica/DUE,"")</f>
        <v/>
      </c>
      <c r="EE14" s="234" t="str">
        <f>IF(modelloAUTO7=$B$2,"a: "&amp;DY14+INTERASSSEforiANTAcernieraSAVIOmechanica/DUE,"")</f>
        <v/>
      </c>
      <c r="EF14" s="234" t="str">
        <f>IF(modelloAUTO7=$B$2,"a: "&amp;EA14+INTERASSSEforiANTAcernieraSAVIOmechanica/DUE,"")</f>
        <v/>
      </c>
      <c r="EG14"/>
      <c r="EH14" s="235" t="str">
        <f>IF(modelloAUTO7=$B$2,pezzi7,"")</f>
        <v/>
      </c>
      <c r="EI14" s="235" t="str">
        <f>IF(modelloAUTO7=$B$2,INTERASSEforoPERnottolinoDIcomandoMANIGLIAdiCHIUSURAaLEVAclose,"")</f>
        <v/>
      </c>
      <c r="EJ14" s="236" t="str">
        <f>IF(modelloAUTO7=$B$2,ALTCentroNOTTOLINOpartendoDALbassodellaDOGA,"")</f>
        <v/>
      </c>
      <c r="EK14"/>
      <c r="EL14" s="216" t="str">
        <f>IF(modelloAUTO7=$B$2,pezzi7*UNO,"")</f>
        <v/>
      </c>
      <c r="EM14" s="212" t="str">
        <f>IF(modelloAUTO7=$B$2,altezza7*DIECI+VLOOKUP($B$2,tabMODELLI,COLcoeffTAGLIOPROFILOdiAGGANCIOsistemaMODERNA,FALSE),"")</f>
        <v/>
      </c>
      <c r="EN14"/>
      <c r="EO14" s="216" t="str">
        <f>IF(modelloAUTO7=$B$2,pezzi7*UNO,"")</f>
        <v/>
      </c>
      <c r="EP14" s="212" t="str">
        <f>IF(modelloAUTO7=$B$2,altezza7*DIECI+VLOOKUP($B$2,tabMODELLI,COLcoeffTAGLIOPROFILOdiAGGANCIOsistemaMODERNA,FALSE),"")</f>
        <v/>
      </c>
      <c r="EQ14"/>
      <c r="ER14" s="216" t="str">
        <f>IF(modelloAUTO7=$B$2,pezzi7*UNO,"")</f>
        <v/>
      </c>
      <c r="ES14" s="212" t="str">
        <f>IF(modelloAUTO7=$B$2,altezza7*DIECI+VLOOKUP($B$2,tabMODELLI,COLcoeffTAGLIOPROFILIlateraliEverticaliAttaccatiALLAbarriera,FALSE),"")</f>
        <v/>
      </c>
      <c r="ET14" s="218"/>
      <c r="EU14" s="191" t="str">
        <f>IF(modelloAUTO7=$B$2,IF(PROFlatRICH7="",pezzi7*DUE*VLOOKUP($B$2,tabMODELLI,COLprofiliLATdiserie,FALSE),pezzi7*DUE),"")</f>
        <v/>
      </c>
      <c r="EV14" s="179" t="str">
        <f>IF(modelloAUTO7=$B$2,IF(PROFlatRICH7="","STD",PROFlatRICH7),"")</f>
        <v/>
      </c>
      <c r="EW14" s="275" t="str">
        <f>IF(modelloAUTO7=$B$2,IF(TIPOcopertina7="","",TIPOcopertina7),"")</f>
        <v/>
      </c>
      <c r="EX14" s="238" t="str">
        <f>IF(modelloAUTO7=$B$2,VLOOKUP($B$2,tabMODELLI,COLcoeffALTguarnINFERIOREschiacciata,FALSE)+(VLOOKUP($B$2,tabMODELLI,COLcoefALTdogaREALEda200,FALSE)+(VLOOKUP($B$2,tabMODELLI,COLcoefALTdogaSORMONTATAda200,FALSE)*(CEILING(altezza7*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4" s="218"/>
      <c r="EZ14" s="276" t="str">
        <f ca="1">IF(OR(modelloAUTO7=$B$2,modelloAUTO7=CLICK_RAPIDxPRIVATO),INDEX(INDIRECT("TABnCHIAVISTELLOvert"&amp;$B$2),rif_alt7,rif_larg7)*pezzi7,"")</f>
        <v/>
      </c>
      <c r="FA14" s="240" t="str">
        <f>IF(modelloAUTO7=$B$2,IF(AND(nCatenacci7&lt;&gt;"",profORIZZ7&lt;&gt;""),spessoreCATENACCIOverticale60X75X300,""),"")</f>
        <v/>
      </c>
      <c r="FB14" s="277" t="str">
        <f ca="1">IF(OR(nCatenacci7=0,nCatenacci7="",),"",(CJ14+QUATTRO-(IF(nCatenacci7="",ZERO,SESSANTA*(nCatenacci7/PZCLICK_RAPID7))))/((nCatenacci7/PZCLICK_RAPID7)+UNO))</f>
        <v/>
      </c>
      <c r="FD14" s="242" t="str">
        <f ca="1">IF(modelloAUTO7=$B$2,INDEX(INDIRECT("TABnMANIGLIEsuperiori"&amp;$B$2),rif_alt7,rif_larg7),"")</f>
        <v/>
      </c>
      <c r="FE14" s="243" t="str">
        <f ca="1">IF(modelloAUTO7=$B$2,(larghezza7-CATENACCIOLOorizzontaleINGOMBROclick_rapid-DUE)/INDEX(INDIRECT("TABnMANIGLIEsuperiori"&amp;$B$2),rif_alt7,rif_larg7),"")</f>
        <v/>
      </c>
      <c r="FG14" s="244" t="str">
        <f ca="1">IF(modelloAUTO7=$B$2,INDEX(INDIRECT("TABnMANIGLIEfrontali"&amp;$B$2),rif_alt7,rif_larg7),"")</f>
        <v/>
      </c>
      <c r="FH14"/>
      <c r="FI14" s="245">
        <f>((larghezza7*DIECI-COEFFlargCOMPLESSIVAdelKITcerniere_GANCIOassemblato))</f>
        <v>-261</v>
      </c>
      <c r="FJ14" s="245">
        <f t="shared" si="17"/>
        <v>19.453363192402126</v>
      </c>
      <c r="FK14" s="245">
        <f t="shared" si="18"/>
        <v>0.4001326</v>
      </c>
      <c r="FL14" s="246">
        <f>(altezza7+TREDICI/DIECI)/CENTO*(CERNIERA_TUBOLARE_MODERNA+CERNIERA_APERTA_MODERNA+UNCINO)+(altezza7/(VLOOKUP($B$2,tabMODELLI,COLcoefALTdogaSORMONTATAda200,FALSE)/DIECI)*COEFFdogaINSERITAnellaCERNIERAaertaFINOallaFINEdelGANCIO*VLOOKUP($B$2,tabMODELLI,COLpesoALKGmlDOGA,FALSE))</f>
        <v>9.6758999999999998E-2</v>
      </c>
      <c r="FM14" s="247"/>
      <c r="FN14" s="247">
        <f>altezza7/(VLOOKUP($B$2,tabMODELLI,COLcoefALTdogaSORMONTATAda200,FALSE)/DIECI)*((((larghezza7-(COEFFlargCOMPLESSIVAdelKITcerniere_GANCIOassemblato/DIECI))/CENTO)*VLOOKUP($B$2,tabMODELLI,COLpesoALKGmlDOGA,FALSE)))</f>
        <v>0</v>
      </c>
      <c r="FO14" s="247">
        <f>larghezza7/CENTO*PESOguarnORIZZmodernaKG\ML</f>
        <v>0</v>
      </c>
      <c r="FP14" s="247">
        <f>(altezza7/(VLOOKUP($B$2,tabMODELLI,COLcoefALTdogaSORMONTATAda200,FALSE)/DIECI)-UNO)*((((larghezza7-(COEFFlargCOMPLESSIVAdelKITcerniere_GANCIOassemblato/DIECI))/CENTO)*pesoALmlDOPPIAsiliconaturaINunaDOGA))</f>
        <v>0.1827</v>
      </c>
      <c r="FQ14" s="247">
        <f>(altezza7/CENTO*H_MODERNA)</f>
        <v>0</v>
      </c>
      <c r="FR14" s="248">
        <f t="shared" si="21"/>
        <v>0.33979579999999998</v>
      </c>
      <c r="FS14" s="248">
        <f t="shared" si="22"/>
        <v>-7.2599999999999998E-2</v>
      </c>
      <c r="FT14" s="249">
        <f t="shared" si="26"/>
        <v>-4.2183908045977011E-4</v>
      </c>
      <c r="FU14" s="249">
        <f t="shared" si="27"/>
        <v>0.1101</v>
      </c>
      <c r="FV14" s="249">
        <f t="shared" si="28"/>
        <v>-0.22969579999999998</v>
      </c>
      <c r="FW14" s="249">
        <f t="shared" si="23"/>
        <v>9.689466505747125E-5</v>
      </c>
      <c r="FX14" s="246">
        <f t="shared" si="29"/>
        <v>0.33979579999999998</v>
      </c>
      <c r="FY14" s="250">
        <f t="shared" si="24"/>
        <v>-824.51038266936757</v>
      </c>
      <c r="FZ14"/>
      <c r="GA14" s="251"/>
      <c r="GB14" s="251"/>
      <c r="GC14" s="251"/>
      <c r="GD14" s="251"/>
      <c r="GE14" s="251"/>
      <c r="GF14" s="251"/>
      <c r="GG14" s="251"/>
      <c r="GI14" s="252" t="str">
        <f>IF(modelloAUTO7=$B$2,IF(PROFlatRICH7="",pezzi7*UNO*VLOOKUP($B$2,tabMODELLI,COLnMANIGLIAasportabile,FALSE),pezzi7*UNO),"")</f>
        <v/>
      </c>
      <c r="GJ14" s="252" t="str">
        <f>IF(modelloAUTO7=$B$2,pezzi7*DUE,"")</f>
        <v/>
      </c>
      <c r="GK14" s="252" t="str">
        <f>IF(modelloAUTO7=$B$2,pezzi7*UNO,"")</f>
        <v/>
      </c>
      <c r="GL14" s="253" t="str">
        <f>IF(modelloAUTO7=$B$2,IF(SYSTEMantiFURTO7&lt;&gt;"",VLOOKUP($B$2,TABsistemaANTIFURTO,COLusoVITEdISERIE,FALSE),pezzi7),"")</f>
        <v/>
      </c>
      <c r="GM14" s="252" t="str">
        <f>IF(modelloAUTO7=$B$2,pezzi7*UNO,"")</f>
        <v/>
      </c>
      <c r="GN14" s="252" t="str">
        <f>IF(modelloAUTO7=$B$2,NmaniglieDItrasporto7*DUE,"")</f>
        <v/>
      </c>
      <c r="GO14" s="254" t="str">
        <f>IF(modelloAUTO7=$B$2,pezzi7*QUINDICI,"")</f>
        <v/>
      </c>
      <c r="GP14" s="254" t="str">
        <f>IF(modelloAUTO7=$B$2,pezzi7*DUE,"")</f>
        <v/>
      </c>
      <c r="GQ14" s="254" t="str">
        <f>IF(modelloAUTO7=$B$2,pezzi7*DUE,"")</f>
        <v/>
      </c>
      <c r="GR14" s="254" t="str">
        <f>IF(modelloAUTO7=$B$2,pezzi7*UNO,"")</f>
        <v/>
      </c>
      <c r="GS14" s="254" t="str">
        <f>IF(modelloAUTO7=$B$2,pezzi7*DUE,"")</f>
        <v/>
      </c>
      <c r="GT14" s="254" t="str">
        <f>IF(modelloAUTO7=$B$2,pezzi7*DUE,"")</f>
        <v/>
      </c>
      <c r="GU14" s="254" t="str">
        <f>IF(modelloAUTO7=$B$2,pezzi7*DUE,"")</f>
        <v/>
      </c>
      <c r="GV14" s="254" t="str">
        <f>IF(modelloAUTO7=$B$2,pezzi7*DUE,"")</f>
        <v/>
      </c>
      <c r="GW14" s="251"/>
      <c r="GX14" s="251"/>
      <c r="GY14" s="251"/>
      <c r="GZ14" s="251"/>
      <c r="HA14" s="251"/>
      <c r="HB14" s="251"/>
      <c r="HC14" s="251"/>
      <c r="HD14" s="251"/>
      <c r="HE14" s="251"/>
      <c r="HF14" s="251"/>
      <c r="HG14" s="251"/>
      <c r="HH14" s="251"/>
      <c r="HI14" s="251"/>
      <c r="HJ14" s="251"/>
      <c r="HK14" s="251"/>
      <c r="HL14" s="251"/>
      <c r="HN14" s="191" t="str">
        <f>IF(modelloAUTO7=$B$2,IF(PROFlatRICH7="",pezzi7*VLOOKUP($B$2,tabMODELLI,COLnGUARNorizzINFERIOREbarriera,FALSE),pezzi7),"")</f>
        <v/>
      </c>
      <c r="HO14" s="193" t="str">
        <f>IF(modelloAUTO7=$B$2,IF(VLOOKUP($B$2,tabMODELLI,COLnGUARNorizzINFERIOREbarriera,FALSE)="","",larghezza7),"")</f>
        <v/>
      </c>
      <c r="HQ14" s="191" t="str">
        <f>IF(modelloAUTO7=$B$2,IF(PROFlatRICH7="",pezzi7*DUE*VLOOKUP($B$2,tabMODELLI,COLnGUARNorizzINTERMEDIEbarriera,FALSE),pezzi7*DUE),"")</f>
        <v/>
      </c>
      <c r="HR14" s="193" t="str">
        <f>IF(modelloAUTO7=$B$2,IF(VLOOKUP($B$2,tabMODELLI,COLnGUARNorizzINTERMEDIEbarriera,FALSE)="","",larghezza7),"")</f>
        <v/>
      </c>
      <c r="HT14" s="191" t="str">
        <f>IF(modelloAUTO7=$B$2,IF(PROFlatRICH7="",pezzi7*UNO*VLOOKUP($B$2,tabMODELLI,COLnGUARNvertBARRIERA,FALSE),pezzi7*UNO),"")</f>
        <v/>
      </c>
      <c r="HU14" s="193" t="str">
        <f>IF(modelloAUTO7=$B$2,IF(VLOOKUP($B$2,tabMODELLI,COLnGUARNvertBARRIERA,FALSE)="","",altezza7),"")</f>
        <v/>
      </c>
      <c r="HV14"/>
      <c r="HW14" s="191" t="str">
        <f>IF(modelloAUTO7=$B$2,IF(PROFlatRICH7="",pezzi7*VLOOKUP($B$2,tabMODELLI,COLnTAPPIdiGIUNZIONEguarnORIZZconVERT,FALSE),pezzi7),"")</f>
        <v/>
      </c>
      <c r="HX14"/>
      <c r="HY14" s="191" t="str">
        <f>IF(modelloAUTO7=$B$2,IF(PROFlatRICH7="",pezzi7*VLOOKUP($B$2,tabMODELLI,COLnGUARNorizzPROFILOdiTENUTAlaterale,FALSE),pezzi7),"")</f>
        <v/>
      </c>
      <c r="HZ14" s="193" t="str">
        <f>IF(modelloAUTO7=$B$2,IF(VLOOKUP($B$2,tabMODELLI,COLnGUARNorizzPROFILOdiTENUTAlaterale,FALSE)="","",altezza7),"")</f>
        <v/>
      </c>
      <c r="IA14"/>
      <c r="IB14" s="191" t="str">
        <f>IF(modelloAUTO7=$B$2,IF(PROFlatRICH7="",pezzi7*VLOOKUP($B$2,tabMODELLI,COLnGUARNvertPROFILOdiTENUTAlaterale,FALSE),pezzi7),"")</f>
        <v/>
      </c>
      <c r="IC14" s="193" t="str">
        <f>IF(modelloAUTO7=$B$2,IF(VLOOKUP($B$2,tabMODELLI,COLnGUARNvertPROFILOdiTENUTAlaterale,FALSE)="","",altezza7),"")</f>
        <v/>
      </c>
      <c r="ID14"/>
      <c r="IE14" s="191" t="str">
        <f>IF(modelloAUTO7=$B$2,IF(PROFlatRICH7="",pezzi7*VLOOKUP($B$2,tabMODELLI,COLnPROFILIinNYLON,FALSE),pezzi7),"")</f>
        <v/>
      </c>
      <c r="IF14" s="193" t="str">
        <f>IF(modelloAUTO7=$B$2,IF(VLOOKUP($B$2,tabMODELLI,COLnPROFILIinNYLON,FALSE)="","",altezza7),"")</f>
        <v/>
      </c>
      <c r="IH14" s="171" t="str">
        <f>IF(modelloAUTO7=$B$2,IF(PROFoTUBsxRICH7="","",pezzi7),"")</f>
        <v/>
      </c>
      <c r="II14" s="199" t="str">
        <f>IF(modelloAUTO7=$B$2,IF(PROFoTUBsxRICH7="","",PROFoTUBsxRICH7),"")</f>
        <v/>
      </c>
      <c r="IJ14" s="257" t="str">
        <f>IF(AND(modelloAUTO7=$B$2,PROFoTUBsxRICH7&lt;&gt;""),IF(ALTprofOtubRICHsx7="","STD",ALTprofOtubRICHsx7*DIECI),"")</f>
        <v/>
      </c>
      <c r="IL14" s="201" t="str">
        <f>IF(modelloAUTO7=$B$2,IF(PROFoTUBsxRICH7="","",IF(vernPROFoTUBlatSX7="","STD",vernPROFoTUBlatSX7)),"")</f>
        <v/>
      </c>
      <c r="IN14" s="171" t="str">
        <f>IF(modelloAUTO7=$B$2,IF(PROFoTUBdxRICH7="","",pezzi7),"")</f>
        <v/>
      </c>
      <c r="IO14" s="202" t="str">
        <f>IF(modelloAUTO7=$B$2,IF(PROFoTUBdxRICH7="","",PROFoTUBdxRICH7),"")</f>
        <v/>
      </c>
      <c r="IP14" s="257" t="str">
        <f>IF(AND(modelloAUTO7=$B$2,PROFoTUBdxRICH7&lt;&gt;""),IF(ALTprofOtubRICHdx7="","STD",ALTprofOtubRICHdx7*DIECI),"")</f>
        <v/>
      </c>
      <c r="IR14" s="203" t="str">
        <f>IF(modelloAUTO7=$B$2,IF(PROFoTUBdxRICH7="","",IF(vernPROFoTUBlatDX7="","STD",vernPROFoTUBlatDX7)),"")</f>
        <v/>
      </c>
      <c r="IT14" s="204" t="str">
        <f>IF(modelloAUTO7=$B$2,IF(profORIZZ7="","",pezzi7),"")</f>
        <v/>
      </c>
      <c r="IU14" s="205" t="str">
        <f>IF(modelloAUTO7=$B$2,IF(profORIZZ7="","",CODpiattoORIZZsugg7),"")</f>
        <v/>
      </c>
      <c r="IV14" s="206" t="str">
        <f>IF(modelloAUTO7=$B$2,IF(profORIZZ7="","",larghezza7*DIECI+IF(PROFoTUBsxRICH7="",ZERO,VLOOKUP(PROFoTUBsxRICH7,TABprofOtubLATERALI,COLlargPROFoTUBlat,FALSE))+IF(PROFoTUBdxRICH7="",ZERO,VLOOKUP(PROFoTUBdxRICH7,TABprofOtubLATERALI,COLlargPROFoTUBlat,FALSE))),"")</f>
        <v/>
      </c>
      <c r="IW14"/>
      <c r="IX14" s="168">
        <v>7</v>
      </c>
      <c r="IY14" s="258" t="str">
        <f>IF(AND(modelloAUTO7=$B$2,SYSTEMantiFURTO7&lt;&gt;""),VLOOKUP($B$2,TABsistemaANTIFURTO,COLlucchetto,FALSE),"")</f>
        <v/>
      </c>
      <c r="IZ14" s="258" t="str">
        <f>IF(AND(modelloAUTO7=$B$2,SYSTEMantiFURTO7&lt;&gt;""),VLOOKUP($B$2,TABsistemaANTIFURTO,COLaccessorioANTIFURTO2,FALSE),"")</f>
        <v/>
      </c>
      <c r="JA14" s="258" t="str">
        <f>IF(AND(modelloAUTO7=$B$2,SYSTEMantiFURTO7&lt;&gt;""),VLOOKUP($B$2,TABsistemaANTIFURTO,COLaccessorioANTIFURTO,FALSE),"")</f>
        <v/>
      </c>
      <c r="JB14" s="258" t="str">
        <f>IF(AND(modelloAUTO7=$B$2,SYSTEMantiFURTO7&lt;&gt;""),VLOOKUP($B$2,TABsistemaANTIFURTO,COLviteSPECIALExANTIFURTO,FALSE),"")</f>
        <v/>
      </c>
      <c r="JC14" s="258" t="str">
        <f>IF(AND(modelloAUTO7=$B$2,SYSTEMantiFURTO7&lt;&gt;""),VLOOKUP($B$2,TABsistemaANTIFURTO,COLlavorazioneXantifurto,FALSE),"")</f>
        <v/>
      </c>
      <c r="JD14"/>
      <c r="JE14"/>
      <c r="JF14"/>
      <c r="JG14"/>
      <c r="JH14"/>
      <c r="JI14"/>
      <c r="JJ14"/>
      <c r="JK14"/>
      <c r="JL14"/>
      <c r="JM14"/>
      <c r="JN14"/>
      <c r="JO14"/>
      <c r="JP14"/>
      <c r="JQ14"/>
      <c r="JR14"/>
      <c r="JS14"/>
      <c r="JT14"/>
      <c r="JU14"/>
      <c r="JV14"/>
      <c r="JW14"/>
      <c r="JX14" s="168">
        <v>7</v>
      </c>
      <c r="JY14" s="210" t="str">
        <f>IF(modelloAUTO7=$B$2,IF(fornPIANTcentr7="","",fornPIANTcentr7*pezzi7),"")</f>
        <v/>
      </c>
      <c r="JZ14" s="210" t="str">
        <f>IF(modelloAUTO7=$B$2,IF(fornPIANTcentr7="","",CODpiantCENTRsugg7),"")</f>
        <v/>
      </c>
      <c r="KB14" s="210" t="str">
        <f>IF(modelloAUTO7=$B$2,IF(CODpiantCENTRsuggAPPOG7="","",CODpiantCENTRdiAPPOGGIOrich7),"")</f>
        <v/>
      </c>
      <c r="KC14" s="210" t="str">
        <f>IF(modelloAUTO7=$B$2,IF(CODpiantCENTRsuggAPPOG7="","",CODpiantCENTRsuggAPPOG7),"")</f>
        <v/>
      </c>
      <c r="KP14" s="168">
        <v>7</v>
      </c>
      <c r="KQ14" s="259" t="str">
        <f>IF(AND(modelloAUTO7=$B$2,VLOOKUP($B$2,tabMODELLI,COLcoeffPOSSIBILITApellicolaADESIVA,FALSE)=UNO),IF(PELLICOLA7="","",pezzi7),"")</f>
        <v/>
      </c>
      <c r="KR14" s="236" t="str">
        <f>IF(AND(modelloAUTO7=$B$2,VLOOKUP($B$2,tabMODELLI,COLcoeffPOSSIBILITApellicolaADESIVA,FALSE)=UNO),IF(PELLICOLA7="","",larghezza7*DIECI-(VLOOKUP($B$2,tabMODELLI,COLcoeffPELLICOLAadesivaLARG,FALSE))),"")</f>
        <v/>
      </c>
      <c r="KS14" s="236" t="str">
        <f>IF(AND(modelloAUTO7=$B$2,VLOOKUP($B$2,tabMODELLI,COLcoeffPOSSIBILITApellicolaADESIVA,FALSE)=UNO),IF(PELLICOLA7="","",altezza7*DIECI-(VLOOKUP($B$2,tabMODELLI,COLcoeffPELLICOLAadesivaLARG,FALSE))),"")</f>
        <v/>
      </c>
      <c r="MA14" s="168">
        <v>7</v>
      </c>
      <c r="MB14" s="260" t="str">
        <f>IF(modelloAUTO7=$B$2,stanza7,"")</f>
        <v/>
      </c>
      <c r="MC14" s="168">
        <v>7</v>
      </c>
      <c r="MD14" s="230" t="str">
        <f>IF(modelloAUTO7=$B$2,larghezza7*DIECI+4+VLOOKUP($B$2,tabMODELLI,COLcoefAUMlargBUSTApvc,FALSE)+VLOOKUP($B$2,tabMODELLI,COLcoefAUMlargXprofILIlateraliBUSTApvc,FALSE)+IF(PROFoTUBsxRICH7="",ZERO,VLOOKUP(PROFoTUBsxRICH7,TABprofOtubLATERALI,COLlargPROFoTUBlatXimballaggio,FALSE)+profELETTRODOsaldaturaPVC)+IF(PROFoTUBdxRICH7="",ZERO,VLOOKUP(PROFoTUBdxRICH7,TABprofOtubLATERALI,COLlargPROFoTUBlatXimballaggio,FALSE)+profELETTRODOsaldaturaPVC),"")</f>
        <v/>
      </c>
      <c r="ME14" s="230" t="str">
        <f>IF(modelloAUTO7=$B$2,altezza7*DIECI*DUE+VLOOKUP($B$2,tabMODELLI,COLcoefAUMaltBUSTApvc,FALSE),"")</f>
        <v/>
      </c>
      <c r="MF14" s="261"/>
      <c r="MG14" s="230" t="str">
        <f>IF(modelloAUTO7=$B$2,altezza7*DIECI+VLOOKUP($B$2,tabMODELLI,COLcoeffSALDATURAinALTbustaPVC,FALSE),"")</f>
        <v/>
      </c>
      <c r="MH14" s="230" t="str">
        <f>IF(modelloAUTO7=$B$2,VLOOKUP($B$2,tabMODELLI,COLcoeffSALDATURAinLARGperTASCAbustaPVC,FALSE),"")</f>
        <v/>
      </c>
      <c r="MI14" s="230" t="str">
        <f>IF(modelloAUTO7=$B$2,IF(PROFoTUBsxRICH7="","",VLOOKUP(PROFoTUBsxRICH7,TABprofOtubLATERALI,COLlargPROFoTUBlatXimballaggio,FALSE)),"")</f>
        <v/>
      </c>
      <c r="MJ14" s="230" t="str">
        <f>IF(modelloAUTO7=$B$2,IF(PROFoTUBdxRICH7="","",VLOOKUP(PROFoTUBdxRICH7,TABprofOtubLATERALI,COLlargPROFoTUBlatXimballaggio,FALSE)),"")</f>
        <v/>
      </c>
      <c r="ML14" s="262" t="str">
        <f>IF(modelloAUTO7=$B$2,pezzi7*DUE,"")</f>
        <v/>
      </c>
      <c r="MM14" s="263" t="str">
        <f>IF(modelloAUTO7=$B$2,larghezza7+VLOOKUP($B$2,tabMODELLI,COLcoeffAUMoCALOinLARGpolistirolo,FALSE),"")</f>
        <v/>
      </c>
      <c r="MN14" s="263" t="str">
        <f>IF(modelloAUTO7=$B$2,altezza7+VLOOKUP($B$2,tabMODELLI,COLcoeffAUMoCALOinALTpolistirolo,FALSE),"")</f>
        <v/>
      </c>
      <c r="MO14"/>
      <c r="MP14" s="264" t="str">
        <f>IF(modelloAUTO7=$B$2,IF(VLOOKUP($B$2,tabMODELLI,COLcoeffAUMoCALOinLARGprofiloAu,FALSE)="",pezzi7*DUE,pezzi7*UNO),"")</f>
        <v/>
      </c>
      <c r="MQ14" s="265" t="str">
        <f>IF(modelloAUTO7=$B$2,VLOOKUP($B$2,tabMODELLI,COLdimStdSTRISCIAdelFIANCOxLARG1polistirolo,FALSE),"")</f>
        <v/>
      </c>
      <c r="MR14" s="263" t="str">
        <f>IF(modelloAUTO7=$B$2,larghezza7+VLOOKUP($B$2,tabMODELLI,colCOEFFdellaLARGnelFIANCOpolistirolo,FALSE),"")</f>
        <v/>
      </c>
      <c r="MT14" s="262" t="str">
        <f>IF(modelloAUTO7=$B$2,IF(VLOOKUP($B$2,tabMODELLI,COLdimstdSTRISCIAdelFIANCOxALT2polistirolo,FALSE)="",pezzi7*DUE,pezzi7),"")</f>
        <v/>
      </c>
      <c r="MU14" s="265" t="str">
        <f>IF(modelloAUTO7=$B$2,VLOOKUP($B$2,tabMODELLI,COLdimstdSTRISCIAdelFIANCOxALT1polistirolo,FALSE),"")</f>
        <v/>
      </c>
      <c r="MV14" s="263" t="str">
        <f>IF(modelloAUTO7=$B$2,altezza7+VLOOKUP($B$2,tabMODELLI,colCOEFFdellaALTnelFIANCOpolistirolo,FALSE),"")</f>
        <v/>
      </c>
      <c r="MX14" s="266" t="str">
        <f>IF(modelloAUTO7=$B$2,IF(VLOOKUP($B$2,tabMODELLI,COLdimstdSTRISCIAdelFIANCOxALT2polistirolo,FALSE)="","",pezzi7*UNO),"")</f>
        <v/>
      </c>
      <c r="MY14" s="267" t="str">
        <f>IF(modelloAUTO7=$B$2,IF(VLOOKUP($B$2,tabMODELLI,COLdimstdSTRISCIAdelFIANCOxALT2polistirolo,FALSE)="","",VLOOKUP($B$2,tabMODELLI,COLdimstdSTRISCIAdelFIANCOxALT2polistirolo,FALSE)),"")</f>
        <v/>
      </c>
      <c r="MZ14" s="263" t="str">
        <f>IF(modelloAUTO7=$B$2,altezza7+VLOOKUP($B$2,tabMODELLI,colCOEFFdellaALTnelFIANCOpolistirolo,FALSE),"")</f>
        <v/>
      </c>
      <c r="NB14" s="266" t="str">
        <f>IF(modelloAUTO7=$B$2,IF(VLOOKUP($B$2,tabMODELLI,COLcoeffAUMoCALOinLARGprofiloAu,FALSE)="","",pezzi7*UNO),"")</f>
        <v/>
      </c>
      <c r="NC14" s="216" t="str">
        <f>IF(modelloAUTO7=$B$2,IF(VLOOKUP($B$2,tabMODELLI,COLcoeffAUMoCALOinLARGprofiloAu,FALSE)="","",larghezza7+VLOOKUP($B$2,tabMODELLI,COLcoeffAUMoCALOinLARGprofiloAu,FALSE)),"")</f>
        <v/>
      </c>
      <c r="ND14" s="191" t="str">
        <f>IF(modelloAUTO7=$B$2,IF(VLOOKUP($B$2,tabMODELLI,COLcoeffAUMoCALOinLARGprofiloAu,FALSE)="","",VLOOKUP($B$2,tabMODELLI,COLdimstdSTRISCIAdelFIANCOxALT1polistirolo,FALSE)),"")</f>
        <v/>
      </c>
      <c r="NE14"/>
      <c r="NI14" s="168">
        <v>7</v>
      </c>
      <c r="NJ14" s="171" t="str">
        <f>IF(pezzi7="","",pezzi7)</f>
        <v/>
      </c>
      <c r="NK14" s="170" t="str">
        <f>IF(modelloAUTO7="","",modelloAUTO7)</f>
        <v/>
      </c>
      <c r="NL14" s="172" t="str">
        <f>IF(larghezza7="","",LARGortogonalitaADEGUATA7)</f>
        <v/>
      </c>
      <c r="NM14" s="173" t="str">
        <f>IF(altezza7="","",altezza7)</f>
        <v/>
      </c>
      <c r="NO14" s="189" t="str">
        <f>IF(PesoTEORICOparatia7="","",PesoTEORICOparatia7)</f>
        <v/>
      </c>
      <c r="NR14"/>
      <c r="NS14"/>
      <c r="NT14"/>
      <c r="NU14"/>
      <c r="NV14"/>
      <c r="NW14"/>
      <c r="NX14"/>
      <c r="NY14"/>
      <c r="NZ14"/>
      <c r="OA14"/>
      <c r="OB14"/>
      <c r="OC14"/>
      <c r="OD14"/>
      <c r="OE14"/>
      <c r="OG14" s="269"/>
      <c r="OH14" s="270"/>
      <c r="OI14" s="270"/>
      <c r="OJ14" s="270"/>
      <c r="OK14" s="270"/>
      <c r="OL14" s="270"/>
      <c r="OM14" s="271"/>
      <c r="ON14" s="270"/>
      <c r="OO14" s="271"/>
    </row>
    <row r="15" spans="1:412" s="150" customFormat="1" ht="37">
      <c r="A15" s="168">
        <v>8</v>
      </c>
      <c r="B15" s="169" t="str">
        <f>IF(stanza8="","",stanza8)</f>
        <v/>
      </c>
      <c r="C15" s="170" t="str">
        <f>IF(modelloAUTO8="","",modelloAUTO8)</f>
        <v/>
      </c>
      <c r="D15" s="171" t="str">
        <f>IF(pezzi8="","",pezzi8)</f>
        <v/>
      </c>
      <c r="E15" s="172" t="str">
        <f>IF(larghezza8="","",LARGortogonalitaADEGUATA8)</f>
        <v/>
      </c>
      <c r="F15" s="173" t="str">
        <f>IF(altezza8="","",altezza8)</f>
        <v/>
      </c>
      <c r="G15" s="174" t="str">
        <f t="shared" si="0"/>
        <v/>
      </c>
      <c r="H15" s="175" t="str">
        <f>IF(LATOcomAUTO8="","",LATOcomAUTO8)</f>
        <v/>
      </c>
      <c r="I15" s="176" t="str">
        <f>IF(modelloAUTO8="","",IF(vernBarriera8="","",vernBarriera8))</f>
        <v/>
      </c>
      <c r="J15" s="177" t="str">
        <f>IF(modelloAUTO8=$B$2,IF(PELLICOLA8="","",pezzi8),"")</f>
        <v/>
      </c>
      <c r="K15" s="178" t="str">
        <f t="shared" si="1"/>
        <v/>
      </c>
      <c r="M15" s="179" t="str">
        <f>IF(modelloAUTO8=$B$2,IF(PROFlatAUTO8="ESCLUSI","",IF(PROFlatRICH8="","STD",PROFlatRICH8)),"")</f>
        <v/>
      </c>
      <c r="N15" s="180" t="str">
        <f>IF(AND(modelloAUTO8=$B$2,COPERTINAauto8&lt;&gt;""),TIPOcopertina8,"")</f>
        <v/>
      </c>
      <c r="O15" s="181" t="str">
        <f>IF(AND(modelloAUTO8=$B$2,PROFlatAUTO8&lt;&gt;"ESCLUSI"),IF(AND(COPERTINAauto8&lt;&gt;"",ALTprofLATrich8=""),"STD",ALTprofLATrich8*DIECI),"")</f>
        <v/>
      </c>
      <c r="P15" s="176" t="str">
        <f>IF(modelloAUTO8="","",IF(vernPROFlatTEN8="","",vernPROFlatTEN8))</f>
        <v/>
      </c>
      <c r="R15" s="176" t="str">
        <f>IF(PROFoTUBsxRICH8="","",PROFoTUBsxRICH8)</f>
        <v/>
      </c>
      <c r="S15" s="182"/>
      <c r="T15" s="176" t="str">
        <f>IF(modelloAUTO8="","",IF(PROFoTUBdxRICH8="","",PROFoTUBdxRICH8))</f>
        <v/>
      </c>
      <c r="U15" s="182"/>
      <c r="V15" s="183" t="str">
        <f>IF(modelloAUTO8="","",IF(PROFoTUBsxRICH8="","",IF(ALTprofOtubRICHsx8="","SX: STD","SX: "&amp;ALTprofOtubRICHsx8&amp;" - "))&amp;IF(PROFoTUBdxRICH8="","",IF(ALTprofOtubRICHdx8="","  DX: STD","DX :"&amp;ALTprofOtubRICHdx8)))</f>
        <v/>
      </c>
      <c r="W15" s="184" t="str">
        <f>IF(modello8="","",IF(vernPROFoTUBlatSX8="","","SX: "&amp;vernPROFoTUBlatSX8&amp;" - ")&amp;IF(vernPROFoTUBlatDX8="",""," DX: "&amp;vernPROFoTUBlatDX8))</f>
        <v/>
      </c>
      <c r="Y15" s="185" t="str">
        <f>IF(modelloAUTO8="","",IF(OR(larghezza8="",profORIZZ8=""),"",CODpiattoORIZZsugg8))</f>
        <v/>
      </c>
      <c r="Z15" s="186" t="str">
        <f>IF(modelloAUTO8="","",IF(profORIZZ8="","",larghezza8+IF(PROFoTUBsxRICH8="",0,VLOOKUP(PROFoTUBsxRICH8,TABprofOtubLATERALI,COLlargPROFoTUBlat,FALSE))+IF(PROFoTUBdxRICH8="",0,VLOOKUP(PROFoTUBdxRICH8,TABprofOtubLATERALI,COLlargPROFoTUBlat,FALSE))))</f>
        <v/>
      </c>
      <c r="AB15" s="187" t="str">
        <f>IF(modelloAUTO8="","",IF(CODpiantCENTRsugg8="","","N° "&amp;fornPIANTcentr8&amp;"-"&amp;IF(CODpiantCENTRsugg8=0,"ERRORE",CODpiantCENTRsugg8)))</f>
        <v/>
      </c>
      <c r="AC15" s="187" t="str">
        <f>IF(modelloAUTO8="","",IF(CODpiantCENTRsuggAPPOG8="","","N° "&amp;CODpiantCENTRdiAPPOGGIOrich8&amp;"-"&amp;IF(CODpiantCENTRsuggAPPOG8=0,"ERRORE",CODpiantCENTRsuggAPPOG8)))</f>
        <v/>
      </c>
      <c r="AE15" s="188" t="str">
        <f>IF(modelloAUTO8="","",IF(note_cliente8="","",note_cliente8))</f>
        <v/>
      </c>
      <c r="AF15" s="189" t="str">
        <f>IF(PesoTEORICOparatia8="","",PesoTEORICOparatia8)</f>
        <v/>
      </c>
      <c r="AG15" s="190">
        <v>8</v>
      </c>
      <c r="AI15" s="191" t="str">
        <f>IF(modelloAUTO8=$B$2,pezzi8*UNO,"")</f>
        <v/>
      </c>
      <c r="AJ15" s="192" t="str">
        <f>IF(modelloAUTO8=$B$2,larghezza8,"")</f>
        <v/>
      </c>
      <c r="AK15" s="193" t="str">
        <f>IF(modelloAUTO8=$B$2,altezza8,"")</f>
        <v/>
      </c>
      <c r="AL15" s="174" t="str">
        <f t="shared" si="2"/>
        <v/>
      </c>
      <c r="AM15" s="173" t="str">
        <f t="shared" si="3"/>
        <v>DX (di serie)</v>
      </c>
      <c r="AN15" s="194"/>
      <c r="AO15"/>
      <c r="AP15" s="195" t="str">
        <f>IF(modelloAUTO8=$B$2,IF(PROFlatRICH8="",pezzi8*DUE*VLOOKUP($B$2,tabMODELLI,COLprofiliLATdiserie,FALSE),pezzi8*DUE),"")</f>
        <v/>
      </c>
      <c r="AQ15" s="179" t="str">
        <f>IF(modelloAUTO8=$B$2,IF(PROFlatAUTO8="ESCLUSI","",IF(PROFlatRICH8="","STD",PROFlatRICH8)),"")</f>
        <v/>
      </c>
      <c r="AR15" s="196" t="str">
        <f>IF(AND(modelloAUTO8=$B$2,PROFlatAUTO8&lt;&gt;"ESCLUSI"),IF(ALTprofLATrich8="","STD",ALTprofLATrich8*DIECI),"")</f>
        <v/>
      </c>
      <c r="AT15" s="272" t="str">
        <f>IF(modelloAUTO8=$B$2,IF(TIPOcopertina8="","",TIPOcopertina8),"")</f>
        <v/>
      </c>
      <c r="AV15" s="198" t="str">
        <f>IF(modelloAUTO8=$B$2,IF(vernBarriera8="","STD",vernBarriera8),"")</f>
        <v/>
      </c>
      <c r="AX15" s="171" t="str">
        <f>IF(modelloAUTO8=$B$2,IF(PROFoTUBsxRICH8="","",pezzi8),"")</f>
        <v/>
      </c>
      <c r="AY15" s="199" t="str">
        <f>IF(modelloAUTO8=$B$2,IF(PROFoTUBsxRICH8="","",PROFoTUBsxRICH8),"")</f>
        <v/>
      </c>
      <c r="AZ15" s="200" t="str">
        <f>IF(AND(modelloAUTO8=$B$2,PROFoTUBsxRICH8&lt;&gt;""),IF(ALTprofOtubRICHsx8="","STD",ALTprofOtubRICHsx8),"")</f>
        <v/>
      </c>
      <c r="BB15" s="201" t="str">
        <f>IF(modelloAUTO8=$B$2,IF(PROFoTUBsxRICH8="","",IF(vernPROFoTUBlatSX8="","STD",vernPROFoTUBlatSX8)),"")</f>
        <v/>
      </c>
      <c r="BD15" s="171" t="str">
        <f>IF(modelloAUTO8=$B$2,IF(PROFoTUBdxRICH8="","",pezzi8),"")</f>
        <v/>
      </c>
      <c r="BE15" s="202" t="str">
        <f>IF(modelloAUTO8=$B$2,IF(PROFoTUBdxRICH8="","",PROFoTUBdxRICH8),"")</f>
        <v/>
      </c>
      <c r="BF15" s="200" t="str">
        <f>IF(AND(modelloAUTO8=$B$2,PROFoTUBdxRICH8&lt;&gt;""),IF(ALTprofOtubRICHdx8="","STD",ALTprofOtubRICHdx8),"")</f>
        <v/>
      </c>
      <c r="BH15" s="203" t="str">
        <f>IF(modelloAUTO8=$B$2,IF(PROFoTUBdxRICH8="","",IF(vernPROFoTUBlatDX8="","STD",vernPROFoTUBlatDX8)),"")</f>
        <v/>
      </c>
      <c r="BJ15" s="204" t="str">
        <f>IF(modelloAUTO8=$B$2,IF(profORIZZ8="","",pezzi8),"")</f>
        <v/>
      </c>
      <c r="BK15" s="205" t="str">
        <f>IF(modelloAUTO8=$B$2,IF(profORIZZ8="","",CODpiattoORIZZsugg8),"")</f>
        <v/>
      </c>
      <c r="BL15" s="206" t="str">
        <f>IF(modelloAUTO8=$B$2,IF(profORIZZ8="","",larghezza8*UNO+IF(PROFoTUBsxRICH8="",ZERO,VLOOKUP(PROFoTUBsxRICH8,TABprofOtubLATERALI,COLlargPROFoTUBlat,FALSE))+IF(PROFoTUBdxRICH8="",ZERO,VLOOKUP(PROFoTUBdxRICH8,TABprofOtubLATERALI,COLlargPROFoTUBlat,FALSE))),"")</f>
        <v/>
      </c>
      <c r="BN15" s="207" t="str">
        <f ca="1">IF(modelloAUTO8=$B$2,INDEX(INDIRECT("TABnCHIAVISTELLOvert"&amp;$B$2),rif_alt8,rif_larg8)*pezzi8,"")</f>
        <v/>
      </c>
      <c r="BO15"/>
      <c r="BP15" s="178" t="str">
        <f t="shared" si="4"/>
        <v/>
      </c>
      <c r="BQ15" s="208" t="str">
        <f ca="1">IF(modelloAUTO8=$B$2,INDEX(INDIRECT("TABnMANIGLIEsuperiori"&amp;$B$2),rif_alt8,rif_larg8)+INDEX(INDIRECT("TABnMANIGLIEfrontali"&amp;$B$2),rif_alt8,rif_larg8),"")</f>
        <v/>
      </c>
      <c r="BR15" s="191" t="str">
        <f>IF(modelloAUTO8=$B$2,pezzi8*DUE,"")</f>
        <v/>
      </c>
      <c r="BS15" s="209" t="str">
        <f>IF(modelloAUTO8=$B$2,BQ15*DUE,"")</f>
        <v/>
      </c>
      <c r="BT15" s="209" t="str">
        <f>IF(modelloAUTO8=$B$2,BR15*TRE,"")</f>
        <v/>
      </c>
      <c r="BU15" s="191" t="str">
        <f>IF(modelloAUTO8=$B$2,pezzi8*DUE,"")</f>
        <v/>
      </c>
      <c r="BV15" s="191" t="str">
        <f>IF(modelloAUTO8=$B$2,pezzi8*DUE,"")</f>
        <v/>
      </c>
      <c r="BW15" s="191" t="str">
        <f>IF(modelloAUTO8=$B$2,pezzi8*DUE,"")</f>
        <v/>
      </c>
      <c r="BX15" s="191" t="str">
        <f>IF(modelloAUTO8=$B$2,pezzi8*DUE,"")</f>
        <v/>
      </c>
      <c r="BY15" s="191" t="str">
        <f>IF(modelloAUTO8=$B$2,pezzi8*DUE,"")</f>
        <v/>
      </c>
      <c r="CA15" s="210" t="str">
        <f>IF(modelloAUTO8=$B$2,IF(fornPIANTcentr8="","",fornPIANTcentr8*pezzi8),"")</f>
        <v/>
      </c>
      <c r="CB15" s="210" t="str">
        <f>IF(modelloAUTO8=$B$2,IF(fornPIANTcentr8="","",CODpiantCENTRsugg8),"")</f>
        <v/>
      </c>
      <c r="CD15" s="210" t="str">
        <f>IF(modelloAUTO8=$B$2,IF(CODpiantCENTRsuggAPPOG8="","",CODpiantCENTRdiAPPOGGIOrich8),"")</f>
        <v/>
      </c>
      <c r="CE15" s="210" t="str">
        <f>IF(modelloAUTO8=$B$2,IF(CODpiantCENTRsuggAPPOG8="","",CODpiantCENTRsuggAPPOG8),"")</f>
        <v/>
      </c>
      <c r="CG15" s="273">
        <v>8</v>
      </c>
      <c r="CI15" s="211" t="str">
        <f>IF(modelloAUTO8=$B$2,altezza8*DIECI/FLOOR(VLOOKUP($B$2,tabMODELLI,COLcoefALTdogaSORMONTATAda200,FALSE),UNO)*pezzi8,"")</f>
        <v/>
      </c>
      <c r="CJ15" s="212" t="str">
        <f>IF(modelloAUTO8=$B$2,larghezza8*DIECI-VLOOKUP($B$2,tabMODELLI,COLcoeffTAGLIOdogaOPPURElastraINlarg,FALSE)-VLOOKUP(PROFlatAUTO8,TABprofLATten,COLcoeffCALOdoga,FALSE),"")</f>
        <v/>
      </c>
      <c r="CK15"/>
      <c r="CL15" s="213" t="str">
        <f>IF(modelloAUTO8=$B$2,(altezza8*DIECI/FLOOR(VLOOKUP($B$2,tabMODELLI,COLcoefALTdogaSORMONTATAda200,FALSE),CENTO)-FLOOR(altezza8*DIECI/FLOOR(VLOOKUP($B$2,tabMODELLI,COLcoefALTdogaSORMONTATAda200,FALSE),CENTO),UNO))*pezzi8,"")</f>
        <v/>
      </c>
      <c r="CM15" s="214" t="str">
        <f>IF(modelloAUTO8=$B$2,(((altezza8*DIECI-VLOOKUP($B$2,tabMODELLI,COLcoeffCALOtaglioPANNELLObarrieraMONOLITICOoASSEMBLATOInALT,FALSE))/VLOOKUP($B$2,tabMODELLI,colALTnominaleDOGAmm,FALSE)-(FLOOR(altezza8*DIECI/FLOOR(VLOOKUP($B$2,tabMODELLI,COLcoefALTdogaSORMONTATAda200,FALSE),CENTO),UNO)))*(VLOOKUP($B$2,tabMODELLI,colALTnominaleDOGAmm,FALSE))),"")</f>
        <v/>
      </c>
      <c r="CN15" s="203" t="str">
        <f>IF(modelloAUTO8=$B$2,IF(vernBarriera8="","STD",vernBarriera8),"")</f>
        <v/>
      </c>
      <c r="CO15" s="174" t="str">
        <f t="shared" si="5"/>
        <v/>
      </c>
      <c r="CP15" s="215" t="str">
        <f>IF(modelloAUTO8=$B$2,LATOcomAUTO8,"")</f>
        <v/>
      </c>
      <c r="CQ15"/>
      <c r="CR15" s="216" t="str">
        <f>IF(modelloAUTO8=$B$2,pezzi8*UNO,"")</f>
        <v/>
      </c>
      <c r="CS15" s="212" t="str">
        <f>IF(modelloAUTO8=$B$2,altezza8*DIECI+VLOOKUP($B$2,tabMODELLI,COLcoeffTAGLIOPROFILIlateraliEverticaliAttaccatiALLAbarriera,FALSE),"")</f>
        <v/>
      </c>
      <c r="CT15" s="217" t="str">
        <f>IF(modelloAUTO8=$B$2,"|90° 90°|","")</f>
        <v/>
      </c>
      <c r="CU15" s="218"/>
      <c r="CV15" s="219" t="str">
        <f>IF(modelloAUTO8=$B$2,pezzi8*DUE,"")</f>
        <v/>
      </c>
      <c r="CW15" s="220" t="str">
        <f>IF(modelloAUTO8=$B$2,larghezza8*DIECI-VLOOKUP($B$2,tabMODELLI,COLcoeffTAGLIOPROFILIlateraliEverticaliAttaccatiALLAbarriera,FALSE),"")</f>
        <v/>
      </c>
      <c r="CX15" s="217" t="str">
        <f t="shared" si="25"/>
        <v/>
      </c>
      <c r="CY15" s="221"/>
      <c r="CZ15" s="222" t="str">
        <f>IF(modelloAUTO8=$B$2,PROFlatAUTO8,"")</f>
        <v/>
      </c>
      <c r="DA15" s="223" t="str">
        <f>IF(modelloAUTO8=$B$2,pezzi8,"")</f>
        <v/>
      </c>
      <c r="DB15" s="217" t="str">
        <f>IF(modelloAUTO8=$B$2,altezza8*DIECI-VLOOKUP(PROFlatAUTO8,TABprofLATten,COLsfioroPROFtenLATrispettoALvano,FALSE),"")</f>
        <v/>
      </c>
      <c r="DC15" s="217" t="str">
        <f>IF(modelloAUTO8=$B$2,"|90° 45°/","")</f>
        <v/>
      </c>
      <c r="DD15" s="224"/>
      <c r="DE15" s="223" t="str">
        <f>IF(modelloAUTO8=$B$2,pezzi8,"")</f>
        <v/>
      </c>
      <c r="DF15" s="217" t="str">
        <f>IF(modelloAUTO8=$B$2,larghezza8*DIECI-(VLOOKUP(PROFlatAUTO8,TABprofLATten,COLsfioroPROFtenLATrispettoALvano,FALSE)*DUE),"")</f>
        <v/>
      </c>
      <c r="DG15" s="217" t="str">
        <f>IF(modelloAUTO8=$B$2,"\45° 90°|","")</f>
        <v/>
      </c>
      <c r="DH15" s="224"/>
      <c r="DI15" s="223" t="str">
        <f>IF(modelloAUTO8=$B$2,pezzi8,"")</f>
        <v/>
      </c>
      <c r="DJ15" s="217" t="str">
        <f>IF(modelloAUTO8=$B$2,altezza8*DIECI-VLOOKUP(PROFlatAUTO8,TABprofLATten,COLsfioroPROFtenLATrispettoALvano,FALSE),"")</f>
        <v/>
      </c>
      <c r="DK15" s="217" t="str">
        <f>IF(modelloAUTO8=$B$2,"\45° 45°/","")</f>
        <v/>
      </c>
      <c r="DL15" s="225"/>
      <c r="DM15" s="226" t="str">
        <f>IF(modelloAUTO8=$B$2,pezzi8,"")</f>
        <v/>
      </c>
      <c r="DN15" s="226" t="str">
        <f>IF(modelloAUTO8=$B$2,larghezza8*DIECI,"")</f>
        <v/>
      </c>
      <c r="DO15" s="227" t="str">
        <f>IF(modelloAUTO8=$B$2,"|90° 90°|","")</f>
        <v/>
      </c>
      <c r="DP15" s="221"/>
      <c r="DQ15" s="228" t="str">
        <f>IF(modelloAUTO8=$B$2,DIMprimoFOROdalPAVIMENTOperFISSAGGIOprofiloDItenutaLATERALE*DIECI,"")</f>
        <v/>
      </c>
      <c r="DR15" s="228" t="str">
        <f ca="1">IF(modelloAUTO8=$B$2,IF(VLOOKUP(altezza8,INDIRECT("tabNfissaggi"&amp;$B$2),INDIRECT("colNfiSsaggi"&amp;$B$2),TRUE)&lt;DR$6,"",(IF(VLOOKUP(altezza8,INDIRECT("tabNfissaggi"&amp;$B$2),INDIRECT("colNfiSsaggi"&amp;$B$2),FALSE)=DR$6,altezza8*DIECI-DIMprimoFOROdalPAVIMENTOperFISSAGGIOprofiloDItenutaLATERALE,DQ85+(((altezza8*DIECI-DIMprimoFOROdalPAVIMENTOperFISSAGGIOprofiloDItenutaLATERALE*DIECI*DUE))/(VLOOKUP((altezza8),INDIRECT("tabNfissaggi"&amp;$B$2),INDIRECT("colNfiSsaggi"&amp;$B$2),FALSE)-UNO))))),"")</f>
        <v/>
      </c>
      <c r="DS15" s="228" t="str">
        <f ca="1">IF(modelloAUTO8=$B$2,IF(VLOOKUP(altezza8,INDIRECT("tabNfissaggi"&amp;$B$2),INDIRECT("colNfiSsaggi"&amp;$B$2),TRUE)&lt;DS$6,"",(IF(VLOOKUP(altezza8,INDIRECT("tabNfissaggi"&amp;$B$2),INDIRECT("colNfiSsaggi"&amp;$B$2),FALSE)=DS$6,altezza8*DIECI-DIMprimoFOROdalPAVIMENTOperFISSAGGIOprofiloDItenutaLATERALE,DR85+(((altezza8*DIECI-DIMprimoFOROdalPAVIMENTOperFISSAGGIOprofiloDItenutaLATERALE*DIECI*DUE))/(VLOOKUP((altezza8),INDIRECT("tabNfissaggi"&amp;$B$2),INDIRECT("colNfiSsaggi"&amp;$B$2),FALSE)-UNO))))),"")</f>
        <v/>
      </c>
      <c r="DT15" s="228" t="str">
        <f ca="1">IF(modelloAUTO8=$B$2,IF(VLOOKUP(altezza8,INDIRECT("tabNfissaggi"&amp;$B$2),INDIRECT("colNfiSsaggi"&amp;$B$2),TRUE)&lt;DT$6,"",(IF(VLOOKUP(altezza8,INDIRECT("tabNfissaggi"&amp;$B$2),INDIRECT("colNfiSsaggi"&amp;$B$2),FALSE)=DT$6,altezza8*DIECI-DIMprimoFOROdalPAVIMENTOperFISSAGGIOprofiloDItenutaLATERALE,DS85+(((altezza8*DIECI-DIMprimoFOROdalPAVIMENTOperFISSAGGIOprofiloDItenutaLATERALE*DIECI*DUE))/(VLOOKUP((altezza8),INDIRECT("tabNfissaggi"&amp;$B$2),INDIRECT("colNfiSsaggi"&amp;$B$2),FALSE)-UNO))))),"")</f>
        <v/>
      </c>
      <c r="DU15" s="228" t="str">
        <f ca="1">IF(modelloAUTO8=$B$2,IF(VLOOKUP(altezza8,INDIRECT("tabNfissaggi"&amp;$B$2),INDIRECT("colNfiSsaggi"&amp;$B$2),TRUE)&lt;DU$6,"",(IF(VLOOKUP(altezza8,INDIRECT("tabNfissaggi"&amp;$B$2),INDIRECT("colNfiSsaggi"&amp;$B$2),FALSE)=DU$6,altezza8*DIECI-DIMprimoFOROdalPAVIMENTOperFISSAGGIOprofiloDItenutaLATERALE,DT85+(((altezza8*DIECI-DIMprimoFOROdalPAVIMENTOperFISSAGGIOprofiloDItenutaLATERALE*DIECI*DUE))/(VLOOKUP((altezza8),INDIRECT("tabNfissaggi"&amp;$B$2),INDIRECT("colNfiSsaggi"&amp;$B$2),FALSE)-UNO))))),"")</f>
        <v/>
      </c>
      <c r="DV15" s="221"/>
      <c r="DW15" s="229" t="str">
        <f>IF(modelloAUTO8=$B$2,(PRIMOforoNELLantaPARTENDOdaLBASSOclose-VLOOKUP($B$2,tabMODELLI,COLcoeffALTprofiloSogliaRimanenteSOTTOalTELAIOperimetrale,FALSE)),"")</f>
        <v/>
      </c>
      <c r="DX15" s="230" t="str">
        <f>IF(modelloAUTO8=$B$2,DW15+INTERASSSEforiANTAcernieraSAVIOmechanica,"")</f>
        <v/>
      </c>
      <c r="DY15" s="231" t="str">
        <f>IF(modelloAUTO8=$B$2,INDEX(TABforoBASSOcernieraNELLantaCONdogaCLICKRAPIDnellANTACONsavIOMECHANICA,UNO,MATCH(((CJ15)/DUE),TABforoBASSOcernieraNELLantaCONdogaCLICKRAPIDnellANTACONsavIOMECHANICA,UNO)),"")</f>
        <v/>
      </c>
      <c r="DZ15" s="232" t="str">
        <f>IF(modelloAUTO8=$B$2,DY15+INTERASSSEforiANTAcernieraSAVIOmechanica,"")</f>
        <v/>
      </c>
      <c r="EA15" s="231" t="str">
        <f>IF(modelloAUTO8=$B$2,INDEX(TABforoBASSOcernieraNELLantaCONdogaCLICKRAPIDnellANTACONsavIOMECHANICA,UNO,MATCH((CJ15-ALTEZZAcerNIERAcomMPOSTAdalle2aliMECHANICA-altezzaALAcanalinoDA35X35X2),TABforoBASSOcernieraNELLantaCONdogaCLICKRAPIDnellANTACONsavIOMECHANICA,UNO)),"")</f>
        <v/>
      </c>
      <c r="EB15" s="232" t="str">
        <f>IF(modelloAUTO8=$B$2,EA15+INTERASSSEforiANTAcernieraSAVIOmechanica,"")</f>
        <v/>
      </c>
      <c r="EC15" s="233"/>
      <c r="ED15" s="234" t="str">
        <f>IF(modelloAUTO8=$B$2,"a: "&amp;DW15+INTERASSSEforiANTAcernieraSAVIOmechanica/DUE,"")</f>
        <v/>
      </c>
      <c r="EE15" s="234" t="str">
        <f>IF(modelloAUTO8=$B$2,"a: "&amp;DY15+INTERASSSEforiANTAcernieraSAVIOmechanica/DUE,"")</f>
        <v/>
      </c>
      <c r="EF15" s="234" t="str">
        <f>IF(modelloAUTO8=$B$2,"a: "&amp;EA15+INTERASSSEforiANTAcernieraSAVIOmechanica/DUE,"")</f>
        <v/>
      </c>
      <c r="EG15"/>
      <c r="EH15" s="235" t="str">
        <f>IF(modelloAUTO8=$B$2,pezzi8,"")</f>
        <v/>
      </c>
      <c r="EI15" s="235" t="str">
        <f>IF(modelloAUTO8=$B$2,INTERASSEforoPERnottolinoDIcomandoMANIGLIAdiCHIUSURAaLEVAclose,"")</f>
        <v/>
      </c>
      <c r="EJ15" s="236" t="str">
        <f>IF(modelloAUTO8=$B$2,ALTCentroNOTTOLINOpartendoDALbassodellaDOGA,"")</f>
        <v/>
      </c>
      <c r="EK15"/>
      <c r="EL15" s="216" t="str">
        <f>IF(modelloAUTO8=$B$2,pezzi8*UNO,"")</f>
        <v/>
      </c>
      <c r="EM15" s="212" t="str">
        <f>IF(modelloAUTO8=$B$2,altezza8*DIECI+VLOOKUP($B$2,tabMODELLI,COLcoeffTAGLIOPROFILOdiAGGANCIOsistemaMODERNA,FALSE),"")</f>
        <v/>
      </c>
      <c r="EN15"/>
      <c r="EO15" s="216" t="str">
        <f>IF(modelloAUTO8=$B$2,pezzi8*UNO,"")</f>
        <v/>
      </c>
      <c r="EP15" s="212" t="str">
        <f>IF(modelloAUTO8=$B$2,altezza8*DIECI+VLOOKUP($B$2,tabMODELLI,COLcoeffTAGLIOPROFILOdiAGGANCIOsistemaMODERNA,FALSE),"")</f>
        <v/>
      </c>
      <c r="EQ15"/>
      <c r="ER15" s="216" t="str">
        <f>IF(modelloAUTO8=$B$2,pezzi8*UNO,"")</f>
        <v/>
      </c>
      <c r="ES15" s="212" t="str">
        <f>IF(modelloAUTO8=$B$2,altezza8*DIECI+VLOOKUP($B$2,tabMODELLI,COLcoeffTAGLIOPROFILIlateraliEverticaliAttaccatiALLAbarriera,FALSE),"")</f>
        <v/>
      </c>
      <c r="ET15" s="218"/>
      <c r="EU15" s="191" t="str">
        <f>IF(modelloAUTO8=$B$2,IF(PROFlatRICH8="",pezzi8*DUE*VLOOKUP($B$2,tabMODELLI,COLprofiliLATdiserie,FALSE),pezzi8*DUE),"")</f>
        <v/>
      </c>
      <c r="EV15" s="179" t="str">
        <f>IF(modelloAUTO8=$B$2,IF(PROFlatRICH8="","STD",PROFlatRICH8),"")</f>
        <v/>
      </c>
      <c r="EW15" s="275" t="str">
        <f>IF(modelloAUTO8=$B$2,IF(TIPOcopertina8="","",TIPOcopertina8),"")</f>
        <v/>
      </c>
      <c r="EX15" s="238" t="str">
        <f>IF(modelloAUTO8=$B$2,VLOOKUP($B$2,tabMODELLI,COLcoeffALTguarnINFERIOREschiacciata,FALSE)+(VLOOKUP($B$2,tabMODELLI,COLcoefALTdogaREALEda200,FALSE)+(VLOOKUP($B$2,tabMODELLI,COLcoefALTdogaSORMONTATAda200,FALSE)*(CEILING(altezza8*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5" s="218"/>
      <c r="EZ15" s="276" t="str">
        <f ca="1">IF(OR(modelloAUTO8=$B$2,modelloAUTO8=CLICK_RAPIDxPRIVATO),INDEX(INDIRECT("TABnCHIAVISTELLOvert"&amp;$B$2),rif_alt8,rif_larg8)*pezzi8,"")</f>
        <v/>
      </c>
      <c r="FA15" s="240" t="str">
        <f>IF(modelloAUTO8=$B$2,IF(AND(nCatenacci8&lt;&gt;"",profORIZZ8&lt;&gt;""),spessoreCATENACCIOverticale60X85X300,""),"")</f>
        <v/>
      </c>
      <c r="FB15" s="277" t="str">
        <f ca="1">IF(OR(nCatenacci8=0,nCatenacci8="",),"",(CJ15+QUATTRO-(IF(nCatenacci8="",ZERO,SESSANTA*(nCatenacci8/PZCLICK_RAPID8))))/((nCatenacci8/PZCLICK_RAPID8)+UNO))</f>
        <v/>
      </c>
      <c r="FD15" s="242" t="str">
        <f ca="1">IF(modelloAUTO8=$B$2,INDEX(INDIRECT("TABnMANIGLIEsuperiori"&amp;$B$2),rif_alt8,rif_larg8),"")</f>
        <v/>
      </c>
      <c r="FE15" s="243" t="str">
        <f ca="1">IF(modelloAUTO8=$B$2,(larghezza8-CATENACCIOLOorizzontaleINGOMBROclick_rapid-DUE)/INDEX(INDIRECT("TABnMANIGLIEsuperiori"&amp;$B$2),rif_alt8,rif_larg8),"")</f>
        <v/>
      </c>
      <c r="FG15" s="244" t="str">
        <f ca="1">IF(modelloAUTO8=$B$2,INDEX(INDIRECT("TABnMANIGLIEfrontali"&amp;$B$2),rif_alt8,rif_larg8),"")</f>
        <v/>
      </c>
      <c r="FH15"/>
      <c r="FI15" s="245">
        <f>((larghezza8*DIECI-COEFFlargCOMPLESSIVAdelKITcerniere_GANCIOassemblato))</f>
        <v>-261</v>
      </c>
      <c r="FJ15" s="245">
        <f t="shared" si="17"/>
        <v>19.453363192402126</v>
      </c>
      <c r="FK15" s="245">
        <f t="shared" si="18"/>
        <v>0.4001326</v>
      </c>
      <c r="FL15" s="246">
        <f>(altezza8+TREDICI/DIECI)/CENTO*(CERNIERA_TUBOLARE_MODERNA+CERNIERA_APERTA_MODERNA+UNCINO)+(altezza8/(VLOOKUP($B$2,tabMODELLI,COLcoefALTdogaSORMONTATAda200,FALSE)/DIECI)*COEFFdogaINSERITAnellaCERNIERAaertaFINOallaFINEdelGANCIO*VLOOKUP($B$2,tabMODELLI,COLpesoALKGmlDOGA,FALSE))</f>
        <v>9.6758999999999998E-2</v>
      </c>
      <c r="FM15" s="247"/>
      <c r="FN15" s="247">
        <f>altezza8/(VLOOKUP($B$2,tabMODELLI,COLcoefALTdogaSORMONTATAda200,FALSE)/DIECI)*((((larghezza8-(COEFFlargCOMPLESSIVAdelKITcerniere_GANCIOassemblato/DIECI))/CENTO)*VLOOKUP($B$2,tabMODELLI,COLpesoALKGmlDOGA,FALSE)))</f>
        <v>0</v>
      </c>
      <c r="FO15" s="247">
        <f>larghezza8/CENTO*PESOguarnORIZZmodernaKG\ML</f>
        <v>0</v>
      </c>
      <c r="FP15" s="247">
        <f>(altezza8/(VLOOKUP($B$2,tabMODELLI,COLcoefALTdogaSORMONTATAda200,FALSE)/DIECI)-UNO)*((((larghezza8-(COEFFlargCOMPLESSIVAdelKITcerniere_GANCIOassemblato/DIECI))/CENTO)*pesoALmlDOPPIAsiliconaturaINunaDOGA))</f>
        <v>0.1827</v>
      </c>
      <c r="FQ15" s="247">
        <f>(altezza8/CENTO*H_MODERNA)</f>
        <v>0</v>
      </c>
      <c r="FR15" s="248">
        <f t="shared" si="21"/>
        <v>0.33979579999999998</v>
      </c>
      <c r="FS15" s="248">
        <f t="shared" si="22"/>
        <v>-7.2599999999999998E-2</v>
      </c>
      <c r="FT15" s="249">
        <f t="shared" si="26"/>
        <v>-4.2183908045977011E-4</v>
      </c>
      <c r="FU15" s="249">
        <f t="shared" si="27"/>
        <v>0.1101</v>
      </c>
      <c r="FV15" s="249">
        <f t="shared" si="28"/>
        <v>-0.22969579999999998</v>
      </c>
      <c r="FW15" s="249">
        <f t="shared" si="23"/>
        <v>9.689466505747125E-5</v>
      </c>
      <c r="FX15" s="246">
        <f t="shared" si="29"/>
        <v>0.33979579999999998</v>
      </c>
      <c r="FY15" s="250">
        <f t="shared" si="24"/>
        <v>-824.51038266936757</v>
      </c>
      <c r="FZ15"/>
      <c r="GA15" s="251"/>
      <c r="GB15" s="251"/>
      <c r="GC15" s="251"/>
      <c r="GD15" s="251"/>
      <c r="GE15" s="251"/>
      <c r="GF15" s="251"/>
      <c r="GG15" s="251"/>
      <c r="GI15" s="252" t="str">
        <f>IF(modelloAUTO8=$B$2,IF(PROFlatRICH8="",pezzi8*UNO*VLOOKUP($B$2,tabMODELLI,COLnMANIGLIAasportabile,FALSE),pezzi8*UNO),"")</f>
        <v/>
      </c>
      <c r="GJ15" s="252" t="str">
        <f>IF(modelloAUTO8=$B$2,pezzi8*DUE,"")</f>
        <v/>
      </c>
      <c r="GK15" s="252" t="str">
        <f>IF(modelloAUTO8=$B$2,pezzi8*UNO,"")</f>
        <v/>
      </c>
      <c r="GL15" s="253" t="str">
        <f>IF(modelloAUTO8=$B$2,IF(SYSTEMantiFURTO8&lt;&gt;"",VLOOKUP($B$2,TABsistemaANTIFURTO,COLusoVITEdISERIE,FALSE),pezzi8),"")</f>
        <v/>
      </c>
      <c r="GM15" s="252" t="str">
        <f>IF(modelloAUTO8=$B$2,pezzi8*UNO,"")</f>
        <v/>
      </c>
      <c r="GN15" s="252" t="str">
        <f>IF(modelloAUTO8=$B$2,NmaniglieDItrasporto8*DUE,"")</f>
        <v/>
      </c>
      <c r="GO15" s="254" t="str">
        <f>IF(modelloAUTO8=$B$2,pezzi8*QUINDICI,"")</f>
        <v/>
      </c>
      <c r="GP15" s="254" t="str">
        <f>IF(modelloAUTO8=$B$2,pezzi8*DUE,"")</f>
        <v/>
      </c>
      <c r="GQ15" s="254" t="str">
        <f>IF(modelloAUTO8=$B$2,pezzi8*DUE,"")</f>
        <v/>
      </c>
      <c r="GR15" s="254" t="str">
        <f>IF(modelloAUTO8=$B$2,pezzi8*UNO,"")</f>
        <v/>
      </c>
      <c r="GS15" s="254" t="str">
        <f>IF(modelloAUTO8=$B$2,pezzi8*DUE,"")</f>
        <v/>
      </c>
      <c r="GT15" s="254" t="str">
        <f>IF(modelloAUTO8=$B$2,pezzi8*DUE,"")</f>
        <v/>
      </c>
      <c r="GU15" s="254" t="str">
        <f>IF(modelloAUTO8=$B$2,pezzi8*DUE,"")</f>
        <v/>
      </c>
      <c r="GV15" s="254" t="str">
        <f>IF(modelloAUTO8=$B$2,pezzi8*DUE,"")</f>
        <v/>
      </c>
      <c r="GW15" s="251"/>
      <c r="GX15" s="251"/>
      <c r="GY15" s="251"/>
      <c r="GZ15" s="251"/>
      <c r="HA15" s="251"/>
      <c r="HB15" s="251"/>
      <c r="HC15" s="251"/>
      <c r="HD15" s="251"/>
      <c r="HE15" s="251"/>
      <c r="HF15" s="251"/>
      <c r="HG15" s="251"/>
      <c r="HH15" s="251"/>
      <c r="HI15" s="251"/>
      <c r="HJ15" s="251"/>
      <c r="HK15" s="251"/>
      <c r="HL15" s="251"/>
      <c r="HN15" s="191" t="str">
        <f>IF(modelloAUTO8=$B$2,IF(PROFlatRICH8="",pezzi8*VLOOKUP($B$2,tabMODELLI,COLnGUARNorizzINFERIOREbarriera,FALSE),pezzi8),"")</f>
        <v/>
      </c>
      <c r="HO15" s="193" t="str">
        <f>IF(modelloAUTO8=$B$2,IF(VLOOKUP($B$2,tabMODELLI,COLnGUARNorizzINFERIOREbarriera,FALSE)="","",larghezza8),"")</f>
        <v/>
      </c>
      <c r="HQ15" s="191" t="str">
        <f>IF(modelloAUTO8=$B$2,IF(PROFlatRICH8="",pezzi8*DUE*VLOOKUP($B$2,tabMODELLI,COLnGUARNorizzINTERMEDIEbarriera,FALSE),pezzi8*DUE),"")</f>
        <v/>
      </c>
      <c r="HR15" s="193" t="str">
        <f>IF(modelloAUTO8=$B$2,IF(VLOOKUP($B$2,tabMODELLI,COLnGUARNorizzINTERMEDIEbarriera,FALSE)="","",larghezza8),"")</f>
        <v/>
      </c>
      <c r="HT15" s="191" t="str">
        <f>IF(modelloAUTO8=$B$2,IF(PROFlatRICH8="",pezzi8*UNO*VLOOKUP($B$2,tabMODELLI,COLnGUARNvertBARRIERA,FALSE),pezzi8*UNO),"")</f>
        <v/>
      </c>
      <c r="HU15" s="193" t="str">
        <f>IF(modelloAUTO8=$B$2,IF(VLOOKUP($B$2,tabMODELLI,COLnGUARNvertBARRIERA,FALSE)="","",altezza8),"")</f>
        <v/>
      </c>
      <c r="HV15"/>
      <c r="HW15" s="191" t="str">
        <f>IF(modelloAUTO8=$B$2,IF(PROFlatRICH8="",pezzi8*VLOOKUP($B$2,tabMODELLI,COLnTAPPIdiGIUNZIONEguarnORIZZconVERT,FALSE),pezzi8),"")</f>
        <v/>
      </c>
      <c r="HX15"/>
      <c r="HY15" s="191" t="str">
        <f>IF(modelloAUTO8=$B$2,IF(PROFlatRICH8="",pezzi8*VLOOKUP($B$2,tabMODELLI,COLnGUARNorizzPROFILOdiTENUTAlaterale,FALSE),pezzi8),"")</f>
        <v/>
      </c>
      <c r="HZ15" s="193" t="str">
        <f>IF(modelloAUTO8=$B$2,IF(VLOOKUP($B$2,tabMODELLI,COLnGUARNorizzPROFILOdiTENUTAlaterale,FALSE)="","",altezza8),"")</f>
        <v/>
      </c>
      <c r="IA15"/>
      <c r="IB15" s="191" t="str">
        <f>IF(modelloAUTO8=$B$2,IF(PROFlatRICH8="",pezzi8*VLOOKUP($B$2,tabMODELLI,COLnGUARNvertPROFILOdiTENUTAlaterale,FALSE),pezzi8),"")</f>
        <v/>
      </c>
      <c r="IC15" s="193" t="str">
        <f>IF(modelloAUTO8=$B$2,IF(VLOOKUP($B$2,tabMODELLI,COLnGUARNvertPROFILOdiTENUTAlaterale,FALSE)="","",altezza8),"")</f>
        <v/>
      </c>
      <c r="ID15"/>
      <c r="IE15" s="191" t="str">
        <f>IF(modelloAUTO8=$B$2,IF(PROFlatRICH8="",pezzi8*VLOOKUP($B$2,tabMODELLI,COLnPROFILIinNYLON,FALSE),pezzi8),"")</f>
        <v/>
      </c>
      <c r="IF15" s="193" t="str">
        <f>IF(modelloAUTO8=$B$2,IF(VLOOKUP($B$2,tabMODELLI,COLnPROFILIinNYLON,FALSE)="","",altezza8),"")</f>
        <v/>
      </c>
      <c r="IH15" s="171" t="str">
        <f>IF(modelloAUTO8=$B$2,IF(PROFoTUBsxRICH8="","",pezzi8),"")</f>
        <v/>
      </c>
      <c r="II15" s="199" t="str">
        <f>IF(modelloAUTO8=$B$2,IF(PROFoTUBsxRICH8="","",PROFoTUBsxRICH8),"")</f>
        <v/>
      </c>
      <c r="IJ15" s="257" t="str">
        <f>IF(AND(modelloAUTO8=$B$2,PROFoTUBsxRICH8&lt;&gt;""),IF(ALTprofOtubRICHsx8="","STD",ALTprofOtubRICHsx8*DIECI),"")</f>
        <v/>
      </c>
      <c r="IL15" s="201" t="str">
        <f>IF(modelloAUTO8=$B$2,IF(PROFoTUBsxRICH8="","",IF(vernPROFoTUBlatSX8="","STD",vernPROFoTUBlatSX8)),"")</f>
        <v/>
      </c>
      <c r="IN15" s="171" t="str">
        <f>IF(modelloAUTO8=$B$2,IF(PROFoTUBdxRICH8="","",pezzi8),"")</f>
        <v/>
      </c>
      <c r="IO15" s="202" t="str">
        <f>IF(modelloAUTO8=$B$2,IF(PROFoTUBdxRICH8="","",PROFoTUBdxRICH8),"")</f>
        <v/>
      </c>
      <c r="IP15" s="257" t="str">
        <f>IF(AND(modelloAUTO8=$B$2,PROFoTUBdxRICH8&lt;&gt;""),IF(ALTprofOtubRICHdx8="","STD",ALTprofOtubRICHdx8*DIECI),"")</f>
        <v/>
      </c>
      <c r="IR15" s="203" t="str">
        <f>IF(modelloAUTO8=$B$2,IF(PROFoTUBdxRICH8="","",IF(vernPROFoTUBlatDX8="","STD",vernPROFoTUBlatDX8)),"")</f>
        <v/>
      </c>
      <c r="IT15" s="204" t="str">
        <f>IF(modelloAUTO8=$B$2,IF(profORIZZ8="","",pezzi8),"")</f>
        <v/>
      </c>
      <c r="IU15" s="205" t="str">
        <f>IF(modelloAUTO8=$B$2,IF(profORIZZ8="","",CODpiattoORIZZsugg8),"")</f>
        <v/>
      </c>
      <c r="IV15" s="206" t="str">
        <f>IF(modelloAUTO8=$B$2,IF(profORIZZ8="","",larghezza8*DIECI+IF(PROFoTUBsxRICH8="",ZERO,VLOOKUP(PROFoTUBsxRICH8,TABprofOtubLATERALI,COLlargPROFoTUBlat,FALSE))+IF(PROFoTUBdxRICH8="",ZERO,VLOOKUP(PROFoTUBdxRICH8,TABprofOtubLATERALI,COLlargPROFoTUBlat,FALSE))),"")</f>
        <v/>
      </c>
      <c r="IW15"/>
      <c r="IX15" s="168">
        <v>8</v>
      </c>
      <c r="IY15" s="258" t="str">
        <f>IF(AND(modelloAUTO8=$B$2,SYSTEMantiFURTO8&lt;&gt;""),VLOOKUP($B$2,TABsistemaANTIFURTO,COLlucchetto,FALSE),"")</f>
        <v/>
      </c>
      <c r="IZ15" s="258" t="str">
        <f>IF(AND(modelloAUTO8=$B$2,SYSTEMantiFURTO8&lt;&gt;""),VLOOKUP($B$2,TABsistemaANTIFURTO,COLaccessorioANTIFURTO2,FALSE),"")</f>
        <v/>
      </c>
      <c r="JA15" s="258" t="str">
        <f>IF(AND(modelloAUTO8=$B$2,SYSTEMantiFURTO8&lt;&gt;""),VLOOKUP($B$2,TABsistemaANTIFURTO,COLaccessorioANTIFURTO,FALSE),"")</f>
        <v/>
      </c>
      <c r="JB15" s="258" t="str">
        <f>IF(AND(modelloAUTO8=$B$2,SYSTEMantiFURTO8&lt;&gt;""),VLOOKUP($B$2,TABsistemaANTIFURTO,COLviteSPECIALExANTIFURTO,FALSE),"")</f>
        <v/>
      </c>
      <c r="JC15" s="258" t="str">
        <f>IF(AND(modelloAUTO8=$B$2,SYSTEMantiFURTO8&lt;&gt;""),VLOOKUP($B$2,TABsistemaANTIFURTO,COLlavorazioneXantifurto,FALSE),"")</f>
        <v/>
      </c>
      <c r="JD15"/>
      <c r="JE15"/>
      <c r="JF15"/>
      <c r="JG15"/>
      <c r="JH15"/>
      <c r="JI15"/>
      <c r="JJ15"/>
      <c r="JK15"/>
      <c r="JL15"/>
      <c r="JM15"/>
      <c r="JN15"/>
      <c r="JO15"/>
      <c r="JP15"/>
      <c r="JQ15"/>
      <c r="JR15"/>
      <c r="JS15"/>
      <c r="JT15"/>
      <c r="JU15"/>
      <c r="JV15"/>
      <c r="JW15"/>
      <c r="JX15" s="168">
        <v>8</v>
      </c>
      <c r="JY15" s="210" t="str">
        <f>IF(modelloAUTO8=$B$2,IF(fornPIANTcentr8="","",fornPIANTcentr8*pezzi8),"")</f>
        <v/>
      </c>
      <c r="JZ15" s="210" t="str">
        <f>IF(modelloAUTO8=$B$2,IF(fornPIANTcentr8="","",CODpiantCENTRsugg8),"")</f>
        <v/>
      </c>
      <c r="KB15" s="210" t="str">
        <f>IF(modelloAUTO8=$B$2,IF(CODpiantCENTRsuggAPPOG8="","",CODpiantCENTRdiAPPOGGIOrich8),"")</f>
        <v/>
      </c>
      <c r="KC15" s="210" t="str">
        <f>IF(modelloAUTO8=$B$2,IF(CODpiantCENTRsuggAPPOG8="","",CODpiantCENTRsuggAPPOG8),"")</f>
        <v/>
      </c>
      <c r="KP15" s="168">
        <v>8</v>
      </c>
      <c r="KQ15" s="259" t="str">
        <f>IF(AND(modelloAUTO8=$B$2,VLOOKUP($B$2,tabMODELLI,COLcoeffPOSSIBILITApellicolaADESIVA,FALSE)=UNO),IF(PELLICOLA8="","",pezzi8),"")</f>
        <v/>
      </c>
      <c r="KR15" s="236" t="str">
        <f>IF(AND(modelloAUTO8=$B$2,VLOOKUP($B$2,tabMODELLI,COLcoeffPOSSIBILITApellicolaADESIVA,FALSE)=UNO),IF(PELLICOLA8="","",larghezza8*DIECI-(VLOOKUP($B$2,tabMODELLI,COLcoeffPELLICOLAadesivaLARG,FALSE))),"")</f>
        <v/>
      </c>
      <c r="KS15" s="236" t="str">
        <f>IF(AND(modelloAUTO8=$B$2,VLOOKUP($B$2,tabMODELLI,COLcoeffPOSSIBILITApellicolaADESIVA,FALSE)=UNO),IF(PELLICOLA8="","",altezza8*DIECI-(VLOOKUP($B$2,tabMODELLI,COLcoeffPELLICOLAadesivaLARG,FALSE))),"")</f>
        <v/>
      </c>
      <c r="MA15" s="168">
        <v>8</v>
      </c>
      <c r="MB15" s="260" t="str">
        <f>IF(modelloAUTO8=$B$2,stanza8,"")</f>
        <v/>
      </c>
      <c r="MC15" s="168">
        <v>8</v>
      </c>
      <c r="MD15" s="230" t="str">
        <f>IF(modelloAUTO8=$B$2,larghezza8*DIECI+4+VLOOKUP($B$2,tabMODELLI,COLcoefAUMlargBUSTApvc,FALSE)+VLOOKUP($B$2,tabMODELLI,COLcoefAUMlargXprofILIlateraliBUSTApvc,FALSE)+IF(PROFoTUBsxRICH8="",ZERO,VLOOKUP(PROFoTUBsxRICH8,TABprofOtubLATERALI,COLlargPROFoTUBlatXimballaggio,FALSE)+profELETTRODOsaldaturaPVC)+IF(PROFoTUBdxRICH8="",ZERO,VLOOKUP(PROFoTUBdxRICH8,TABprofOtubLATERALI,COLlargPROFoTUBlatXimballaggio,FALSE)+profELETTRODOsaldaturaPVC),"")</f>
        <v/>
      </c>
      <c r="ME15" s="230" t="str">
        <f>IF(modelloAUTO8=$B$2,altezza8*DIECI*DUE+VLOOKUP($B$2,tabMODELLI,COLcoefAUMaltBUSTApvc,FALSE),"")</f>
        <v/>
      </c>
      <c r="MF15" s="261"/>
      <c r="MG15" s="230" t="str">
        <f>IF(modelloAUTO8=$B$2,altezza8*DIECI+VLOOKUP($B$2,tabMODELLI,COLcoeffSALDATURAinALTbustaPVC,FALSE),"")</f>
        <v/>
      </c>
      <c r="MH15" s="230" t="str">
        <f>IF(modelloAUTO8=$B$2,VLOOKUP($B$2,tabMODELLI,COLcoeffSALDATURAinLARGperTASCAbustaPVC,FALSE),"")</f>
        <v/>
      </c>
      <c r="MI15" s="230" t="str">
        <f>IF(modelloAUTO8=$B$2,IF(PROFoTUBsxRICH8="","",VLOOKUP(PROFoTUBsxRICH8,TABprofOtubLATERALI,COLlargPROFoTUBlatXimballaggio,FALSE)),"")</f>
        <v/>
      </c>
      <c r="MJ15" s="230" t="str">
        <f>IF(modelloAUTO8=$B$2,IF(PROFoTUBdxRICH8="","",VLOOKUP(PROFoTUBdxRICH8,TABprofOtubLATERALI,COLlargPROFoTUBlatXimballaggio,FALSE)),"")</f>
        <v/>
      </c>
      <c r="ML15" s="262" t="str">
        <f>IF(modelloAUTO8=$B$2,pezzi8*DUE,"")</f>
        <v/>
      </c>
      <c r="MM15" s="263" t="str">
        <f>IF(modelloAUTO8=$B$2,larghezza8+VLOOKUP($B$2,tabMODELLI,COLcoeffAUMoCALOinLARGpolistirolo,FALSE),"")</f>
        <v/>
      </c>
      <c r="MN15" s="263" t="str">
        <f>IF(modelloAUTO8=$B$2,altezza8+VLOOKUP($B$2,tabMODELLI,COLcoeffAUMoCALOinALTpolistirolo,FALSE),"")</f>
        <v/>
      </c>
      <c r="MP15" s="264" t="str">
        <f>IF(modelloAUTO8=$B$2,IF(VLOOKUP($B$2,tabMODELLI,COLcoeffAUMoCALOinLARGprofiloAu,FALSE)="",pezzi8*DUE,pezzi8*UNO),"")</f>
        <v/>
      </c>
      <c r="MQ15" s="265" t="str">
        <f>IF(modelloAUTO8=$B$2,VLOOKUP($B$2,tabMODELLI,COLdimStdSTRISCIAdelFIANCOxLARG1polistirolo,FALSE),"")</f>
        <v/>
      </c>
      <c r="MR15" s="263" t="str">
        <f>IF(modelloAUTO8=$B$2,larghezza8+VLOOKUP($B$2,tabMODELLI,colCOEFFdellaLARGnelFIANCOpolistirolo,FALSE),"")</f>
        <v/>
      </c>
      <c r="MT15" s="262" t="str">
        <f>IF(modelloAUTO8=$B$2,IF(VLOOKUP($B$2,tabMODELLI,COLdimstdSTRISCIAdelFIANCOxALT2polistirolo,FALSE)="",pezzi8*DUE,pezzi8),"")</f>
        <v/>
      </c>
      <c r="MU15" s="265" t="str">
        <f>IF(modelloAUTO8=$B$2,VLOOKUP($B$2,tabMODELLI,COLdimstdSTRISCIAdelFIANCOxALT1polistirolo,FALSE),"")</f>
        <v/>
      </c>
      <c r="MV15" s="263" t="str">
        <f>IF(modelloAUTO8=$B$2,altezza8+VLOOKUP($B$2,tabMODELLI,colCOEFFdellaALTnelFIANCOpolistirolo,FALSE),"")</f>
        <v/>
      </c>
      <c r="MX15" s="266" t="str">
        <f>IF(modelloAUTO8=$B$2,IF(VLOOKUP($B$2,tabMODELLI,COLdimstdSTRISCIAdelFIANCOxALT2polistirolo,FALSE)="","",pezzi8*UNO),"")</f>
        <v/>
      </c>
      <c r="MY15" s="267" t="str">
        <f>IF(modelloAUTO8=$B$2,IF(VLOOKUP($B$2,tabMODELLI,COLdimstdSTRISCIAdelFIANCOxALT2polistirolo,FALSE)="","",VLOOKUP($B$2,tabMODELLI,COLdimstdSTRISCIAdelFIANCOxALT2polistirolo,FALSE)),"")</f>
        <v/>
      </c>
      <c r="MZ15" s="263" t="str">
        <f>IF(modelloAUTO8=$B$2,altezza8+VLOOKUP($B$2,tabMODELLI,colCOEFFdellaALTnelFIANCOpolistirolo,FALSE),"")</f>
        <v/>
      </c>
      <c r="NB15" s="266" t="str">
        <f>IF(modelloAUTO8=$B$2,IF(VLOOKUP($B$2,tabMODELLI,COLcoeffAUMoCALOinLARGprofiloAu,FALSE)="","",pezzi8*UNO),"")</f>
        <v/>
      </c>
      <c r="NC15" s="216" t="str">
        <f>IF(modelloAUTO8=$B$2,IF(VLOOKUP($B$2,tabMODELLI,COLcoeffAUMoCALOinLARGprofiloAu,FALSE)="","",larghezza8+VLOOKUP($B$2,tabMODELLI,COLcoeffAUMoCALOinLARGprofiloAu,FALSE)),"")</f>
        <v/>
      </c>
      <c r="ND15" s="191" t="str">
        <f>IF(modelloAUTO8=$B$2,IF(VLOOKUP($B$2,tabMODELLI,COLcoeffAUMoCALOinLARGprofiloAu,FALSE)="","",VLOOKUP($B$2,tabMODELLI,COLdimstdSTRISCIAdelFIANCOxALT1polistirolo,FALSE)),"")</f>
        <v/>
      </c>
      <c r="NI15" s="168">
        <v>8</v>
      </c>
      <c r="NJ15" s="171" t="str">
        <f>IF(pezzi8="","",pezzi8)</f>
        <v/>
      </c>
      <c r="NK15" s="170" t="str">
        <f>IF(modelloAUTO8="","",modelloAUTO8)</f>
        <v/>
      </c>
      <c r="NL15" s="172" t="str">
        <f>IF(larghezza8="","",LARGortogonalitaADEGUATA8)</f>
        <v/>
      </c>
      <c r="NM15" s="173" t="str">
        <f>IF(altezza8="","",altezza8)</f>
        <v/>
      </c>
      <c r="NO15" s="189" t="str">
        <f>IF(PesoTEORICOparatia8="","",PesoTEORICOparatia8)</f>
        <v/>
      </c>
      <c r="NR15"/>
      <c r="NS15"/>
      <c r="NT15"/>
      <c r="NU15"/>
      <c r="NV15"/>
      <c r="NW15"/>
      <c r="NX15"/>
      <c r="NY15"/>
      <c r="NZ15"/>
      <c r="OA15"/>
      <c r="OB15"/>
      <c r="OC15"/>
      <c r="OD15"/>
      <c r="OE15"/>
      <c r="OH15" s="271"/>
      <c r="OI15" s="271"/>
      <c r="OJ15" s="271"/>
      <c r="OK15" s="271"/>
      <c r="OL15" s="271"/>
      <c r="OM15" s="271"/>
      <c r="ON15" s="271"/>
      <c r="OO15" s="271"/>
    </row>
    <row r="16" spans="1:412" s="150" customFormat="1" ht="38" thickBot="1">
      <c r="A16" s="168">
        <v>9</v>
      </c>
      <c r="B16" s="169" t="str">
        <f>IF(stanza9="","",stanza9)</f>
        <v/>
      </c>
      <c r="C16" s="170" t="str">
        <f>IF(modelloAUTO9="","",modelloAUTO9)</f>
        <v/>
      </c>
      <c r="D16" s="171" t="str">
        <f>IF(pezzi9="","",pezzi9)</f>
        <v/>
      </c>
      <c r="E16" s="172" t="str">
        <f>IF(larghezza9="","",LARGortogonalitaADEGUATA9)</f>
        <v/>
      </c>
      <c r="F16" s="173" t="str">
        <f>IF(altezza9="","",altezza9)</f>
        <v/>
      </c>
      <c r="G16" s="174" t="str">
        <f t="shared" si="0"/>
        <v/>
      </c>
      <c r="H16" s="175" t="str">
        <f>IF(LATOcomAUTO9="","",LATOcomAUTO9)</f>
        <v/>
      </c>
      <c r="I16" s="176" t="str">
        <f>IF(modelloAUTO9="","",IF(vernBarriera9="","",vernBarriera9))</f>
        <v/>
      </c>
      <c r="J16" s="177" t="str">
        <f>IF(modelloAUTO9=$B$2,IF(PELLICOLA9="","",pezzi9),"")</f>
        <v/>
      </c>
      <c r="K16" s="178" t="str">
        <f t="shared" si="1"/>
        <v/>
      </c>
      <c r="M16" s="179" t="str">
        <f>IF(modelloAUTO9=$B$2,IF(PROFlatAUTO9="ESCLUSI","",IF(PROFlatRICH9="","STD",PROFlatRICH9)),"")</f>
        <v/>
      </c>
      <c r="N16" s="180" t="str">
        <f>IF(AND(modelloAUTO9=$B$2,COPERTINAauto9&lt;&gt;""),TIPOcopertina9,"")</f>
        <v/>
      </c>
      <c r="O16" s="181" t="str">
        <f>IF(AND(modelloAUTO9=$B$2,PROFlatAUTO9&lt;&gt;"ESCLUSI"),IF(AND(COPERTINAauto9&lt;&gt;"",ALTprofLATrich9=""),"STD",ALTprofLATrich9*DIECI),"")</f>
        <v/>
      </c>
      <c r="P16" s="176" t="str">
        <f>IF(modelloAUTO9="","",IF(vernPROFlatTEN9="","",vernPROFlatTEN9))</f>
        <v/>
      </c>
      <c r="R16" s="176" t="str">
        <f>IF(PROFoTUBsxRICH9="","",PROFoTUBsxRICH9)</f>
        <v/>
      </c>
      <c r="S16" s="182"/>
      <c r="T16" s="176" t="str">
        <f>IF(modelloAUTO9="","",IF(PROFoTUBdxRICH9="","",PROFoTUBdxRICH9))</f>
        <v/>
      </c>
      <c r="U16" s="182"/>
      <c r="V16" s="183" t="str">
        <f>IF(modelloAUTO9="","",IF(PROFoTUBsxRICH9="","",IF(ALTprofOtubRICHsx9="","SX: STD","SX: "&amp;ALTprofOtubRICHsx9&amp;" - "))&amp;IF(PROFoTUBdxRICH9="","",IF(ALTprofOtubRICHdx9="","  DX: STD","DX :"&amp;ALTprofOtubRICHdx9)))</f>
        <v/>
      </c>
      <c r="W16" s="184" t="str">
        <f>IF(modello9="","",IF(vernPROFoTUBlatSX9="","","SX: "&amp;vernPROFoTUBlatSX9&amp;" - ")&amp;IF(vernPROFoTUBlatDX9="",""," DX: "&amp;vernPROFoTUBlatDX9))</f>
        <v/>
      </c>
      <c r="Y16" s="185" t="str">
        <f>IF(modelloAUTO9="","",IF(OR(larghezza9="",profORIZZ9=""),"",CODpiattoORIZZsugg9))</f>
        <v/>
      </c>
      <c r="Z16" s="186" t="str">
        <f>IF(modelloAUTO9="","",IF(profORIZZ9="","",larghezza9+IF(PROFoTUBsxRICH9="",0,VLOOKUP(PROFoTUBsxRICH9,TABprofOtubLATERALI,COLlargPROFoTUBlat,FALSE))+IF(PROFoTUBdxRICH9="",0,VLOOKUP(PROFoTUBdxRICH9,TABprofOtubLATERALI,COLlargPROFoTUBlat,FALSE))))</f>
        <v/>
      </c>
      <c r="AB16" s="187" t="str">
        <f>IF(modelloAUTO9="","",IF(CODpiantCENTRsugg9="","","N° "&amp;fornPIANTcentr9&amp;"-"&amp;IF(CODpiantCENTRsugg9=0,"ERRORE",CODpiantCENTRsugg9)))</f>
        <v/>
      </c>
      <c r="AC16" s="187" t="str">
        <f>IF(modelloAUTO9="","",IF(CODpiantCENTRsuggAPPOG9="","","N° "&amp;CODpiantCENTRdiAPPOGGIOrich9&amp;"-"&amp;IF(CODpiantCENTRsuggAPPOG9=0,"ERRORE",CODpiantCENTRsuggAPPOG9)))</f>
        <v/>
      </c>
      <c r="AE16" s="188" t="str">
        <f>IF(modelloAUTO9="","",IF(note_cliente9="","",note_cliente9))</f>
        <v/>
      </c>
      <c r="AF16" s="189" t="str">
        <f>IF(PesoTEORICOparatia9="","",PesoTEORICOparatia9)</f>
        <v/>
      </c>
      <c r="AG16" s="190">
        <v>9</v>
      </c>
      <c r="AI16" s="191" t="str">
        <f>IF(modelloAUTO9=$B$2,pezzi9*UNO,"")</f>
        <v/>
      </c>
      <c r="AJ16" s="192" t="str">
        <f>IF(modelloAUTO9=$B$2,larghezza9,"")</f>
        <v/>
      </c>
      <c r="AK16" s="193" t="str">
        <f>IF(modelloAUTO9=$B$2,altezza9,"")</f>
        <v/>
      </c>
      <c r="AL16" s="174" t="str">
        <f t="shared" si="2"/>
        <v/>
      </c>
      <c r="AM16" s="173" t="str">
        <f t="shared" si="3"/>
        <v>DX (di serie)</v>
      </c>
      <c r="AN16" s="194"/>
      <c r="AO16"/>
      <c r="AP16" s="195" t="str">
        <f>IF(modelloAUTO9=$B$2,IF(PROFlatRICH9="",pezzi9*DUE*VLOOKUP($B$2,tabMODELLI,COLprofiliLATdiserie,FALSE),pezzi9*DUE),"")</f>
        <v/>
      </c>
      <c r="AQ16" s="179" t="str">
        <f>IF(modelloAUTO9=$B$2,IF(PROFlatAUTO9="ESCLUSI","",IF(PROFlatRICH9="","STD",PROFlatRICH9)),"")</f>
        <v/>
      </c>
      <c r="AR16" s="196" t="str">
        <f>IF(AND(modelloAUTO9=$B$2,PROFlatAUTO9&lt;&gt;"ESCLUSI"),IF(ALTprofLATrich9="","STD",ALTprofLATrich9*DIECI),"")</f>
        <v/>
      </c>
      <c r="AT16" s="272" t="str">
        <f>IF(modelloAUTO9=$B$2,IF(TIPOcopertina9="","",TIPOcopertina9),"")</f>
        <v/>
      </c>
      <c r="AV16" s="198" t="str">
        <f>IF(modelloAUTO9=$B$2,IF(vernBarriera9="","STD",vernBarriera9),"")</f>
        <v/>
      </c>
      <c r="AX16" s="171" t="str">
        <f>IF(modelloAUTO9=$B$2,IF(PROFoTUBsxRICH9="","",pezzi9),"")</f>
        <v/>
      </c>
      <c r="AY16" s="278" t="str">
        <f>IF(modelloAUTO9=$B$2,IF(PROFoTUBsxRICH9="","",PROFoTUBsxRICH9),"")</f>
        <v/>
      </c>
      <c r="AZ16" s="200" t="str">
        <f>IF(AND(modelloAUTO9=$B$2,PROFoTUBsxRICH9&lt;&gt;""),IF(ALTprofOtubRICHsx9="","STD",ALTprofOtubRICHsx9),"")</f>
        <v/>
      </c>
      <c r="BB16" s="201" t="str">
        <f>IF(modelloAUTO9=$B$2,IF(PROFoTUBsxRICH9="","",IF(vernPROFoTUBlatSX9="","STD",vernPROFoTUBlatSX9)),"")</f>
        <v/>
      </c>
      <c r="BD16" s="171" t="str">
        <f>IF(modelloAUTO9=$B$2,IF(PROFoTUBdxRICH9="","",pezzi9),"")</f>
        <v/>
      </c>
      <c r="BE16" s="279" t="str">
        <f>IF(modelloAUTO9=$B$2,IF(PROFoTUBdxRICH9="","",PROFoTUBdxRICH9),"")</f>
        <v/>
      </c>
      <c r="BF16" s="200" t="str">
        <f>IF(AND(modelloAUTO9=$B$2,PROFoTUBdxRICH9&lt;&gt;""),IF(ALTprofOtubRICHdx9="","STD",ALTprofOtubRICHdx9),"")</f>
        <v/>
      </c>
      <c r="BH16" s="203" t="str">
        <f>IF(modelloAUTO9=$B$2,IF(PROFoTUBdxRICH9="","",IF(vernPROFoTUBlatDX9="","STD",vernPROFoTUBlatDX9)),"")</f>
        <v/>
      </c>
      <c r="BJ16" s="204" t="str">
        <f>IF(modelloAUTO9=$B$2,IF(profORIZZ9="","",pezzi9),"")</f>
        <v/>
      </c>
      <c r="BK16" s="205" t="str">
        <f>IF(modelloAUTO9=$B$2,IF(profORIZZ9="","",CODpiattoORIZZsugg9),"")</f>
        <v/>
      </c>
      <c r="BL16" s="206" t="str">
        <f>IF(modelloAUTO9=$B$2,IF(profORIZZ9="","",larghezza9*UNO+IF(PROFoTUBsxRICH9="",ZERO,VLOOKUP(PROFoTUBsxRICH9,TABprofOtubLATERALI,COLlargPROFoTUBlat,FALSE))+IF(PROFoTUBdxRICH9="",ZERO,VLOOKUP(PROFoTUBdxRICH9,TABprofOtubLATERALI,COLlargPROFoTUBlat,FALSE))),"")</f>
        <v/>
      </c>
      <c r="BN16" s="207" t="str">
        <f ca="1">IF(modelloAUTO9=$B$2,INDEX(INDIRECT("TABnCHIAVISTELLOvert"&amp;$B$2),rif_alt9,rif_larg9)*pezzi9,"")</f>
        <v/>
      </c>
      <c r="BO16"/>
      <c r="BP16" s="178" t="str">
        <f t="shared" si="4"/>
        <v/>
      </c>
      <c r="BQ16" s="208" t="str">
        <f ca="1">IF(modelloAUTO9=$B$2,INDEX(INDIRECT("TABnMANIGLIEsuperiori"&amp;$B$2),rif_alt9,rif_larg9)+INDEX(INDIRECT("TABnMANIGLIEfrontali"&amp;$B$2),rif_alt9,rif_larg9),"")</f>
        <v/>
      </c>
      <c r="BR16" s="191" t="str">
        <f>IF(modelloAUTO9=$B$2,pezzi9*DUE,"")</f>
        <v/>
      </c>
      <c r="BS16" s="209" t="str">
        <f>IF(modelloAUTO9=$B$2,BQ16*DUE,"")</f>
        <v/>
      </c>
      <c r="BT16" s="209" t="str">
        <f>IF(modelloAUTO9=$B$2,BR16*TRE,"")</f>
        <v/>
      </c>
      <c r="BU16" s="191" t="str">
        <f>IF(modelloAUTO9=$B$2,pezzi9*DUE,"")</f>
        <v/>
      </c>
      <c r="BV16" s="191" t="str">
        <f>IF(modelloAUTO9=$B$2,pezzi9*DUE,"")</f>
        <v/>
      </c>
      <c r="BW16" s="191" t="str">
        <f>IF(modelloAUTO9=$B$2,pezzi9*DUE,"")</f>
        <v/>
      </c>
      <c r="BX16" s="191" t="str">
        <f>IF(modelloAUTO9=$B$2,pezzi9*DUE,"")</f>
        <v/>
      </c>
      <c r="BY16" s="191" t="str">
        <f>IF(modelloAUTO9=$B$2,pezzi9*DUE,"")</f>
        <v/>
      </c>
      <c r="CA16" s="210" t="str">
        <f>IF(modelloAUTO9=$B$2,IF(fornPIANTcentr9="","",fornPIANTcentr9*pezzi9),"")</f>
        <v/>
      </c>
      <c r="CB16" s="210" t="str">
        <f>IF(modelloAUTO9=$B$2,IF(fornPIANTcentr9="","",CODpiantCENTRsugg9),"")</f>
        <v/>
      </c>
      <c r="CD16" s="210" t="str">
        <f>IF(modelloAUTO9=$B$2,IF(CODpiantCENTRsuggAPPOG9="","",CODpiantCENTRdiAPPOGGIOrich9),"")</f>
        <v/>
      </c>
      <c r="CE16" s="210" t="str">
        <f>IF(modelloAUTO9=$B$2,IF(CODpiantCENTRsuggAPPOG9="","",CODpiantCENTRsuggAPPOG9),"")</f>
        <v/>
      </c>
      <c r="CG16" s="273">
        <v>9</v>
      </c>
      <c r="CI16" s="211" t="str">
        <f>IF(modelloAUTO9=$B$2,altezza9*DIECI/FLOOR(VLOOKUP($B$2,tabMODELLI,COLcoefALTdogaSORMONTATAda200,FALSE),UNO)*pezzi9,"")</f>
        <v/>
      </c>
      <c r="CJ16" s="212" t="str">
        <f>IF(modelloAUTO9=$B$2,larghezza9*DIECI-VLOOKUP($B$2,tabMODELLI,COLcoeffTAGLIOdogaOPPURElastraINlarg,FALSE)-VLOOKUP(PROFlatAUTO9,TABprofLATten,COLcoeffCALOdoga,FALSE),"")</f>
        <v/>
      </c>
      <c r="CK16"/>
      <c r="CL16" s="213" t="str">
        <f>IF(modelloAUTO9=$B$2,(altezza9*DIECI/FLOOR(VLOOKUP($B$2,tabMODELLI,COLcoefALTdogaSORMONTATAda200,FALSE),CENTO)-FLOOR(altezza9*DIECI/FLOOR(VLOOKUP($B$2,tabMODELLI,COLcoefALTdogaSORMONTATAda200,FALSE),CENTO),UNO))*pezzi9,"")</f>
        <v/>
      </c>
      <c r="CM16" s="214" t="str">
        <f>IF(modelloAUTO9=$B$2,(((altezza9*DIECI-VLOOKUP($B$2,tabMODELLI,COLcoeffCALOtaglioPANNELLObarrieraMONOLITICOoASSEMBLATOInALT,FALSE))/VLOOKUP($B$2,tabMODELLI,colALTnominaleDOGAmm,FALSE)-(FLOOR(altezza9*DIECI/FLOOR(VLOOKUP($B$2,tabMODELLI,COLcoefALTdogaSORMONTATAda200,FALSE),CENTO),UNO)))*(VLOOKUP($B$2,tabMODELLI,colALTnominaleDOGAmm,FALSE))),"")</f>
        <v/>
      </c>
      <c r="CN16" s="203" t="str">
        <f>IF(modelloAUTO9=$B$2,IF(vernBarriera9="","STD",vernBarriera9),"")</f>
        <v/>
      </c>
      <c r="CO16" s="174" t="str">
        <f t="shared" si="5"/>
        <v/>
      </c>
      <c r="CP16" s="215" t="str">
        <f>IF(modelloAUTO9=$B$2,LATOcomAUTO9,"")</f>
        <v/>
      </c>
      <c r="CQ16"/>
      <c r="CR16" s="216" t="str">
        <f>IF(modelloAUTO9=$B$2,pezzi9*UNO,"")</f>
        <v/>
      </c>
      <c r="CS16" s="212" t="str">
        <f>IF(modelloAUTO9=$B$2,altezza9*DIECI+VLOOKUP($B$2,tabMODELLI,COLcoeffTAGLIOPROFILIlateraliEverticaliAttaccatiALLAbarriera,FALSE),"")</f>
        <v/>
      </c>
      <c r="CT16" s="217" t="str">
        <f>IF(modelloAUTO9=$B$2,"|90° 90°|","")</f>
        <v/>
      </c>
      <c r="CU16" s="218"/>
      <c r="CV16" s="219" t="str">
        <f>IF(modelloAUTO9=$B$2,pezzi9*DUE,"")</f>
        <v/>
      </c>
      <c r="CW16" s="220" t="str">
        <f>IF(modelloAUTO9=$B$2,larghezza9*DIECI-VLOOKUP($B$2,tabMODELLI,COLcoeffTAGLIOPROFILIlateraliEverticaliAttaccatiALLAbarriera,FALSE),"")</f>
        <v/>
      </c>
      <c r="CX16" s="217" t="str">
        <f t="shared" si="25"/>
        <v/>
      </c>
      <c r="CY16" s="221"/>
      <c r="CZ16" s="222" t="str">
        <f>IF(modelloAUTO9=$B$2,PROFlatAUTO9,"")</f>
        <v/>
      </c>
      <c r="DA16" s="223" t="str">
        <f>IF(modelloAUTO9=$B$2,pezzi9,"")</f>
        <v/>
      </c>
      <c r="DB16" s="217" t="str">
        <f>IF(modelloAUTO9=$B$2,altezza9*DIECI-VLOOKUP(PROFlatAUTO9,TABprofLATten,COLsfioroPROFtenLATrispettoALvano,FALSE),"")</f>
        <v/>
      </c>
      <c r="DC16" s="217" t="str">
        <f>IF(modelloAUTO9=$B$2,"|90° 45°/","")</f>
        <v/>
      </c>
      <c r="DD16" s="224"/>
      <c r="DE16" s="223" t="str">
        <f>IF(modelloAUTO9=$B$2,pezzi9,"")</f>
        <v/>
      </c>
      <c r="DF16" s="217" t="str">
        <f>IF(modelloAUTO9=$B$2,larghezza9*DIECI-(VLOOKUP(PROFlatAUTO9,TABprofLATten,COLsfioroPROFtenLATrispettoALvano,FALSE)*DUE),"")</f>
        <v/>
      </c>
      <c r="DG16" s="217" t="str">
        <f>IF(modelloAUTO9=$B$2,"\45° 90°|","")</f>
        <v/>
      </c>
      <c r="DH16" s="224"/>
      <c r="DI16" s="223" t="str">
        <f>IF(modelloAUTO9=$B$2,pezzi9,"")</f>
        <v/>
      </c>
      <c r="DJ16" s="217" t="str">
        <f>IF(modelloAUTO9=$B$2,altezza9*DIECI-VLOOKUP(PROFlatAUTO9,TABprofLATten,COLsfioroPROFtenLATrispettoALvano,FALSE),"")</f>
        <v/>
      </c>
      <c r="DK16" s="217" t="str">
        <f>IF(modelloAUTO9=$B$2,"\45° 45°/","")</f>
        <v/>
      </c>
      <c r="DL16" s="225"/>
      <c r="DM16" s="226" t="str">
        <f>IF(modelloAUTO9=$B$2,pezzi9,"")</f>
        <v/>
      </c>
      <c r="DN16" s="226" t="str">
        <f>IF(modelloAUTO9=$B$2,larghezza9*DIECI,"")</f>
        <v/>
      </c>
      <c r="DO16" s="227" t="str">
        <f>IF(modelloAUTO9=$B$2,"|90° 90°|","")</f>
        <v/>
      </c>
      <c r="DP16" s="221"/>
      <c r="DQ16" s="228" t="str">
        <f>IF(modelloAUTO9=$B$2,DIMprimoFOROdalPAVIMENTOperFISSAGGIOprofiloDItenutaLATERALE*DIECI,"")</f>
        <v/>
      </c>
      <c r="DR16" s="228" t="str">
        <f ca="1">IF(modelloAUTO9=$B$2,IF(VLOOKUP(altezza9,INDIRECT("tabNfissaggi"&amp;$B$2),INDIRECT("colNfiSsaggi"&amp;$B$2),TRUE)&lt;DR$6,"",(IF(VLOOKUP(altezza9,INDIRECT("tabNfissaggi"&amp;$B$2),INDIRECT("colNfiSsaggi"&amp;$B$2),FALSE)=DR$6,altezza9*DIECI-DIMprimoFOROdalPAVIMENTOperFISSAGGIOprofiloDItenutaLATERALE,DQ96+(((altezza9*DIECI-DIMprimoFOROdalPAVIMENTOperFISSAGGIOprofiloDItenutaLATERALE*DIECI*DUE))/(VLOOKUP((altezza9),INDIRECT("tabNfissaggi"&amp;$B$2),INDIRECT("colNfiSsaggi"&amp;$B$2),FALSE)-UNO))))),"")</f>
        <v/>
      </c>
      <c r="DS16" s="228" t="str">
        <f ca="1">IF(modelloAUTO9=$B$2,IF(VLOOKUP(altezza9,INDIRECT("tabNfissaggi"&amp;$B$2),INDIRECT("colNfiSsaggi"&amp;$B$2),TRUE)&lt;DS$6,"",(IF(VLOOKUP(altezza9,INDIRECT("tabNfissaggi"&amp;$B$2),INDIRECT("colNfiSsaggi"&amp;$B$2),FALSE)=DS$6,altezza9*DIECI-DIMprimoFOROdalPAVIMENTOperFISSAGGIOprofiloDItenutaLATERALE,DR96+(((altezza9*DIECI-DIMprimoFOROdalPAVIMENTOperFISSAGGIOprofiloDItenutaLATERALE*DIECI*DUE))/(VLOOKUP((altezza9),INDIRECT("tabNfissaggi"&amp;$B$2),INDIRECT("colNfiSsaggi"&amp;$B$2),FALSE)-UNO))))),"")</f>
        <v/>
      </c>
      <c r="DT16" s="228" t="str">
        <f ca="1">IF(modelloAUTO9=$B$2,IF(VLOOKUP(altezza9,INDIRECT("tabNfissaggi"&amp;$B$2),INDIRECT("colNfiSsaggi"&amp;$B$2),TRUE)&lt;DT$6,"",(IF(VLOOKUP(altezza9,INDIRECT("tabNfissaggi"&amp;$B$2),INDIRECT("colNfiSsaggi"&amp;$B$2),FALSE)=DT$6,altezza9*DIECI-DIMprimoFOROdalPAVIMENTOperFISSAGGIOprofiloDItenutaLATERALE,DS96+(((altezza9*DIECI-DIMprimoFOROdalPAVIMENTOperFISSAGGIOprofiloDItenutaLATERALE*DIECI*DUE))/(VLOOKUP((altezza9),INDIRECT("tabNfissaggi"&amp;$B$2),INDIRECT("colNfiSsaggi"&amp;$B$2),FALSE)-UNO))))),"")</f>
        <v/>
      </c>
      <c r="DU16" s="228" t="str">
        <f ca="1">IF(modelloAUTO9=$B$2,IF(VLOOKUP(altezza9,INDIRECT("tabNfissaggi"&amp;$B$2),INDIRECT("colNfiSsaggi"&amp;$B$2),TRUE)&lt;DU$6,"",(IF(VLOOKUP(altezza9,INDIRECT("tabNfissaggi"&amp;$B$2),INDIRECT("colNfiSsaggi"&amp;$B$2),FALSE)=DU$6,altezza9*DIECI-DIMprimoFOROdalPAVIMENTOperFISSAGGIOprofiloDItenutaLATERALE,DT96+(((altezza9*DIECI-DIMprimoFOROdalPAVIMENTOperFISSAGGIOprofiloDItenutaLATERALE*DIECI*DUE))/(VLOOKUP((altezza9),INDIRECT("tabNfissaggi"&amp;$B$2),INDIRECT("colNfiSsaggi"&amp;$B$2),FALSE)-UNO))))),"")</f>
        <v/>
      </c>
      <c r="DV16" s="221"/>
      <c r="DW16" s="229" t="str">
        <f>IF(modelloAUTO9=$B$2,(PRIMOforoNELLantaPARTENDOdaLBASSOclose-VLOOKUP($B$2,tabMODELLI,COLcoeffALTprofiloSogliaRimanenteSOTTOalTELAIOperimetrale,FALSE)),"")</f>
        <v/>
      </c>
      <c r="DX16" s="230" t="str">
        <f>IF(modelloAUTO9=$B$2,DW16+INTERASSSEforiANTAcernieraSAVIOmechanica,"")</f>
        <v/>
      </c>
      <c r="DY16" s="231" t="str">
        <f>IF(modelloAUTO9=$B$2,INDEX(TABforoBASSOcernieraNELLantaCONdogaCLICKRAPIDnellANTACONsavIOMECHANICA,UNO,MATCH(((CJ16)/DUE),TABforoBASSOcernieraNELLantaCONdogaCLICKRAPIDnellANTACONsavIOMECHANICA,UNO)),"")</f>
        <v/>
      </c>
      <c r="DZ16" s="232" t="str">
        <f>IF(modelloAUTO9=$B$2,DY16+INTERASSSEforiANTAcernieraSAVIOmechanica,"")</f>
        <v/>
      </c>
      <c r="EA16" s="231" t="str">
        <f>IF(modelloAUTO9=$B$2,INDEX(TABforoBASSOcernieraNELLantaCONdogaCLICKRAPIDnellANTACONsavIOMECHANICA,UNO,MATCH((CJ16-ALTEZZAcerNIERAcomMPOSTAdalle2aliMECHANICA-altezzaALAcanalinoDA35X35X2),TABforoBASSOcernieraNELLantaCONdogaCLICKRAPIDnellANTACONsavIOMECHANICA,UNO)),"")</f>
        <v/>
      </c>
      <c r="EB16" s="232" t="str">
        <f>IF(modelloAUTO9=$B$2,EA16+INTERASSSEforiANTAcernieraSAVIOmechanica,"")</f>
        <v/>
      </c>
      <c r="EC16" s="233"/>
      <c r="ED16" s="234" t="str">
        <f>IF(modelloAUTO9=$B$2,"a: "&amp;DW16+INTERASSSEforiANTAcernieraSAVIOmechanica/DUE,"")</f>
        <v/>
      </c>
      <c r="EE16" s="234" t="str">
        <f>IF(modelloAUTO9=$B$2,"a: "&amp;DY16+INTERASSSEforiANTAcernieraSAVIOmechanica/DUE,"")</f>
        <v/>
      </c>
      <c r="EF16" s="234" t="str">
        <f>IF(modelloAUTO9=$B$2,"a: "&amp;EA16+INTERASSSEforiANTAcernieraSAVIOmechanica/DUE,"")</f>
        <v/>
      </c>
      <c r="EG16"/>
      <c r="EH16" s="235" t="str">
        <f>IF(modelloAUTO9=$B$2,pezzi9,"")</f>
        <v/>
      </c>
      <c r="EI16" s="235" t="str">
        <f>IF(modelloAUTO9=$B$2,INTERASSEforoPERnottolinoDIcomandoMANIGLIAdiCHIUSURAaLEVAclose,"")</f>
        <v/>
      </c>
      <c r="EJ16" s="236" t="str">
        <f>IF(modelloAUTO9=$B$2,ALTCentroNOTTOLINOpartendoDALbassodellaDOGA,"")</f>
        <v/>
      </c>
      <c r="EK16" s="10"/>
      <c r="EL16" s="216" t="str">
        <f>IF(modelloAUTO9=$B$2,pezzi9*UNO,"")</f>
        <v/>
      </c>
      <c r="EM16" s="212" t="str">
        <f>IF(modelloAUTO9=$B$2,altezza9*DIECI+VLOOKUP($B$2,tabMODELLI,COLcoeffTAGLIOPROFILOdiAGGANCIOsistemaMODERNA,FALSE),"")</f>
        <v/>
      </c>
      <c r="EN16"/>
      <c r="EO16" s="216" t="str">
        <f>IF(modelloAUTO9=$B$2,pezzi9*UNO,"")</f>
        <v/>
      </c>
      <c r="EP16" s="212" t="str">
        <f>IF(modelloAUTO9=$B$2,altezza9*DIECI+VLOOKUP($B$2,tabMODELLI,COLcoeffTAGLIOPROFILOdiAGGANCIOsistemaMODERNA,FALSE),"")</f>
        <v/>
      </c>
      <c r="EQ16"/>
      <c r="ER16" s="216" t="str">
        <f>IF(modelloAUTO9=$B$2,pezzi9*UNO,"")</f>
        <v/>
      </c>
      <c r="ES16" s="212" t="str">
        <f>IF(modelloAUTO9=$B$2,altezza9*DIECI+VLOOKUP($B$2,tabMODELLI,COLcoeffTAGLIOPROFILIlateraliEverticaliAttaccatiALLAbarriera,FALSE),"")</f>
        <v/>
      </c>
      <c r="ET16" s="218"/>
      <c r="EU16" s="191" t="str">
        <f>IF(modelloAUTO9=$B$2,IF(PROFlatRICH9="",pezzi9*DUE*VLOOKUP($B$2,tabMODELLI,COLprofiliLATdiserie,FALSE),pezzi9*DUE),"")</f>
        <v/>
      </c>
      <c r="EV16" s="179" t="str">
        <f>IF(modelloAUTO9=$B$2,IF(PROFlatRICH9="","STD",PROFlatRICH9),"")</f>
        <v/>
      </c>
      <c r="EW16" s="275" t="str">
        <f>IF(modelloAUTO9=$B$2,IF(TIPOcopertina9="","",TIPOcopertina9),"")</f>
        <v/>
      </c>
      <c r="EX16" s="238" t="str">
        <f>IF(modelloAUTO9=$B$2,VLOOKUP($B$2,tabMODELLI,COLcoeffALTguarnINFERIOREschiacciata,FALSE)+(VLOOKUP($B$2,tabMODELLI,COLcoefALTdogaREALEda200,FALSE)+(VLOOKUP($B$2,tabMODELLI,COLcoefALTdogaSORMONTATAda200,FALSE)*(CEILING(altezza9*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6" s="218"/>
      <c r="EZ16" s="276" t="str">
        <f ca="1">IF(OR(modelloAUTO9=$B$2,modelloAUTO9=CLICK_RAPIDxPRIVATO),INDEX(INDIRECT("TABnCHIAVISTELLOvert"&amp;$B$2),rif_alt9,rif_larg9)*pezzi9,"")</f>
        <v/>
      </c>
      <c r="FA16" s="240" t="str">
        <f>IF(modelloAUTO9=$B$2,IF(AND(nCatenacci9&lt;&gt;"",profORIZZ9&lt;&gt;""),spessoreCATENACCIOverticale60X95X300,""),"")</f>
        <v/>
      </c>
      <c r="FB16" s="277" t="str">
        <f ca="1">IF(OR(nCatenacci9=0,nCatenacci9="",),"",(CJ16+QUATTRO-(IF(nCatenacci9="",ZERO,SESSANTA*(nCatenacci9/PZCLICK_RAPID9))))/((nCatenacci9/PZCLICK_RAPID9)+UNO))</f>
        <v/>
      </c>
      <c r="FD16" s="242" t="str">
        <f ca="1">IF(modelloAUTO9=$B$2,INDEX(INDIRECT("TABnMANIGLIEsuperiori"&amp;$B$2),rif_alt9,rif_larg9),"")</f>
        <v/>
      </c>
      <c r="FE16" s="243" t="str">
        <f ca="1">IF(modelloAUTO9=$B$2,(larghezza9-CATENACCIOLOorizzontaleINGOMBROclick_rapid-DUE)/INDEX(INDIRECT("TABnMANIGLIEsuperiori"&amp;$B$2),rif_alt9,rif_larg9),"")</f>
        <v/>
      </c>
      <c r="FG16" s="244" t="str">
        <f ca="1">IF(modelloAUTO9=$B$2,INDEX(INDIRECT("TABnMANIGLIEfrontali"&amp;$B$2),rif_alt9,rif_larg9),"")</f>
        <v/>
      </c>
      <c r="FH16"/>
      <c r="FI16" s="245">
        <f>((larghezza9*DIECI-COEFFlargCOMPLESSIVAdelKITcerniere_GANCIOassemblato))</f>
        <v>-261</v>
      </c>
      <c r="FJ16" s="245">
        <f t="shared" si="17"/>
        <v>19.453363192402126</v>
      </c>
      <c r="FK16" s="245">
        <f t="shared" si="18"/>
        <v>0.4001326</v>
      </c>
      <c r="FL16" s="246">
        <f>(altezza9+TREDICI/DIECI)/CENTO*(CERNIERA_TUBOLARE_MODERNA+CERNIERA_APERTA_MODERNA+UNCINO)+(altezza9/(VLOOKUP($B$2,tabMODELLI,COLcoefALTdogaSORMONTATAda200,FALSE)/DIECI)*COEFFdogaINSERITAnellaCERNIERAaertaFINOallaFINEdelGANCIO*VLOOKUP($B$2,tabMODELLI,COLpesoALKGmlDOGA,FALSE))</f>
        <v>9.6758999999999998E-2</v>
      </c>
      <c r="FM16" s="247"/>
      <c r="FN16" s="247">
        <f>altezza9/(VLOOKUP($B$2,tabMODELLI,COLcoefALTdogaSORMONTATAda200,FALSE)/DIECI)*((((larghezza9-(COEFFlargCOMPLESSIVAdelKITcerniere_GANCIOassemblato/DIECI))/CENTO)*VLOOKUP($B$2,tabMODELLI,COLpesoALKGmlDOGA,FALSE)))</f>
        <v>0</v>
      </c>
      <c r="FO16" s="247">
        <f>larghezza9/CENTO*PESOguarnORIZZmodernaKG\ML</f>
        <v>0</v>
      </c>
      <c r="FP16" s="247">
        <f>(altezza9/(VLOOKUP($B$2,tabMODELLI,COLcoefALTdogaSORMONTATAda200,FALSE)/DIECI)-UNO)*((((larghezza9-(COEFFlargCOMPLESSIVAdelKITcerniere_GANCIOassemblato/DIECI))/CENTO)*pesoALmlDOPPIAsiliconaturaINunaDOGA))</f>
        <v>0.1827</v>
      </c>
      <c r="FQ16" s="247">
        <f>(altezza9/CENTO*H_MODERNA)</f>
        <v>0</v>
      </c>
      <c r="FR16" s="248">
        <f t="shared" si="21"/>
        <v>0.33979579999999998</v>
      </c>
      <c r="FS16" s="248">
        <f t="shared" si="22"/>
        <v>-7.2599999999999998E-2</v>
      </c>
      <c r="FT16" s="249">
        <f t="shared" si="26"/>
        <v>-4.2183908045977011E-4</v>
      </c>
      <c r="FU16" s="249">
        <f t="shared" si="27"/>
        <v>0.1101</v>
      </c>
      <c r="FV16" s="249">
        <f t="shared" si="28"/>
        <v>-0.22969579999999998</v>
      </c>
      <c r="FW16" s="249">
        <f t="shared" si="23"/>
        <v>9.689466505747125E-5</v>
      </c>
      <c r="FX16" s="246">
        <f t="shared" si="29"/>
        <v>0.33979579999999998</v>
      </c>
      <c r="FY16" s="250">
        <f t="shared" si="24"/>
        <v>-824.51038266936757</v>
      </c>
      <c r="FZ16"/>
      <c r="GA16" s="251"/>
      <c r="GB16" s="251"/>
      <c r="GC16" s="251"/>
      <c r="GD16" s="251"/>
      <c r="GE16" s="251"/>
      <c r="GF16" s="251"/>
      <c r="GG16" s="251"/>
      <c r="GI16" s="252" t="str">
        <f>IF(modelloAUTO9=$B$2,IF(PROFlatRICH9="",pezzi9*UNO*VLOOKUP($B$2,tabMODELLI,COLnMANIGLIAasportabile,FALSE),pezzi9*UNO),"")</f>
        <v/>
      </c>
      <c r="GJ16" s="252" t="str">
        <f>IF(modelloAUTO9=$B$2,pezzi9*DUE,"")</f>
        <v/>
      </c>
      <c r="GK16" s="252" t="str">
        <f>IF(modelloAUTO9=$B$2,pezzi9*UNO,"")</f>
        <v/>
      </c>
      <c r="GL16" s="253" t="str">
        <f>IF(modelloAUTO9=$B$2,IF(SYSTEMantiFURTO9&lt;&gt;"",VLOOKUP($B$2,TABsistemaANTIFURTO,COLusoVITEdISERIE,FALSE),pezzi9),"")</f>
        <v/>
      </c>
      <c r="GM16" s="252" t="str">
        <f>IF(modelloAUTO9=$B$2,pezzi9*UNO,"")</f>
        <v/>
      </c>
      <c r="GN16" s="252" t="str">
        <f>IF(modelloAUTO9=$B$2,NmaniglieDItrasporto9*DUE,"")</f>
        <v/>
      </c>
      <c r="GO16" s="254" t="str">
        <f>IF(modelloAUTO9=$B$2,pezzi9*QUINDICI,"")</f>
        <v/>
      </c>
      <c r="GP16" s="254" t="str">
        <f>IF(modelloAUTO9=$B$2,pezzi9*DUE,"")</f>
        <v/>
      </c>
      <c r="GQ16" s="254" t="str">
        <f>IF(modelloAUTO9=$B$2,pezzi9*DUE,"")</f>
        <v/>
      </c>
      <c r="GR16" s="254" t="str">
        <f>IF(modelloAUTO9=$B$2,pezzi9*UNO,"")</f>
        <v/>
      </c>
      <c r="GS16" s="254" t="str">
        <f>IF(modelloAUTO9=$B$2,pezzi9*DUE,"")</f>
        <v/>
      </c>
      <c r="GT16" s="254" t="str">
        <f>IF(modelloAUTO9=$B$2,pezzi9*DUE,"")</f>
        <v/>
      </c>
      <c r="GU16" s="254" t="str">
        <f>IF(modelloAUTO9=$B$2,pezzi9*DUE,"")</f>
        <v/>
      </c>
      <c r="GV16" s="254" t="str">
        <f>IF(modelloAUTO9=$B$2,pezzi9*DUE,"")</f>
        <v/>
      </c>
      <c r="GW16" s="251"/>
      <c r="GX16" s="251"/>
      <c r="GY16" s="251"/>
      <c r="GZ16" s="251"/>
      <c r="HA16" s="251"/>
      <c r="HB16" s="251"/>
      <c r="HC16" s="251"/>
      <c r="HD16" s="251"/>
      <c r="HE16" s="251"/>
      <c r="HF16" s="251"/>
      <c r="HG16" s="251"/>
      <c r="HH16" s="251"/>
      <c r="HI16" s="251"/>
      <c r="HJ16" s="251"/>
      <c r="HK16" s="251"/>
      <c r="HL16" s="251"/>
      <c r="HN16" s="191" t="str">
        <f>IF(modelloAUTO9=$B$2,IF(PROFlatRICH9="",pezzi9*VLOOKUP($B$2,tabMODELLI,COLnGUARNorizzINFERIOREbarriera,FALSE),pezzi9),"")</f>
        <v/>
      </c>
      <c r="HO16" s="193" t="str">
        <f>IF(modelloAUTO9=$B$2,IF(VLOOKUP($B$2,tabMODELLI,COLnGUARNorizzINFERIOREbarriera,FALSE)="","",larghezza9),"")</f>
        <v/>
      </c>
      <c r="HQ16" s="191" t="str">
        <f>IF(modelloAUTO9=$B$2,IF(PROFlatRICH9="",pezzi9*DUE*VLOOKUP($B$2,tabMODELLI,COLnGUARNorizzINTERMEDIEbarriera,FALSE),pezzi9*DUE),"")</f>
        <v/>
      </c>
      <c r="HR16" s="193" t="str">
        <f>IF(modelloAUTO9=$B$2,IF(VLOOKUP($B$2,tabMODELLI,COLnGUARNorizzINTERMEDIEbarriera,FALSE)="","",larghezza9),"")</f>
        <v/>
      </c>
      <c r="HT16" s="191" t="str">
        <f>IF(modelloAUTO9=$B$2,IF(PROFlatRICH9="",pezzi9*UNO*VLOOKUP($B$2,tabMODELLI,COLnGUARNvertBARRIERA,FALSE),pezzi9*UNO),"")</f>
        <v/>
      </c>
      <c r="HU16" s="193" t="str">
        <f>IF(modelloAUTO9=$B$2,IF(VLOOKUP($B$2,tabMODELLI,COLnGUARNvertBARRIERA,FALSE)="","",altezza9),"")</f>
        <v/>
      </c>
      <c r="HV16"/>
      <c r="HW16" s="191" t="str">
        <f>IF(modelloAUTO9=$B$2,IF(PROFlatRICH9="",pezzi9*VLOOKUP($B$2,tabMODELLI,COLnTAPPIdiGIUNZIONEguarnORIZZconVERT,FALSE),pezzi9),"")</f>
        <v/>
      </c>
      <c r="HX16"/>
      <c r="HY16" s="191" t="str">
        <f>IF(modelloAUTO9=$B$2,IF(PROFlatRICH9="",pezzi9*VLOOKUP($B$2,tabMODELLI,COLnGUARNorizzPROFILOdiTENUTAlaterale,FALSE),pezzi9),"")</f>
        <v/>
      </c>
      <c r="HZ16" s="193" t="str">
        <f>IF(modelloAUTO9=$B$2,IF(VLOOKUP($B$2,tabMODELLI,COLnGUARNorizzPROFILOdiTENUTAlaterale,FALSE)="","",altezza9),"")</f>
        <v/>
      </c>
      <c r="IA16"/>
      <c r="IB16" s="191" t="str">
        <f>IF(modelloAUTO9=$B$2,IF(PROFlatRICH9="",pezzi9*VLOOKUP($B$2,tabMODELLI,COLnGUARNvertPROFILOdiTENUTAlaterale,FALSE),pezzi9),"")</f>
        <v/>
      </c>
      <c r="IC16" s="193" t="str">
        <f>IF(modelloAUTO9=$B$2,IF(VLOOKUP($B$2,tabMODELLI,COLnGUARNvertPROFILOdiTENUTAlaterale,FALSE)="","",altezza9),"")</f>
        <v/>
      </c>
      <c r="ID16"/>
      <c r="IE16" s="191" t="str">
        <f>IF(modelloAUTO9=$B$2,IF(PROFlatRICH9="",pezzi9*VLOOKUP($B$2,tabMODELLI,COLnPROFILIinNYLON,FALSE),pezzi9),"")</f>
        <v/>
      </c>
      <c r="IF16" s="193" t="str">
        <f>IF(modelloAUTO9=$B$2,IF(VLOOKUP($B$2,tabMODELLI,COLnPROFILIinNYLON,FALSE)="","",altezza9),"")</f>
        <v/>
      </c>
      <c r="IH16" s="171" t="str">
        <f>IF(modelloAUTO9=$B$2,IF(PROFoTUBsxRICH9="","",pezzi9),"")</f>
        <v/>
      </c>
      <c r="II16" s="278" t="str">
        <f>IF(modelloAUTO9=$B$2,IF(PROFoTUBsxRICH9="","",PROFoTUBsxRICH9),"")</f>
        <v/>
      </c>
      <c r="IJ16" s="257" t="str">
        <f>IF(AND(modelloAUTO9=$B$2,PROFoTUBsxRICH9&lt;&gt;""),IF(ALTprofOtubRICHsx9="","STD",ALTprofOtubRICHsx9*DIECI),"")</f>
        <v/>
      </c>
      <c r="IL16" s="201" t="str">
        <f>IF(modelloAUTO9=$B$2,IF(PROFoTUBsxRICH9="","",IF(vernPROFoTUBlatSX9="","STD",vernPROFoTUBlatSX9)),"")</f>
        <v/>
      </c>
      <c r="IN16" s="171" t="str">
        <f>IF(modelloAUTO9=$B$2,IF(PROFoTUBdxRICH9="","",pezzi9),"")</f>
        <v/>
      </c>
      <c r="IO16" s="279" t="str">
        <f>IF(modelloAUTO9=$B$2,IF(PROFoTUBdxRICH9="","",PROFoTUBdxRICH9),"")</f>
        <v/>
      </c>
      <c r="IP16" s="257" t="str">
        <f>IF(AND(modelloAUTO9=$B$2,PROFoTUBdxRICH9&lt;&gt;""),IF(ALTprofOtubRICHdx9="","STD",ALTprofOtubRICHdx9*DIECI),"")</f>
        <v/>
      </c>
      <c r="IR16" s="203" t="str">
        <f>IF(modelloAUTO9=$B$2,IF(PROFoTUBdxRICH9="","",IF(vernPROFoTUBlatDX9="","STD",vernPROFoTUBlatDX9)),"")</f>
        <v/>
      </c>
      <c r="IT16" s="204" t="str">
        <f>IF(modelloAUTO9=$B$2,IF(profORIZZ9="","",pezzi9),"")</f>
        <v/>
      </c>
      <c r="IU16" s="205" t="str">
        <f>IF(modelloAUTO9=$B$2,IF(profORIZZ9="","",CODpiattoORIZZsugg9),"")</f>
        <v/>
      </c>
      <c r="IV16" s="206" t="str">
        <f>IF(modelloAUTO9=$B$2,IF(profORIZZ9="","",larghezza9*DIECI+IF(PROFoTUBsxRICH9="",ZERO,VLOOKUP(PROFoTUBsxRICH9,TABprofOtubLATERALI,COLlargPROFoTUBlat,FALSE))+IF(PROFoTUBdxRICH9="",ZERO,VLOOKUP(PROFoTUBdxRICH9,TABprofOtubLATERALI,COLlargPROFoTUBlat,FALSE))),"")</f>
        <v/>
      </c>
      <c r="IW16"/>
      <c r="IX16" s="168">
        <v>9</v>
      </c>
      <c r="IY16" s="258" t="str">
        <f>IF(AND(modelloAUTO9=$B$2,SYSTEMantiFURTO9&lt;&gt;""),VLOOKUP($B$2,TABsistemaANTIFURTO,COLlucchetto,FALSE),"")</f>
        <v/>
      </c>
      <c r="IZ16" s="258" t="str">
        <f>IF(AND(modelloAUTO9=$B$2,SYSTEMantiFURTO9&lt;&gt;""),VLOOKUP($B$2,TABsistemaANTIFURTO,COLaccessorioANTIFURTO2,FALSE),"")</f>
        <v/>
      </c>
      <c r="JA16" s="258" t="str">
        <f>IF(AND(modelloAUTO9=$B$2,SYSTEMantiFURTO9&lt;&gt;""),VLOOKUP($B$2,TABsistemaANTIFURTO,COLaccessorioANTIFURTO,FALSE),"")</f>
        <v/>
      </c>
      <c r="JB16" s="258" t="str">
        <f>IF(AND(modelloAUTO9=$B$2,SYSTEMantiFURTO9&lt;&gt;""),VLOOKUP($B$2,TABsistemaANTIFURTO,COLviteSPECIALExANTIFURTO,FALSE),"")</f>
        <v/>
      </c>
      <c r="JC16" s="258" t="str">
        <f>IF(AND(modelloAUTO9=$B$2,SYSTEMantiFURTO9&lt;&gt;""),VLOOKUP($B$2,TABsistemaANTIFURTO,COLlavorazioneXantifurto,FALSE),"")</f>
        <v/>
      </c>
      <c r="JD16"/>
      <c r="JE16"/>
      <c r="JF16"/>
      <c r="JG16"/>
      <c r="JH16"/>
      <c r="JI16"/>
      <c r="JJ16"/>
      <c r="JK16"/>
      <c r="JL16"/>
      <c r="JM16"/>
      <c r="JN16"/>
      <c r="JO16"/>
      <c r="JP16"/>
      <c r="JQ16"/>
      <c r="JR16"/>
      <c r="JS16"/>
      <c r="JT16"/>
      <c r="JU16"/>
      <c r="JV16"/>
      <c r="JW16"/>
      <c r="JX16" s="168">
        <v>9</v>
      </c>
      <c r="JY16" s="210" t="str">
        <f>IF(modelloAUTO9=$B$2,IF(fornPIANTcentr9="","",fornPIANTcentr9*pezzi9),"")</f>
        <v/>
      </c>
      <c r="JZ16" s="210" t="str">
        <f>IF(modelloAUTO9=$B$2,IF(fornPIANTcentr9="","",CODpiantCENTRsugg9),"")</f>
        <v/>
      </c>
      <c r="KB16" s="210" t="str">
        <f>IF(modelloAUTO9=$B$2,IF(CODpiantCENTRsuggAPPOG9="","",CODpiantCENTRdiAPPOGGIOrich9),"")</f>
        <v/>
      </c>
      <c r="KC16" s="210" t="str">
        <f>IF(modelloAUTO9=$B$2,IF(CODpiantCENTRsuggAPPOG9="","",CODpiantCENTRsuggAPPOG9),"")</f>
        <v/>
      </c>
      <c r="KP16" s="168">
        <v>9</v>
      </c>
      <c r="KQ16" s="259" t="str">
        <f>IF(AND(modelloAUTO9=$B$2,VLOOKUP($B$2,tabMODELLI,COLcoeffPOSSIBILITApellicolaADESIVA,FALSE)=UNO),IF(PELLICOLA9="","",pezzi9),"")</f>
        <v/>
      </c>
      <c r="KR16" s="236" t="str">
        <f>IF(AND(modelloAUTO9=$B$2,VLOOKUP($B$2,tabMODELLI,COLcoeffPOSSIBILITApellicolaADESIVA,FALSE)=UNO),IF(PELLICOLA9="","",larghezza9*DIECI-(VLOOKUP($B$2,tabMODELLI,COLcoeffPELLICOLAadesivaLARG,FALSE))),"")</f>
        <v/>
      </c>
      <c r="KS16" s="236" t="str">
        <f>IF(AND(modelloAUTO9=$B$2,VLOOKUP($B$2,tabMODELLI,COLcoeffPOSSIBILITApellicolaADESIVA,FALSE)=UNO),IF(PELLICOLA9="","",altezza9*DIECI-(VLOOKUP($B$2,tabMODELLI,COLcoeffPELLICOLAadesivaLARG,FALSE))),"")</f>
        <v/>
      </c>
      <c r="MA16" s="168">
        <v>9</v>
      </c>
      <c r="MB16" s="260" t="str">
        <f>IF(modelloAUTO9=$B$2,stanza9,"")</f>
        <v/>
      </c>
      <c r="MC16" s="168">
        <v>9</v>
      </c>
      <c r="MD16" s="230" t="str">
        <f>IF(modelloAUTO9=$B$2,larghezza9*DIECI+4+VLOOKUP($B$2,tabMODELLI,COLcoefAUMlargBUSTApvc,FALSE)+VLOOKUP($B$2,tabMODELLI,COLcoefAUMlargXprofILIlateraliBUSTApvc,FALSE)+IF(PROFoTUBsxRICH9="",ZERO,VLOOKUP(PROFoTUBsxRICH9,TABprofOtubLATERALI,COLlargPROFoTUBlatXimballaggio,FALSE)+profELETTRODOsaldaturaPVC)+IF(PROFoTUBdxRICH9="",ZERO,VLOOKUP(PROFoTUBdxRICH9,TABprofOtubLATERALI,COLlargPROFoTUBlatXimballaggio,FALSE)+profELETTRODOsaldaturaPVC),"")</f>
        <v/>
      </c>
      <c r="ME16" s="230" t="str">
        <f>IF(modelloAUTO9=$B$2,altezza9*DIECI*DUE+VLOOKUP($B$2,tabMODELLI,COLcoefAUMaltBUSTApvc,FALSE),"")</f>
        <v/>
      </c>
      <c r="MF16" s="261"/>
      <c r="MG16" s="230" t="str">
        <f>IF(modelloAUTO9=$B$2,altezza9*DIECI+VLOOKUP($B$2,tabMODELLI,COLcoeffSALDATURAinALTbustaPVC,FALSE),"")</f>
        <v/>
      </c>
      <c r="MH16" s="230" t="str">
        <f>IF(modelloAUTO9=$B$2,VLOOKUP($B$2,tabMODELLI,COLcoeffSALDATURAinLARGperTASCAbustaPVC,FALSE),"")</f>
        <v/>
      </c>
      <c r="MI16" s="230" t="str">
        <f>IF(modelloAUTO9=$B$2,IF(PROFoTUBsxRICH9="","",VLOOKUP(PROFoTUBsxRICH9,TABprofOtubLATERALI,COLlargPROFoTUBlatXimballaggio,FALSE)),"")</f>
        <v/>
      </c>
      <c r="MJ16" s="230" t="str">
        <f>IF(modelloAUTO9=$B$2,IF(PROFoTUBdxRICH9="","",VLOOKUP(PROFoTUBdxRICH9,TABprofOtubLATERALI,COLlargPROFoTUBlatXimballaggio,FALSE)),"")</f>
        <v/>
      </c>
      <c r="ML16" s="262" t="str">
        <f>IF(modelloAUTO9=$B$2,pezzi9*DUE,"")</f>
        <v/>
      </c>
      <c r="MM16" s="263" t="str">
        <f>IF(modelloAUTO9=$B$2,larghezza9+VLOOKUP($B$2,tabMODELLI,COLcoeffAUMoCALOinLARGpolistirolo,FALSE),"")</f>
        <v/>
      </c>
      <c r="MN16" s="263" t="str">
        <f>IF(modelloAUTO9=$B$2,altezza9+VLOOKUP($B$2,tabMODELLI,COLcoeffAUMoCALOinALTpolistirolo,FALSE),"")</f>
        <v/>
      </c>
      <c r="MP16" s="264" t="str">
        <f>IF(modelloAUTO9=$B$2,IF(VLOOKUP($B$2,tabMODELLI,COLcoeffAUMoCALOinLARGprofiloAu,FALSE)="",pezzi9*DUE,pezzi9*UNO),"")</f>
        <v/>
      </c>
      <c r="MQ16" s="265" t="str">
        <f>IF(modelloAUTO9=$B$2,VLOOKUP($B$2,tabMODELLI,COLdimStdSTRISCIAdelFIANCOxLARG1polistirolo,FALSE),"")</f>
        <v/>
      </c>
      <c r="MR16" s="263" t="str">
        <f>IF(modelloAUTO9=$B$2,larghezza9+VLOOKUP($B$2,tabMODELLI,colCOEFFdellaLARGnelFIANCOpolistirolo,FALSE),"")</f>
        <v/>
      </c>
      <c r="MT16" s="262" t="str">
        <f>IF(modelloAUTO9=$B$2,IF(VLOOKUP($B$2,tabMODELLI,COLdimstdSTRISCIAdelFIANCOxALT2polistirolo,FALSE)="",pezzi9*DUE,pezzi9),"")</f>
        <v/>
      </c>
      <c r="MU16" s="265" t="str">
        <f>IF(modelloAUTO9=$B$2,VLOOKUP($B$2,tabMODELLI,COLdimstdSTRISCIAdelFIANCOxALT1polistirolo,FALSE),"")</f>
        <v/>
      </c>
      <c r="MV16" s="263" t="str">
        <f>IF(modelloAUTO9=$B$2,altezza9+VLOOKUP($B$2,tabMODELLI,colCOEFFdellaALTnelFIANCOpolistirolo,FALSE),"")</f>
        <v/>
      </c>
      <c r="MX16" s="266" t="str">
        <f>IF(modelloAUTO9=$B$2,IF(VLOOKUP($B$2,tabMODELLI,COLdimstdSTRISCIAdelFIANCOxALT2polistirolo,FALSE)="","",pezzi9*UNO),"")</f>
        <v/>
      </c>
      <c r="MY16" s="267" t="str">
        <f>IF(modelloAUTO9=$B$2,IF(VLOOKUP($B$2,tabMODELLI,COLdimstdSTRISCIAdelFIANCOxALT2polistirolo,FALSE)="","",VLOOKUP($B$2,tabMODELLI,COLdimstdSTRISCIAdelFIANCOxALT2polistirolo,FALSE)),"")</f>
        <v/>
      </c>
      <c r="MZ16" s="263" t="str">
        <f>IF(modelloAUTO9=$B$2,altezza9+VLOOKUP($B$2,tabMODELLI,colCOEFFdellaALTnelFIANCOpolistirolo,FALSE),"")</f>
        <v/>
      </c>
      <c r="NB16" s="266" t="str">
        <f>IF(modelloAUTO9=$B$2,IF(VLOOKUP($B$2,tabMODELLI,COLcoeffAUMoCALOinLARGprofiloAu,FALSE)="","",pezzi9*UNO),"")</f>
        <v/>
      </c>
      <c r="NC16" s="216" t="str">
        <f>IF(modelloAUTO9=$B$2,IF(VLOOKUP($B$2,tabMODELLI,COLcoeffAUMoCALOinLARGprofiloAu,FALSE)="","",larghezza9+VLOOKUP($B$2,tabMODELLI,COLcoeffAUMoCALOinLARGprofiloAu,FALSE)),"")</f>
        <v/>
      </c>
      <c r="ND16" s="191" t="str">
        <f>IF(modelloAUTO9=$B$2,IF(VLOOKUP($B$2,tabMODELLI,COLcoeffAUMoCALOinLARGprofiloAu,FALSE)="","",VLOOKUP($B$2,tabMODELLI,COLdimstdSTRISCIAdelFIANCOxALT1polistirolo,FALSE)),"")</f>
        <v/>
      </c>
      <c r="NI16" s="168">
        <v>9</v>
      </c>
      <c r="NJ16" s="171" t="str">
        <f>IF(pezzi9="","",pezzi9)</f>
        <v/>
      </c>
      <c r="NK16" s="170" t="str">
        <f>IF(modelloAUTO9="","",modelloAUTO9)</f>
        <v/>
      </c>
      <c r="NL16" s="172" t="str">
        <f>IF(larghezza9="","",LARGortogonalitaADEGUATA9)</f>
        <v/>
      </c>
      <c r="NM16" s="173" t="str">
        <f>IF(altezza9="","",altezza9)</f>
        <v/>
      </c>
      <c r="NO16" s="189" t="str">
        <f>IF(PesoTEORICOparatia9="","",PesoTEORICOparatia9)</f>
        <v/>
      </c>
      <c r="NR16"/>
      <c r="NS16"/>
      <c r="NT16"/>
      <c r="NU16"/>
      <c r="NV16"/>
      <c r="NW16"/>
      <c r="NX16"/>
      <c r="NY16"/>
      <c r="NZ16"/>
      <c r="OA16"/>
      <c r="OB16"/>
      <c r="OC16"/>
      <c r="OD16"/>
      <c r="OE16"/>
    </row>
    <row r="17" spans="1:404" s="150" customFormat="1" ht="38" thickBot="1">
      <c r="A17" s="168">
        <v>10</v>
      </c>
      <c r="B17" s="169" t="str">
        <f>IF(stanza9="","",stanza9)</f>
        <v/>
      </c>
      <c r="C17" s="170" t="str">
        <f>IF(modelloAUTO10="","",modelloAUTO10)</f>
        <v/>
      </c>
      <c r="D17" s="171" t="str">
        <f>IF(pezzi10="","",pezzi10)</f>
        <v/>
      </c>
      <c r="E17" s="172" t="str">
        <f>IF(larghezza10="","",LARGortogonalitaADEGUATA10)</f>
        <v/>
      </c>
      <c r="F17" s="173" t="str">
        <f>IF(altezza10="","",altezza10)</f>
        <v/>
      </c>
      <c r="G17" s="174" t="str">
        <f t="shared" si="0"/>
        <v/>
      </c>
      <c r="H17" s="175" t="str">
        <f>IF(LATOcomAUTO10="","",LATOcomAUTO10)</f>
        <v/>
      </c>
      <c r="I17" s="176" t="str">
        <f>IF(modelloAUTO10="","",IF(vernBarriera10="","",vernBarriera10))</f>
        <v/>
      </c>
      <c r="J17" s="177" t="str">
        <f>IF(modelloAUTO10=$B$2,IF(PELLICOLA10="","",pezzi10),"")</f>
        <v/>
      </c>
      <c r="K17" s="178" t="str">
        <f t="shared" si="1"/>
        <v/>
      </c>
      <c r="M17" s="179" t="str">
        <f>IF(modelloAUTO10=$B$2,IF(PROFlatAUTO10="ESCLUSI","",IF(PROFlatRICH10="","STD",PROFlatRICH10)),"")</f>
        <v/>
      </c>
      <c r="N17" s="180" t="str">
        <f>IF(AND(modelloAUTO10=$B$2,COPERTINAauto10&lt;&gt;""),TIPOcopertina10,"")</f>
        <v/>
      </c>
      <c r="O17" s="181" t="str">
        <f>IF(AND(modelloAUTO10=$B$2,PROFlatAUTO10&lt;&gt;"ESCLUSI"),IF(AND(COPERTINAauto10&lt;&gt;"",ALTprofLATrich10=""),"STD",ALTprofLATrich10*DIECI),"")</f>
        <v/>
      </c>
      <c r="P17" s="176" t="str">
        <f>IF(modelloAUTO10="","",IF(vernPROFlatTEN10="","",vernPROFlatTEN10))</f>
        <v/>
      </c>
      <c r="R17" s="176" t="str">
        <f>IF(PROFoTUBsxRICH10="","",PROFoTUBsxRICH10)</f>
        <v/>
      </c>
      <c r="S17" s="182"/>
      <c r="T17" s="176" t="str">
        <f>IF(modelloAUTO10="","",IF(PROFoTUBdxRICH10="","",PROFoTUBdxRICH10))</f>
        <v/>
      </c>
      <c r="U17" s="182"/>
      <c r="V17" s="183" t="str">
        <f>IF(modelloAUTO10="","",IF(PROFoTUBsxRICH10="","",IF(ALTprofOtubRICHsx10="","SX: STD","SX: "&amp;ALTprofOtubRICHsx10&amp;" - "))&amp;IF(PROFoTUBdxRICH10="","",IF(ALTprofOtubRICHdx10="","  DX: STD","DX :"&amp;ALTprofOtubRICHdx10)))</f>
        <v/>
      </c>
      <c r="W17" s="184" t="str">
        <f>IF(modello10="","",IF(vernPROFoTUBlatSX10="","","SX: "&amp;vernPROFoTUBlatSX10&amp;" - ")&amp;IF(vernPROFoTUBlatDX10="",""," DX: "&amp;vernPROFoTUBlatDX10))</f>
        <v/>
      </c>
      <c r="Y17" s="185" t="str">
        <f>IF(modelloAUTO10="","",IF(OR(larghezza10="",profORIZZ10=""),"",CODpiattoORIZZsugg10))</f>
        <v/>
      </c>
      <c r="Z17" s="186" t="str">
        <f>IF(modelloAUTO10="","",IF(profORIZZ10="","",larghezza10+IF(PROFoTUBsxRICH10="",0,VLOOKUP(PROFoTUBsxRICH10,TABprofOtubLATERALI,COLlargPROFoTUBlat,FALSE))+IF(PROFoTUBdxRICH10="",0,VLOOKUP(PROFoTUBdxRICH10,TABprofOtubLATERALI,COLlargPROFoTUBlat,FALSE))))</f>
        <v/>
      </c>
      <c r="AB17" s="187" t="str">
        <f>IF(modelloAUTO10="","",IF(CODpiantCENTRsugg10="","","N° "&amp;fornPIANTcentr10&amp;"-"&amp;IF(CODpiantCENTRsugg10=0,"ERRORE",CODpiantCENTRsugg10)))</f>
        <v/>
      </c>
      <c r="AC17" s="187" t="str">
        <f>IF(modelloAUTO10="","",IF(CODpiantCENTRsuggAPPOG10="","","N° "&amp;CODpiantCENTRdiAPPOGGIOrich10&amp;"-"&amp;IF(CODpiantCENTRsuggAPPOG10=0,"ERRORE",CODpiantCENTRsuggAPPOG10)))</f>
        <v/>
      </c>
      <c r="AE17" s="188" t="str">
        <f>IF(modelloAUTO10="","",IF(note_cliente10="","",note_cliente10))</f>
        <v/>
      </c>
      <c r="AF17" s="189" t="str">
        <f>IF(PesoTEORICOparatia10="","",PesoTEORICOparatia10)</f>
        <v/>
      </c>
      <c r="AG17" s="190">
        <v>10</v>
      </c>
      <c r="AI17" s="191" t="str">
        <f>IF(modelloAUTO10=$B$2,pezzi10*UNO,"")</f>
        <v/>
      </c>
      <c r="AJ17" s="192" t="str">
        <f>IF(modelloAUTO10=$B$2,larghezza10,"")</f>
        <v/>
      </c>
      <c r="AK17" s="193" t="str">
        <f>IF(modelloAUTO10=$B$2,altezza10,"")</f>
        <v/>
      </c>
      <c r="AL17" s="174" t="str">
        <f t="shared" si="2"/>
        <v/>
      </c>
      <c r="AM17" s="173" t="str">
        <f t="shared" si="3"/>
        <v>DX (di serie)</v>
      </c>
      <c r="AN17" s="194"/>
      <c r="AO17"/>
      <c r="AP17" s="195" t="str">
        <f>IF(modelloAUTO10=$B$2,IF(PROFlatRICH10="",pezzi10*DUE*VLOOKUP($B$2,tabMODELLI,COLprofiliLATdiserie,FALSE),pezzi10*DUE),"")</f>
        <v/>
      </c>
      <c r="AQ17" s="179" t="str">
        <f>IF(modelloAUTO10=$B$2,IF(PROFlatAUTO10="ESCLUSI","",IF(PROFlatRICH10="","STD",PROFlatRICH10)),"")</f>
        <v/>
      </c>
      <c r="AR17" s="196" t="str">
        <f>IF(AND(modelloAUTO10=$B$2,PROFlatAUTO10&lt;&gt;"ESCLUSI"),IF(ALTprofLATrich10="","STD",ALTprofLATrich10*DIECI),"")</f>
        <v/>
      </c>
      <c r="AT17" s="272" t="str">
        <f>IF(modelloAUTO10=$B$2,IF(TIPOcopertina10="","",TIPOcopertina10),"")</f>
        <v/>
      </c>
      <c r="AV17" s="198" t="str">
        <f>IF(modelloAUTO10=$B$2,IF(vernBarriera10="","STD",vernBarriera10),"")</f>
        <v/>
      </c>
      <c r="AX17" s="171" t="str">
        <f>IF(modelloAUTO10=$B$2,IF(PROFoTUBsxRICH10="","",pezzi10),"")</f>
        <v/>
      </c>
      <c r="AY17" s="278" t="str">
        <f>IF(modelloAUTO10=$B$2,IF(PROFoTUBsxRICH10="","",PROFoTUBsxRICH10),"")</f>
        <v/>
      </c>
      <c r="AZ17" s="200" t="str">
        <f>IF(AND(modelloAUTO10=$B$2,PROFoTUBsxRICH10&lt;&gt;""),IF(ALTprofOtubRICHsx10="","STD",ALTprofOtubRICHsx10),"")</f>
        <v/>
      </c>
      <c r="BB17" s="201" t="str">
        <f>IF(modelloAUTO10=$B$2,IF(PROFoTUBsxRICH10="","",IF(vernPROFoTUBlatSX10="","STD",vernPROFoTUBlatSX10)),"")</f>
        <v/>
      </c>
      <c r="BD17" s="171" t="str">
        <f>IF(modelloAUTO10=$B$2,IF(PROFoTUBdxRICH10="","",pezzi10),"")</f>
        <v/>
      </c>
      <c r="BE17" s="279" t="str">
        <f>IF(modelloAUTO10=$B$2,IF(PROFoTUBdxRICH10="","",PROFoTUBdxRICH10),"")</f>
        <v/>
      </c>
      <c r="BF17" s="200" t="str">
        <f>IF(AND(modelloAUTO10=$B$2,PROFoTUBdxRICH10&lt;&gt;""),IF(ALTprofOtubRICHdx10="","STD",ALTprofOtubRICHdx10),"")</f>
        <v/>
      </c>
      <c r="BH17" s="203" t="str">
        <f>IF(modelloAUTO10=$B$2,IF(PROFoTUBdxRICH10="","",IF(vernPROFoTUBlatDX10="","STD",vernPROFoTUBlatDX10)),"")</f>
        <v/>
      </c>
      <c r="BJ17" s="204" t="str">
        <f>IF(modelloAUTO10=$B$2,IF(profORIZZ10="","",pezzi10),"")</f>
        <v/>
      </c>
      <c r="BK17" s="205" t="str">
        <f>IF(modelloAUTO10=$B$2,IF(profORIZZ10="","",CODpiattoORIZZsugg10),"")</f>
        <v/>
      </c>
      <c r="BL17" s="206" t="str">
        <f>IF(modelloAUTO10=$B$2,IF(profORIZZ10="","",larghezza10*UNO+IF(PROFoTUBsxRICH10="",ZERO,VLOOKUP(PROFoTUBsxRICH10,TABprofOtubLATERALI,COLlargPROFoTUBlat,FALSE))+IF(PROFoTUBdxRICH10="",ZERO,VLOOKUP(PROFoTUBdxRICH10,TABprofOtubLATERALI,COLlargPROFoTUBlat,FALSE))),"")</f>
        <v/>
      </c>
      <c r="BN17" s="207" t="str">
        <f ca="1">IF(modelloAUTO10=$B$2,INDEX(INDIRECT("TABnCHIAVISTELLOvert"&amp;$B$2),rif_alt10,rif_larg10)*pezzi10,"")</f>
        <v/>
      </c>
      <c r="BO17"/>
      <c r="BP17" s="178" t="str">
        <f t="shared" si="4"/>
        <v/>
      </c>
      <c r="BQ17" s="208" t="str">
        <f ca="1">IF(modelloAUTO10=$B$2,INDEX(INDIRECT("TABnMANIGLIEsuperiori"&amp;$B$2),rif_alt10,rif_larg10)+INDEX(INDIRECT("TABnMANIGLIEfrontali"&amp;$B$2),rif_alt10,rif_larg10),"")</f>
        <v/>
      </c>
      <c r="BR17" s="191" t="str">
        <f>IF(modelloAUTO10=$B$2,pezzi10*DUE,"")</f>
        <v/>
      </c>
      <c r="BS17" s="209" t="str">
        <f>IF(modelloAUTO10=$B$2,BQ17*DUE,"")</f>
        <v/>
      </c>
      <c r="BT17" s="209" t="str">
        <f>IF(modelloAUTO10=$B$2,BR17*TRE,"")</f>
        <v/>
      </c>
      <c r="BU17" s="191" t="str">
        <f>IF(modelloAUTO10=$B$2,pezzi10*DUE,"")</f>
        <v/>
      </c>
      <c r="BV17" s="191" t="str">
        <f>IF(modelloAUTO10=$B$2,pezzi10*DUE,"")</f>
        <v/>
      </c>
      <c r="BW17" s="191" t="str">
        <f>IF(modelloAUTO10=$B$2,pezzi10*DUE,"")</f>
        <v/>
      </c>
      <c r="BX17" s="191" t="str">
        <f>IF(modelloAUTO10=$B$2,pezzi10*DUE,"")</f>
        <v/>
      </c>
      <c r="BY17" s="191" t="str">
        <f>IF(modelloAUTO10=$B$2,pezzi10*DUE,"")</f>
        <v/>
      </c>
      <c r="CA17" s="210" t="str">
        <f>IF(modelloAUTO10=$B$2,IF(fornPIANTcentr10="","",fornPIANTcentr10*pezzi10),"")</f>
        <v/>
      </c>
      <c r="CB17" s="210" t="str">
        <f>IF(modelloAUTO10=$B$2,IF(fornPIANTcentr10="","",CODpiantCENTRsugg10),"")</f>
        <v/>
      </c>
      <c r="CD17" s="210" t="str">
        <f>IF(modelloAUTO10=$B$2,IF(CODpiantCENTRsuggAPPOG10="","",CODpiantCENTRdiAPPOGGIOrich10),"")</f>
        <v/>
      </c>
      <c r="CE17" s="210" t="str">
        <f>IF(modelloAUTO10=$B$2,IF(CODpiantCENTRsuggAPPOG10="","",CODpiantCENTRsuggAPPOG10),"")</f>
        <v/>
      </c>
      <c r="CG17" s="273">
        <v>10</v>
      </c>
      <c r="CI17" s="211" t="str">
        <f>IF(modelloAUTO10=$B$2,altezza10*DIECI/FLOOR(VLOOKUP($B$2,tabMODELLI,COLcoefALTdogaSORMONTATAda200,FALSE),UNO)*pezzi10,"")</f>
        <v/>
      </c>
      <c r="CJ17" s="212" t="str">
        <f>IF(modelloAUTO10=$B$2,larghezza10*DIECI-VLOOKUP($B$2,tabMODELLI,COLcoeffTAGLIOdogaOPPURElastraINlarg,FALSE)-VLOOKUP(PROFlatAUTO10,TABprofLATten,COLcoeffCALOdoga,FALSE),"")</f>
        <v/>
      </c>
      <c r="CK17"/>
      <c r="CL17" s="213" t="str">
        <f>IF(modelloAUTO10=$B$2,(altezza10*DIECI/FLOOR(VLOOKUP($B$2,tabMODELLI,COLcoefALTdogaSORMONTATAda200,FALSE),CENTO)-FLOOR(altezza10*DIECI/FLOOR(VLOOKUP($B$2,tabMODELLI,COLcoefALTdogaSORMONTATAda200,FALSE),CENTO),UNO))*pezzi10,"")</f>
        <v/>
      </c>
      <c r="CM17" s="214" t="str">
        <f>IF(modelloAUTO10=$B$2,(((altezza10*DIECI-VLOOKUP($B$2,tabMODELLI,COLcoeffCALOtaglioPANNELLObarrieraMONOLITICOoASSEMBLATOInALT,FALSE))/VLOOKUP($B$2,tabMODELLI,colALTnominaleDOGAmm,FALSE)-(FLOOR(altezza10*DIECI/FLOOR(VLOOKUP($B$2,tabMODELLI,COLcoefALTdogaSORMONTATAda200,FALSE),CENTO),UNO)))*(VLOOKUP($B$2,tabMODELLI,colALTnominaleDOGAmm,FALSE))),"")</f>
        <v/>
      </c>
      <c r="CN17" s="203" t="str">
        <f>IF(modelloAUTO10=$B$2,IF(vernBarriera10="","STD",vernBarriera10),"")</f>
        <v/>
      </c>
      <c r="CO17" s="174" t="str">
        <f t="shared" si="5"/>
        <v/>
      </c>
      <c r="CP17" s="215" t="str">
        <f>IF(modelloAUTO10=$B$2,LATOcomAUTO10,"")</f>
        <v/>
      </c>
      <c r="CQ17"/>
      <c r="CR17" s="216" t="str">
        <f>IF(modelloAUTO10=$B$2,pezzi10*UNO,"")</f>
        <v/>
      </c>
      <c r="CS17" s="212" t="str">
        <f>IF(modelloAUTO10=$B$2,altezza10*DIECI+VLOOKUP($B$2,tabMODELLI,COLcoeffTAGLIOPROFILIlateraliEverticaliAttaccatiALLAbarriera,FALSE),"")</f>
        <v/>
      </c>
      <c r="CT17" s="217" t="str">
        <f>IF(modelloAUTO10=$B$2,"|90° 90°|","")</f>
        <v/>
      </c>
      <c r="CU17" s="218"/>
      <c r="CV17" s="219" t="str">
        <f>IF(modelloAUTO10=$B$2,pezzi10*DUE,"")</f>
        <v/>
      </c>
      <c r="CW17" s="220" t="str">
        <f>IF(modelloAUTO10=$B$2,larghezza10*DIECI-VLOOKUP($B$2,tabMODELLI,COLcoeffTAGLIOPROFILIlateraliEverticaliAttaccatiALLAbarriera,FALSE),"")</f>
        <v/>
      </c>
      <c r="CX17" s="217" t="str">
        <f t="shared" si="25"/>
        <v/>
      </c>
      <c r="CY17" s="221"/>
      <c r="CZ17" s="222" t="str">
        <f>IF(modelloAUTO10=$B$2,PROFlatAUTO10,"")</f>
        <v/>
      </c>
      <c r="DA17" s="223" t="str">
        <f>IF(modelloAUTO10=$B$2,pezzi10,"")</f>
        <v/>
      </c>
      <c r="DB17" s="217" t="str">
        <f>IF(modelloAUTO10=$B$2,altezza10*DIECI-VLOOKUP(PROFlatAUTO10,TABprofLATten,COLsfioroPROFtenLATrispettoALvano,FALSE),"")</f>
        <v/>
      </c>
      <c r="DC17" s="217" t="str">
        <f>IF(modelloAUTO10=$B$2,"|90° 45°/","")</f>
        <v/>
      </c>
      <c r="DD17" s="224"/>
      <c r="DE17" s="223" t="str">
        <f>IF(modelloAUTO10=$B$2,pezzi10,"")</f>
        <v/>
      </c>
      <c r="DF17" s="217" t="str">
        <f>IF(modelloAUTO10=$B$2,larghezza10*DIECI-(VLOOKUP(PROFlatAUTO10,TABprofLATten,COLsfioroPROFtenLATrispettoALvano,FALSE)*DUE),"")</f>
        <v/>
      </c>
      <c r="DG17" s="217" t="str">
        <f>IF(modelloAUTO10=$B$2,"\45° 90°|","")</f>
        <v/>
      </c>
      <c r="DH17" s="224"/>
      <c r="DI17" s="223" t="str">
        <f>IF(modelloAUTO10=$B$2,pezzi10,"")</f>
        <v/>
      </c>
      <c r="DJ17" s="217" t="str">
        <f>IF(modelloAUTO10=$B$2,altezza10*DIECI-VLOOKUP(PROFlatAUTO10,TABprofLATten,COLsfioroPROFtenLATrispettoALvano,FALSE),"")</f>
        <v/>
      </c>
      <c r="DK17" s="217" t="str">
        <f>IF(modelloAUTO10=$B$2,"\45° 45°/","")</f>
        <v/>
      </c>
      <c r="DL17" s="225"/>
      <c r="DM17" s="226" t="str">
        <f>IF(modelloAUTO10=$B$2,pezzi10,"")</f>
        <v/>
      </c>
      <c r="DN17" s="226" t="str">
        <f>IF(modelloAUTO10=$B$2,larghezza10*DIECI,"")</f>
        <v/>
      </c>
      <c r="DO17" s="227" t="str">
        <f>IF(modelloAUTO10=$B$2,"|90° 90°|","")</f>
        <v/>
      </c>
      <c r="DP17" s="221"/>
      <c r="DQ17" s="228" t="str">
        <f>IF(modelloAUTO10=$B$2,DIMprimoFOROdalPAVIMENTOperFISSAGGIOprofiloDItenutaLATERALE*DIECI,"")</f>
        <v/>
      </c>
      <c r="DR17" s="228" t="str">
        <f ca="1">IF(modelloAUTO10=$B$2,IF(VLOOKUP(altezza10,INDIRECT("tabNfissaggi"&amp;$B$2),INDIRECT("colNfiSsaggi"&amp;$B$2),TRUE)&lt;DR$6,"",(IF(VLOOKUP(altezza10,INDIRECT("tabNfissaggi"&amp;$B$2),INDIRECT("colNfiSsaggi"&amp;$B$2),FALSE)=DR$6,altezza10*DIECI-DIMprimoFOROdalPAVIMENTOperFISSAGGIOprofiloDItenutaLATERALE,DQ107+(((altezza10*DIECI-DIMprimoFOROdalPAVIMENTOperFISSAGGIOprofiloDItenutaLATERALE*DIECI*DUE))/(VLOOKUP((altezza10),INDIRECT("tabNfissaggi"&amp;$B$2),INDIRECT("colNfiSsaggi"&amp;$B$2),FALSE)-UNO))))),"")</f>
        <v/>
      </c>
      <c r="DS17" s="228" t="str">
        <f ca="1">IF(modelloAUTO10=$B$2,IF(VLOOKUP(altezza10,INDIRECT("tabNfissaggi"&amp;$B$2),INDIRECT("colNfiSsaggi"&amp;$B$2),TRUE)&lt;DS$6,"",(IF(VLOOKUP(altezza10,INDIRECT("tabNfissaggi"&amp;$B$2),INDIRECT("colNfiSsaggi"&amp;$B$2),FALSE)=DS$6,altezza10*DIECI-DIMprimoFOROdalPAVIMENTOperFISSAGGIOprofiloDItenutaLATERALE,DR107+(((altezza10*DIECI-DIMprimoFOROdalPAVIMENTOperFISSAGGIOprofiloDItenutaLATERALE*DIECI*DUE))/(VLOOKUP((altezza10),INDIRECT("tabNfissaggi"&amp;$B$2),INDIRECT("colNfiSsaggi"&amp;$B$2),FALSE)-UNO))))),"")</f>
        <v/>
      </c>
      <c r="DT17" s="228" t="str">
        <f ca="1">IF(modelloAUTO10=$B$2,IF(VLOOKUP(altezza10,INDIRECT("tabNfissaggi"&amp;$B$2),INDIRECT("colNfiSsaggi"&amp;$B$2),TRUE)&lt;DT$6,"",(IF(VLOOKUP(altezza10,INDIRECT("tabNfissaggi"&amp;$B$2),INDIRECT("colNfiSsaggi"&amp;$B$2),FALSE)=DT$6,altezza10*DIECI-DIMprimoFOROdalPAVIMENTOperFISSAGGIOprofiloDItenutaLATERALE,DS107+(((altezza10*DIECI-DIMprimoFOROdalPAVIMENTOperFISSAGGIOprofiloDItenutaLATERALE*DIECI*DUE))/(VLOOKUP((altezza10),INDIRECT("tabNfissaggi"&amp;$B$2),INDIRECT("colNfiSsaggi"&amp;$B$2),FALSE)-UNO))))),"")</f>
        <v/>
      </c>
      <c r="DU17" s="228" t="str">
        <f ca="1">IF(modelloAUTO10=$B$2,IF(VLOOKUP(altezza10,INDIRECT("tabNfissaggi"&amp;$B$2),INDIRECT("colNfiSsaggi"&amp;$B$2),TRUE)&lt;DU$6,"",(IF(VLOOKUP(altezza10,INDIRECT("tabNfissaggi"&amp;$B$2),INDIRECT("colNfiSsaggi"&amp;$B$2),FALSE)=DU$6,altezza10*DIECI-DIMprimoFOROdalPAVIMENTOperFISSAGGIOprofiloDItenutaLATERALE,DT107+(((altezza10*DIECI-DIMprimoFOROdalPAVIMENTOperFISSAGGIOprofiloDItenutaLATERALE*DIECI*DUE))/(VLOOKUP((altezza10),INDIRECT("tabNfissaggi"&amp;$B$2),INDIRECT("colNfiSsaggi"&amp;$B$2),FALSE)-UNO))))),"")</f>
        <v/>
      </c>
      <c r="DV17" s="221"/>
      <c r="DW17" s="229" t="str">
        <f>IF(modelloAUTO10=$B$2,(PRIMOforoNELLantaPARTENDOdaLBASSOclose-VLOOKUP($B$2,tabMODELLI,COLcoeffALTprofiloSogliaRimanenteSOTTOalTELAIOperimetrale,FALSE)),"")</f>
        <v/>
      </c>
      <c r="DX17" s="230" t="str">
        <f>IF(modelloAUTO10=$B$2,DW17+INTERASSSEforiANTAcernieraSAVIOmechanica,"")</f>
        <v/>
      </c>
      <c r="DY17" s="231" t="str">
        <f>IF(modelloAUTO10=$B$2,INDEX(TABforoBASSOcernieraNELLantaCONdogaCLICKRAPIDnellANTACONsavIOMECHANICA,UNO,MATCH(((CJ17)/DUE),TABforoBASSOcernieraNELLantaCONdogaCLICKRAPIDnellANTACONsavIOMECHANICA,UNO)),"")</f>
        <v/>
      </c>
      <c r="DZ17" s="232" t="str">
        <f>IF(modelloAUTO10=$B$2,DY17+INTERASSSEforiANTAcernieraSAVIOmechanica,"")</f>
        <v/>
      </c>
      <c r="EA17" s="231" t="str">
        <f>IF(modelloAUTO10=$B$2,INDEX(TABforoBASSOcernieraNELLantaCONdogaCLICKRAPIDnellANTACONsavIOMECHANICA,UNO,MATCH((CJ17-ALTEZZAcerNIERAcomMPOSTAdalle2aliMECHANICA-altezzaALAcanalinoDA35X35X2),TABforoBASSOcernieraNELLantaCONdogaCLICKRAPIDnellANTACONsavIOMECHANICA,UNO)),"")</f>
        <v/>
      </c>
      <c r="EB17" s="232" t="str">
        <f>IF(modelloAUTO10=$B$2,EA17+INTERASSSEforiANTAcernieraSAVIOmechanica,"")</f>
        <v/>
      </c>
      <c r="EC17" s="233"/>
      <c r="ED17" s="234" t="str">
        <f>IF(modelloAUTO10=$B$2,"a: "&amp;DW17+INTERASSSEforiANTAcernieraSAVIOmechanica/DUE,"")</f>
        <v/>
      </c>
      <c r="EE17" s="234" t="str">
        <f>IF(modelloAUTO10=$B$2,"a: "&amp;DY17+INTERASSSEforiANTAcernieraSAVIOmechanica/DUE,"")</f>
        <v/>
      </c>
      <c r="EF17" s="234" t="str">
        <f>IF(modelloAUTO10=$B$2,"a: "&amp;EA17+INTERASSSEforiANTAcernieraSAVIOmechanica/DUE,"")</f>
        <v/>
      </c>
      <c r="EG17"/>
      <c r="EH17" s="235" t="str">
        <f>IF(modelloAUTO10=$B$2,pezzi10,"")</f>
        <v/>
      </c>
      <c r="EI17" s="235" t="str">
        <f>IF(modelloAUTO10=$B$2,INTERASSEforoPERnottolinoDIcomandoMANIGLIAdiCHIUSURAaLEVAclose,"")</f>
        <v/>
      </c>
      <c r="EJ17" s="236" t="str">
        <f>IF(modelloAUTO10=$B$2,ALTCentroNOTTOLINOpartendoDALbassodellaDOGA,"")</f>
        <v/>
      </c>
      <c r="EK17" s="280"/>
      <c r="EL17" s="216" t="str">
        <f>IF(modelloAUTO10=$B$2,pezzi10*UNO,"")</f>
        <v/>
      </c>
      <c r="EM17" s="212" t="str">
        <f>IF(modelloAUTO10=$B$2,altezza10*DIECI+VLOOKUP($B$2,tabMODELLI,COLcoeffTAGLIOPROFILOdiAGGANCIOsistemaMODERNA,FALSE),"")</f>
        <v/>
      </c>
      <c r="EN17"/>
      <c r="EO17" s="216" t="str">
        <f>IF(modelloAUTO10=$B$2,pezzi10*UNO,"")</f>
        <v/>
      </c>
      <c r="EP17" s="212" t="str">
        <f>IF(modelloAUTO10=$B$2,altezza10*DIECI+VLOOKUP($B$2,tabMODELLI,COLcoeffTAGLIOPROFILOdiAGGANCIOsistemaMODERNA,FALSE),"")</f>
        <v/>
      </c>
      <c r="EQ17"/>
      <c r="ER17" s="216" t="str">
        <f>IF(modelloAUTO10=$B$2,pezzi10*UNO,"")</f>
        <v/>
      </c>
      <c r="ES17" s="212" t="str">
        <f>IF(modelloAUTO10=$B$2,altezza10*DIECI+VLOOKUP($B$2,tabMODELLI,COLcoeffTAGLIOPROFILIlateraliEverticaliAttaccatiALLAbarriera,FALSE),"")</f>
        <v/>
      </c>
      <c r="ET17" s="218"/>
      <c r="EU17" s="191" t="str">
        <f>IF(modelloAUTO10=$B$2,IF(PROFlatRICH10="",pezzi10*DUE*VLOOKUP($B$2,tabMODELLI,COLprofiliLATdiserie,FALSE),pezzi10*DUE),"")</f>
        <v/>
      </c>
      <c r="EV17" s="179" t="str">
        <f>IF(modelloAUTO10=$B$2,IF(PROFlatRICH10="","STD",PROFlatRICH10),"")</f>
        <v/>
      </c>
      <c r="EW17" s="275" t="str">
        <f>IF(modelloAUTO10=$B$2,IF(TIPOcopertina10="","",TIPOcopertina10),"")</f>
        <v/>
      </c>
      <c r="EX17" s="238" t="str">
        <f>IF(modelloAUTO10=$B$2,VLOOKUP($B$2,tabMODELLI,COLcoeffALTguarnINFERIOREschiacciata,FALSE)+(VLOOKUP($B$2,tabMODELLI,COLcoefALTdogaREALEda200,FALSE)+(VLOOKUP($B$2,tabMODELLI,COLcoefALTdogaSORMONTATAda200,FALSE)*(CEILING(altezza10*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7" s="218"/>
      <c r="EZ17" s="276" t="str">
        <f ca="1">IF(OR(modelloAUTO10=$B$2,modelloAUTO10=CLICK_RAPIDxPRIVATO),INDEX(INDIRECT("TABnCHIAVISTELLOvert"&amp;$B$2),rif_alt10,rif_larg10)*pezzi10,"")</f>
        <v/>
      </c>
      <c r="FA17" s="240" t="str">
        <f>IF(modelloAUTO10=$B$2,IF(AND(nCatenacci10&lt;&gt;"",profORIZZ10&lt;&gt;""),spessoreCATENACCIOverticale60X105X300,""),"")</f>
        <v/>
      </c>
      <c r="FB17" s="277" t="str">
        <f ca="1">IF(OR(nCatenacci10=0,nCatenacci10="",),"",(CJ17+QUATTRO-(IF(nCatenacci10="",ZERO,SESSANTA*(nCatenacci10/PZCLICK_RAPID10))))/((nCatenacci10/PZCLICK_RAPID10)+UNO))</f>
        <v/>
      </c>
      <c r="FD17" s="242" t="str">
        <f ca="1">IF(modelloAUTO10=$B$2,INDEX(INDIRECT("TABnMANIGLIEsuperiori"&amp;$B$2),rif_alt10,rif_larg10),"")</f>
        <v/>
      </c>
      <c r="FE17" s="243" t="str">
        <f ca="1">IF(modelloAUTO10=$B$2,(larghezza10-CATENACCIOLOorizzontaleINGOMBROclick_rapid-DUE)/INDEX(INDIRECT("TABnMANIGLIEsuperiori"&amp;$B$2),rif_alt10,rif_larg10),"")</f>
        <v/>
      </c>
      <c r="FG17" s="244" t="str">
        <f ca="1">IF(modelloAUTO10=$B$2,INDEX(INDIRECT("TABnMANIGLIEfrontali"&amp;$B$2),rif_alt10,rif_larg10),"")</f>
        <v/>
      </c>
      <c r="FH17"/>
      <c r="FI17" s="245">
        <f>((larghezza10*DIECI-COEFFlargCOMPLESSIVAdelKITcerniere_GANCIOassemblato))</f>
        <v>-261</v>
      </c>
      <c r="FJ17" s="245">
        <f t="shared" si="17"/>
        <v>19.453363192402126</v>
      </c>
      <c r="FK17" s="245">
        <f t="shared" si="18"/>
        <v>0.4001326</v>
      </c>
      <c r="FL17" s="246">
        <f>(altezza10+TREDICI/DIECI)/CENTO*(CERNIERA_TUBOLARE_MODERNA+CERNIERA_APERTA_MODERNA+UNCINO)+(altezza10/(VLOOKUP($B$2,tabMODELLI,COLcoefALTdogaSORMONTATAda200,FALSE)/DIECI)*COEFFdogaINSERITAnellaCERNIERAaertaFINOallaFINEdelGANCIO*VLOOKUP($B$2,tabMODELLI,COLpesoALKGmlDOGA,FALSE))</f>
        <v>9.6758999999999998E-2</v>
      </c>
      <c r="FM17" s="247"/>
      <c r="FN17" s="247">
        <f>altezza10/(VLOOKUP($B$2,tabMODELLI,COLcoefALTdogaSORMONTATAda200,FALSE)/DIECI)*((((larghezza10-(COEFFlargCOMPLESSIVAdelKITcerniere_GANCIOassemblato/DIECI))/CENTO)*VLOOKUP($B$2,tabMODELLI,COLpesoALKGmlDOGA,FALSE)))</f>
        <v>0</v>
      </c>
      <c r="FO17" s="247">
        <f>larghezza10/CENTO*PESOguarnORIZZmodernaKG\ML</f>
        <v>0</v>
      </c>
      <c r="FP17" s="247">
        <f>(altezza10/(VLOOKUP($B$2,tabMODELLI,COLcoefALTdogaSORMONTATAda200,FALSE)/DIECI)-UNO)*((((larghezza10-(COEFFlargCOMPLESSIVAdelKITcerniere_GANCIOassemblato/DIECI))/CENTO)*pesoALmlDOPPIAsiliconaturaINunaDOGA))</f>
        <v>0.1827</v>
      </c>
      <c r="FQ17" s="247">
        <f>(altezza10/CENTO*H_MODERNA)</f>
        <v>0</v>
      </c>
      <c r="FR17" s="248">
        <f t="shared" si="21"/>
        <v>0.33979579999999998</v>
      </c>
      <c r="FS17" s="248">
        <f t="shared" si="22"/>
        <v>-7.2599999999999998E-2</v>
      </c>
      <c r="FT17" s="249">
        <f t="shared" si="26"/>
        <v>-4.2183908045977011E-4</v>
      </c>
      <c r="FU17" s="249">
        <f t="shared" si="27"/>
        <v>0.1101</v>
      </c>
      <c r="FV17" s="249">
        <f t="shared" si="28"/>
        <v>-0.22969579999999998</v>
      </c>
      <c r="FW17" s="249">
        <f t="shared" si="23"/>
        <v>9.689466505747125E-5</v>
      </c>
      <c r="FX17" s="246">
        <f t="shared" si="29"/>
        <v>0.33979579999999998</v>
      </c>
      <c r="FY17" s="250">
        <f t="shared" si="24"/>
        <v>-824.51038266936757</v>
      </c>
      <c r="FZ17"/>
      <c r="GA17" s="251"/>
      <c r="GB17" s="251"/>
      <c r="GC17" s="251"/>
      <c r="GD17" s="251"/>
      <c r="GE17" s="251"/>
      <c r="GF17" s="251"/>
      <c r="GG17" s="251"/>
      <c r="GI17" s="252" t="str">
        <f>IF(modelloAUTO10=$B$2,IF(PROFlatRICH10="",pezzi10*UNO*VLOOKUP($B$2,tabMODELLI,COLnMANIGLIAasportabile,FALSE),pezzi10*UNO),"")</f>
        <v/>
      </c>
      <c r="GJ17" s="252" t="str">
        <f>IF(modelloAUTO10=$B$2,pezzi10*DUE,"")</f>
        <v/>
      </c>
      <c r="GK17" s="252" t="str">
        <f>IF(modelloAUTO10=$B$2,pezzi10*UNO,"")</f>
        <v/>
      </c>
      <c r="GL17" s="253" t="str">
        <f>IF(modelloAUTO10=$B$2,IF(SYSTEMantiFURTO10&lt;&gt;"",VLOOKUP($B$2,TABsistemaANTIFURTO,COLusoVITEdISERIE,FALSE),pezzi10),"")</f>
        <v/>
      </c>
      <c r="GM17" s="252" t="str">
        <f>IF(modelloAUTO10=$B$2,pezzi10*UNO,"")</f>
        <v/>
      </c>
      <c r="GN17" s="252" t="str">
        <f>IF(modelloAUTO10=$B$2,NmaniglieDItrasporto10*DUE,"")</f>
        <v/>
      </c>
      <c r="GO17" s="254" t="str">
        <f>IF(modelloAUTO10=$B$2,pezzi10*QUINDICI,"")</f>
        <v/>
      </c>
      <c r="GP17" s="254" t="str">
        <f>IF(modelloAUTO10=$B$2,pezzi10*DUE,"")</f>
        <v/>
      </c>
      <c r="GQ17" s="254" t="str">
        <f>IF(modelloAUTO10=$B$2,pezzi10*DUE,"")</f>
        <v/>
      </c>
      <c r="GR17" s="254" t="str">
        <f>IF(modelloAUTO10=$B$2,pezzi10*UNO,"")</f>
        <v/>
      </c>
      <c r="GS17" s="254" t="str">
        <f>IF(modelloAUTO10=$B$2,pezzi10*DUE,"")</f>
        <v/>
      </c>
      <c r="GT17" s="254" t="str">
        <f>IF(modelloAUTO10=$B$2,pezzi10*DUE,"")</f>
        <v/>
      </c>
      <c r="GU17" s="254" t="str">
        <f>IF(modelloAUTO10=$B$2,pezzi10*DUE,"")</f>
        <v/>
      </c>
      <c r="GV17" s="254" t="str">
        <f>IF(modelloAUTO10=$B$2,pezzi10*DUE,"")</f>
        <v/>
      </c>
      <c r="GW17" s="251"/>
      <c r="GX17" s="251"/>
      <c r="GY17" s="251"/>
      <c r="GZ17" s="251"/>
      <c r="HA17" s="251"/>
      <c r="HB17" s="251"/>
      <c r="HC17" s="251"/>
      <c r="HD17" s="251"/>
      <c r="HE17" s="251"/>
      <c r="HF17" s="251"/>
      <c r="HG17" s="251"/>
      <c r="HH17" s="251"/>
      <c r="HI17" s="251"/>
      <c r="HJ17" s="251"/>
      <c r="HK17" s="251"/>
      <c r="HL17" s="251"/>
      <c r="HN17" s="191" t="str">
        <f>IF(modelloAUTO10=$B$2,IF(PROFlatRICH10="",pezzi10*VLOOKUP($B$2,tabMODELLI,COLnGUARNorizzINFERIOREbarriera,FALSE),pezzi10),"")</f>
        <v/>
      </c>
      <c r="HO17" s="193" t="str">
        <f>IF(modelloAUTO10=$B$2,IF(VLOOKUP($B$2,tabMODELLI,COLnGUARNorizzINFERIOREbarriera,FALSE)="","",larghezza10),"")</f>
        <v/>
      </c>
      <c r="HQ17" s="191" t="str">
        <f>IF(modelloAUTO10=$B$2,IF(PROFlatRICH10="",pezzi10*DUE*VLOOKUP($B$2,tabMODELLI,COLnGUARNorizzINTERMEDIEbarriera,FALSE),pezzi10*DUE),"")</f>
        <v/>
      </c>
      <c r="HR17" s="193" t="str">
        <f>IF(modelloAUTO10=$B$2,IF(VLOOKUP($B$2,tabMODELLI,COLnGUARNorizzINTERMEDIEbarriera,FALSE)="","",larghezza10),"")</f>
        <v/>
      </c>
      <c r="HT17" s="191" t="str">
        <f>IF(modelloAUTO10=$B$2,IF(PROFlatRICH10="",pezzi10*UNO*VLOOKUP($B$2,tabMODELLI,COLnGUARNvertBARRIERA,FALSE),pezzi10*UNO),"")</f>
        <v/>
      </c>
      <c r="HU17" s="193" t="str">
        <f>IF(modelloAUTO10=$B$2,IF(VLOOKUP($B$2,tabMODELLI,COLnGUARNvertBARRIERA,FALSE)="","",altezza10),"")</f>
        <v/>
      </c>
      <c r="HV17"/>
      <c r="HW17" s="191" t="str">
        <f>IF(modelloAUTO10=$B$2,IF(PROFlatRICH10="",pezzi10*VLOOKUP($B$2,tabMODELLI,COLnTAPPIdiGIUNZIONEguarnORIZZconVERT,FALSE),pezzi10),"")</f>
        <v/>
      </c>
      <c r="HX17"/>
      <c r="HY17" s="191" t="str">
        <f>IF(modelloAUTO10=$B$2,IF(PROFlatRICH10="",pezzi10*VLOOKUP($B$2,tabMODELLI,COLnGUARNorizzPROFILOdiTENUTAlaterale,FALSE),pezzi10),"")</f>
        <v/>
      </c>
      <c r="HZ17" s="193" t="str">
        <f>IF(modelloAUTO10=$B$2,IF(VLOOKUP($B$2,tabMODELLI,COLnGUARNorizzPROFILOdiTENUTAlaterale,FALSE)="","",altezza10),"")</f>
        <v/>
      </c>
      <c r="IA17"/>
      <c r="IB17" s="191" t="str">
        <f>IF(modelloAUTO10=$B$2,IF(PROFlatRICH10="",pezzi10*VLOOKUP($B$2,tabMODELLI,COLnGUARNvertPROFILOdiTENUTAlaterale,FALSE),pezzi10),"")</f>
        <v/>
      </c>
      <c r="IC17" s="193" t="str">
        <f>IF(modelloAUTO10=$B$2,IF(VLOOKUP($B$2,tabMODELLI,COLnGUARNvertPROFILOdiTENUTAlaterale,FALSE)="","",altezza10),"")</f>
        <v/>
      </c>
      <c r="ID17"/>
      <c r="IE17" s="191" t="str">
        <f>IF(modelloAUTO10=$B$2,IF(PROFlatRICH10="",pezzi10*VLOOKUP($B$2,tabMODELLI,COLnPROFILIinNYLON,FALSE),pezzi10),"")</f>
        <v/>
      </c>
      <c r="IF17" s="193" t="str">
        <f>IF(modelloAUTO10=$B$2,IF(VLOOKUP($B$2,tabMODELLI,COLnPROFILIinNYLON,FALSE)="","",altezza10),"")</f>
        <v/>
      </c>
      <c r="IH17" s="171" t="str">
        <f>IF(modelloAUTO10=$B$2,IF(PROFoTUBsxRICH10="","",pezzi10),"")</f>
        <v/>
      </c>
      <c r="II17" s="278" t="str">
        <f>IF(modelloAUTO10=$B$2,IF(PROFoTUBsxRICH10="","",PROFoTUBsxRICH10),"")</f>
        <v/>
      </c>
      <c r="IJ17" s="257" t="str">
        <f>IF(AND(modelloAUTO10=$B$2,PROFoTUBsxRICH10&lt;&gt;""),IF(ALTprofOtubRICHsx10="","STD",ALTprofOtubRICHsx10*DIECI),"")</f>
        <v/>
      </c>
      <c r="IL17" s="201" t="str">
        <f>IF(modelloAUTO10=$B$2,IF(PROFoTUBsxRICH10="","",IF(vernPROFoTUBlatSX10="","STD",vernPROFoTUBlatSX10)),"")</f>
        <v/>
      </c>
      <c r="IN17" s="171" t="str">
        <f>IF(modelloAUTO10=$B$2,IF(PROFoTUBdxRICH10="","",pezzi10),"")</f>
        <v/>
      </c>
      <c r="IO17" s="279" t="str">
        <f>IF(modelloAUTO10=$B$2,IF(PROFoTUBdxRICH10="","",PROFoTUBdxRICH10),"")</f>
        <v/>
      </c>
      <c r="IP17" s="257" t="str">
        <f>IF(AND(modelloAUTO10=$B$2,PROFoTUBdxRICH10&lt;&gt;""),IF(ALTprofOtubRICHdx10="","STD",ALTprofOtubRICHdx10*DIECI),"")</f>
        <v/>
      </c>
      <c r="IR17" s="203" t="str">
        <f>IF(modelloAUTO10=$B$2,IF(PROFoTUBdxRICH10="","",IF(vernPROFoTUBlatDX10="","STD",vernPROFoTUBlatDX10)),"")</f>
        <v/>
      </c>
      <c r="IT17" s="204" t="str">
        <f>IF(modelloAUTO10=$B$2,IF(profORIZZ10="","",pezzi10),"")</f>
        <v/>
      </c>
      <c r="IU17" s="205" t="str">
        <f>IF(modelloAUTO10=$B$2,IF(profORIZZ10="","",CODpiattoORIZZsugg10),"")</f>
        <v/>
      </c>
      <c r="IV17" s="206" t="str">
        <f>IF(modelloAUTO10=$B$2,IF(profORIZZ10="","",larghezza10*DIECI+IF(PROFoTUBsxRICH10="",ZERO,VLOOKUP(PROFoTUBsxRICH10,TABprofOtubLATERALI,COLlargPROFoTUBlat,FALSE))+IF(PROFoTUBdxRICH10="",ZERO,VLOOKUP(PROFoTUBdxRICH10,TABprofOtubLATERALI,COLlargPROFoTUBlat,FALSE))),"")</f>
        <v/>
      </c>
      <c r="IW17"/>
      <c r="IX17" s="168">
        <v>10</v>
      </c>
      <c r="IY17" s="258" t="str">
        <f>IF(AND(modelloAUTO10=$B$2,SYSTEMantiFURTO10&lt;&gt;""),VLOOKUP($B$2,TABsistemaANTIFURTO,COLlucchetto,FALSE),"")</f>
        <v/>
      </c>
      <c r="IZ17" s="258" t="str">
        <f>IF(AND(modelloAUTO10=$B$2,SYSTEMantiFURTO10&lt;&gt;""),VLOOKUP($B$2,TABsistemaANTIFURTO,COLaccessorioANTIFURTO2,FALSE),"")</f>
        <v/>
      </c>
      <c r="JA17" s="258" t="str">
        <f>IF(AND(modelloAUTO10=$B$2,SYSTEMantiFURTO10&lt;&gt;""),VLOOKUP($B$2,TABsistemaANTIFURTO,COLaccessorioANTIFURTO,FALSE),"")</f>
        <v/>
      </c>
      <c r="JB17" s="258" t="str">
        <f>IF(AND(modelloAUTO10=$B$2,SYSTEMantiFURTO10&lt;&gt;""),VLOOKUP($B$2,TABsistemaANTIFURTO,COLviteSPECIALExANTIFURTO,FALSE),"")</f>
        <v/>
      </c>
      <c r="JC17" s="258" t="str">
        <f>IF(AND(modelloAUTO10=$B$2,SYSTEMantiFURTO10&lt;&gt;""),VLOOKUP($B$2,TABsistemaANTIFURTO,COLlavorazioneXantifurto,FALSE),"")</f>
        <v/>
      </c>
      <c r="JD17"/>
      <c r="JE17"/>
      <c r="JF17"/>
      <c r="JG17"/>
      <c r="JH17"/>
      <c r="JI17"/>
      <c r="JJ17"/>
      <c r="JK17"/>
      <c r="JL17"/>
      <c r="JM17"/>
      <c r="JN17"/>
      <c r="JO17"/>
      <c r="JP17"/>
      <c r="JQ17"/>
      <c r="JR17"/>
      <c r="JS17"/>
      <c r="JT17"/>
      <c r="JU17"/>
      <c r="JV17"/>
      <c r="JW17"/>
      <c r="JX17" s="168">
        <v>10</v>
      </c>
      <c r="JY17" s="210" t="str">
        <f>IF(modelloAUTO10=$B$2,IF(fornPIANTcentr10="","",fornPIANTcentr10*pezzi10),"")</f>
        <v/>
      </c>
      <c r="JZ17" s="210" t="str">
        <f>IF(modelloAUTO10=$B$2,IF(fornPIANTcentr10="","",CODpiantCENTRsugg10),"")</f>
        <v/>
      </c>
      <c r="KB17" s="210" t="str">
        <f>IF(modelloAUTO10=$B$2,IF(CODpiantCENTRsuggAPPOG10="","",CODpiantCENTRdiAPPOGGIOrich10),"")</f>
        <v/>
      </c>
      <c r="KC17" s="210" t="str">
        <f>IF(modelloAUTO10=$B$2,IF(CODpiantCENTRsuggAPPOG10="","",CODpiantCENTRsuggAPPOG10),"")</f>
        <v/>
      </c>
      <c r="KP17" s="168">
        <v>10</v>
      </c>
      <c r="KQ17" s="259" t="str">
        <f>IF(AND(modelloAUTO10=$B$2,VLOOKUP($B$2,tabMODELLI,COLcoeffPOSSIBILITApellicolaADESIVA,FALSE)=UNO),IF(PELLICOLA10="","",pezzi10),"")</f>
        <v/>
      </c>
      <c r="KR17" s="236" t="str">
        <f>IF(AND(modelloAUTO10=$B$2,VLOOKUP($B$2,tabMODELLI,COLcoeffPOSSIBILITApellicolaADESIVA,FALSE)=UNO),IF(PELLICOLA10="","",larghezza10*DIECI-(VLOOKUP($B$2,tabMODELLI,COLcoeffPELLICOLAadesivaLARG,FALSE))),"")</f>
        <v/>
      </c>
      <c r="KS17" s="236" t="str">
        <f>IF(AND(modelloAUTO10=$B$2,VLOOKUP($B$2,tabMODELLI,COLcoeffPOSSIBILITApellicolaADESIVA,FALSE)=UNO),IF(PELLICOLA10="","",altezza10*DIECI-(VLOOKUP($B$2,tabMODELLI,COLcoeffPELLICOLAadesivaLARG,FALSE))),"")</f>
        <v/>
      </c>
      <c r="MA17" s="168">
        <v>10</v>
      </c>
      <c r="MB17" s="260" t="str">
        <f>IF(modelloAUTO10=$B$2,stanza10,"")</f>
        <v/>
      </c>
      <c r="MC17" s="168">
        <v>10</v>
      </c>
      <c r="MD17" s="230" t="str">
        <f>IF(modelloAUTO10=$B$2,larghezza10*DIECI+4+VLOOKUP($B$2,tabMODELLI,COLcoefAUMlargBUSTApvc,FALSE)+VLOOKUP($B$2,tabMODELLI,COLcoefAUMlargXprofILIlateraliBUSTApvc,FALSE)+IF(PROFoTUBsxRICH10="",ZERO,VLOOKUP(PROFoTUBsxRICH10,TABprofOtubLATERALI,COLlargPROFoTUBlatXimballaggio,FALSE)+profELETTRODOsaldaturaPVC)+IF(PROFoTUBdxRICH10="",ZERO,VLOOKUP(PROFoTUBdxRICH10,TABprofOtubLATERALI,COLlargPROFoTUBlatXimballaggio,FALSE)+profELETTRODOsaldaturaPVC),"")</f>
        <v/>
      </c>
      <c r="ME17" s="230" t="str">
        <f>IF(modelloAUTO10=$B$2,altezza10*DIECI*DUE+VLOOKUP($B$2,tabMODELLI,COLcoefAUMaltBUSTApvc,FALSE),"")</f>
        <v/>
      </c>
      <c r="MF17" s="261"/>
      <c r="MG17" s="230" t="str">
        <f>IF(modelloAUTO10=$B$2,altezza10*DIECI+VLOOKUP($B$2,tabMODELLI,COLcoeffSALDATURAinALTbustaPVC,FALSE),"")</f>
        <v/>
      </c>
      <c r="MH17" s="230" t="str">
        <f>IF(modelloAUTO10=$B$2,VLOOKUP($B$2,tabMODELLI,COLcoeffSALDATURAinLARGperTASCAbustaPVC,FALSE),"")</f>
        <v/>
      </c>
      <c r="MI17" s="230" t="str">
        <f>IF(modelloAUTO10=$B$2,IF(PROFoTUBsxRICH10="","",VLOOKUP(PROFoTUBsxRICH10,TABprofOtubLATERALI,COLlargPROFoTUBlatXimballaggio,FALSE)),"")</f>
        <v/>
      </c>
      <c r="MJ17" s="230" t="str">
        <f>IF(modelloAUTO10=$B$2,IF(PROFoTUBdxRICH10="","",VLOOKUP(PROFoTUBdxRICH10,TABprofOtubLATERALI,COLlargPROFoTUBlatXimballaggio,FALSE)),"")</f>
        <v/>
      </c>
      <c r="ML17" s="262" t="str">
        <f>IF(modelloAUTO10=$B$2,pezzi10*DUE,"")</f>
        <v/>
      </c>
      <c r="MM17" s="263" t="str">
        <f>IF(modelloAUTO10=$B$2,larghezza10+VLOOKUP($B$2,tabMODELLI,COLcoeffAUMoCALOinLARGpolistirolo,FALSE),"")</f>
        <v/>
      </c>
      <c r="MN17" s="263" t="str">
        <f>IF(modelloAUTO10=$B$2,altezza10+VLOOKUP($B$2,tabMODELLI,COLcoeffAUMoCALOinALTpolistirolo,FALSE),"")</f>
        <v/>
      </c>
      <c r="MP17" s="264" t="str">
        <f>IF(modelloAUTO10=$B$2,IF(VLOOKUP($B$2,tabMODELLI,COLcoeffAUMoCALOinLARGprofiloAu,FALSE)="",pezzi10*DUE,pezzi10*UNO),"")</f>
        <v/>
      </c>
      <c r="MQ17" s="265" t="str">
        <f>IF(modelloAUTO10=$B$2,VLOOKUP($B$2,tabMODELLI,COLdimStdSTRISCIAdelFIANCOxLARG1polistirolo,FALSE),"")</f>
        <v/>
      </c>
      <c r="MR17" s="263" t="str">
        <f>IF(modelloAUTO10=$B$2,larghezza10+VLOOKUP($B$2,tabMODELLI,colCOEFFdellaLARGnelFIANCOpolistirolo,FALSE),"")</f>
        <v/>
      </c>
      <c r="MT17" s="262" t="str">
        <f>IF(modelloAUTO10=$B$2,IF(VLOOKUP($B$2,tabMODELLI,COLdimstdSTRISCIAdelFIANCOxALT2polistirolo,FALSE)="",pezzi10*DUE,pezzi10),"")</f>
        <v/>
      </c>
      <c r="MU17" s="265" t="str">
        <f>IF(modelloAUTO10=$B$2,VLOOKUP($B$2,tabMODELLI,COLdimstdSTRISCIAdelFIANCOxALT1polistirolo,FALSE),"")</f>
        <v/>
      </c>
      <c r="MV17" s="263" t="str">
        <f>IF(modelloAUTO10=$B$2,altezza10+VLOOKUP($B$2,tabMODELLI,colCOEFFdellaALTnelFIANCOpolistirolo,FALSE),"")</f>
        <v/>
      </c>
      <c r="MX17" s="266" t="str">
        <f>IF(modelloAUTO10=$B$2,IF(VLOOKUP($B$2,tabMODELLI,COLdimstdSTRISCIAdelFIANCOxALT2polistirolo,FALSE)="","",pezzi10*UNO),"")</f>
        <v/>
      </c>
      <c r="MY17" s="267" t="str">
        <f>IF(modelloAUTO10=$B$2,IF(VLOOKUP($B$2,tabMODELLI,COLdimstdSTRISCIAdelFIANCOxALT2polistirolo,FALSE)="","",VLOOKUP($B$2,tabMODELLI,COLdimstdSTRISCIAdelFIANCOxALT2polistirolo,FALSE)),"")</f>
        <v/>
      </c>
      <c r="MZ17" s="263" t="str">
        <f>IF(modelloAUTO10=$B$2,altezza10+VLOOKUP($B$2,tabMODELLI,colCOEFFdellaALTnelFIANCOpolistirolo,FALSE),"")</f>
        <v/>
      </c>
      <c r="NB17" s="266" t="str">
        <f>IF(modelloAUTO10=$B$2,IF(VLOOKUP($B$2,tabMODELLI,COLcoeffAUMoCALOinLARGprofiloAu,FALSE)="","",pezzi10*UNO),"")</f>
        <v/>
      </c>
      <c r="NC17" s="216" t="str">
        <f>IF(modelloAUTO10=$B$2,IF(VLOOKUP($B$2,tabMODELLI,COLcoeffAUMoCALOinLARGprofiloAu,FALSE)="","",larghezza10+VLOOKUP($B$2,tabMODELLI,COLcoeffAUMoCALOinLARGprofiloAu,FALSE)),"")</f>
        <v/>
      </c>
      <c r="ND17" s="191" t="str">
        <f>IF(modelloAUTO10=$B$2,IF(VLOOKUP($B$2,tabMODELLI,COLcoeffAUMoCALOinLARGprofiloAu,FALSE)="","",VLOOKUP($B$2,tabMODELLI,COLdimstdSTRISCIAdelFIANCOxALT1polistirolo,FALSE)),"")</f>
        <v/>
      </c>
      <c r="NI17" s="168">
        <v>10</v>
      </c>
      <c r="NJ17" s="171" t="str">
        <f>IF(pezzi10="","",pezzi10)</f>
        <v/>
      </c>
      <c r="NK17" s="170" t="str">
        <f>IF(modelloAUTO10="","",modelloAUTO10)</f>
        <v/>
      </c>
      <c r="NL17" s="172" t="str">
        <f>IF(larghezza10="","",LARGortogonalitaADEGUATA10)</f>
        <v/>
      </c>
      <c r="NM17" s="173" t="str">
        <f>IF(altezza10="","",altezza10)</f>
        <v/>
      </c>
      <c r="NO17" s="189" t="str">
        <f>IF(PesoTEORICOparatia10="","",PesoTEORICOparatia10)</f>
        <v/>
      </c>
      <c r="NR17"/>
      <c r="NS17"/>
      <c r="NT17"/>
      <c r="NU17"/>
      <c r="NV17"/>
      <c r="NW17"/>
      <c r="NX17"/>
      <c r="NY17"/>
      <c r="NZ17"/>
      <c r="OA17"/>
      <c r="OB17"/>
      <c r="OC17"/>
      <c r="OD17"/>
      <c r="OE17"/>
    </row>
    <row r="18" spans="1:404" s="150" customFormat="1" ht="38" thickBot="1">
      <c r="A18" s="168">
        <v>11</v>
      </c>
      <c r="B18" s="169" t="str">
        <f>IF(stanza11="","",stanza11)</f>
        <v/>
      </c>
      <c r="C18" s="170" t="str">
        <f>IF(modelloAUTO11="","",modelloAUTO11)</f>
        <v/>
      </c>
      <c r="D18" s="171" t="str">
        <f>IF(pezzi11="","",pezzi11)</f>
        <v/>
      </c>
      <c r="E18" s="172" t="str">
        <f>IF(larghezza11="","",LARGortogonalitaADEGUATA11)</f>
        <v/>
      </c>
      <c r="F18" s="173" t="str">
        <f>IF(altezza11="","",altezza11)</f>
        <v/>
      </c>
      <c r="G18" s="174" t="str">
        <f t="shared" si="0"/>
        <v/>
      </c>
      <c r="H18" s="175" t="str">
        <f>IF(LATOcomAUTO11="","",LATOcomAUTO11)</f>
        <v/>
      </c>
      <c r="I18" s="176" t="str">
        <f>IF(modelloAUTO11="","",IF(vernBarriera11="","",vernBarriera11))</f>
        <v/>
      </c>
      <c r="J18" s="177" t="str">
        <f>IF(modelloAUTO11=$B$2,IF(PELLICOLA11="","",pezzi11),"")</f>
        <v/>
      </c>
      <c r="K18" s="178" t="str">
        <f t="shared" si="1"/>
        <v/>
      </c>
      <c r="M18" s="179" t="str">
        <f>IF(modelloAUTO11=$B$2,IF(PROFlatAUTO11="ESCLUSI","",IF(PROFlatRICH11="","STD",PROFlatRICH11)),"")</f>
        <v/>
      </c>
      <c r="N18" s="180" t="str">
        <f>IF(AND(modelloAUTO11=$B$2,COPERTINAauto11&lt;&gt;""),TIPOcopertina11,"")</f>
        <v/>
      </c>
      <c r="O18" s="181" t="str">
        <f>IF(AND(modelloAUTO11=$B$2,PROFlatAUTO11&lt;&gt;"ESCLUSI"),IF(AND(COPERTINAauto11&lt;&gt;"",ALTprofLATrich11=""),"STD",ALTprofLATrich11*DIECI),"")</f>
        <v/>
      </c>
      <c r="P18" s="176" t="str">
        <f>IF(modelloAUTO11="","",IF(vernPROFlatTEN11="","",vernPROFlatTEN11))</f>
        <v/>
      </c>
      <c r="R18" s="176" t="str">
        <f>IF(PROFoTUBsxRICH11="","",PROFoTUBsxRICH11)</f>
        <v/>
      </c>
      <c r="S18" s="182"/>
      <c r="T18" s="176" t="str">
        <f>IF(modelloAUTO11="","",IF(PROFoTUBdxRICH11="","",PROFoTUBdxRICH11))</f>
        <v/>
      </c>
      <c r="U18" s="182"/>
      <c r="V18" s="183" t="str">
        <f>IF(modelloAUTO11="","",IF(PROFoTUBsxRICH11="","",IF(ALTprofOtubRICHsx11="","SX: STD","SX: "&amp;ALTprofOtubRICHsx11&amp;" - "))&amp;IF(PROFoTUBdxRICH11="","",IF(ALTprofOtubRICHdx11="","  DX: STD","DX :"&amp;ALTprofOtubRICHdx11)))</f>
        <v/>
      </c>
      <c r="W18" s="184" t="str">
        <f>IF(modello11="","",IF(vernPROFoTUBlatSX11="","","SX: "&amp;vernPROFoTUBlatSX11&amp;" - ")&amp;IF(vernPROFoTUBlatDX11="",""," DX: "&amp;vernPROFoTUBlatDX11))</f>
        <v/>
      </c>
      <c r="Y18" s="185" t="str">
        <f>IF(modelloAUTO11="","",IF(OR(larghezza11="",profORIZZ11=""),"",CODpiattoORIZZsugg11))</f>
        <v/>
      </c>
      <c r="Z18" s="186" t="str">
        <f>IF(modelloAUTO11="","",IF(profORIZZ11="","",larghezza11+IF(PROFoTUBsxRICH11="",0,VLOOKUP(PROFoTUBsxRICH11,TABprofOtubLATERALI,COLlargPROFoTUBlat,FALSE))+IF(PROFoTUBdxRICH11="",0,VLOOKUP(PROFoTUBdxRICH11,TABprofOtubLATERALI,COLlargPROFoTUBlat,FALSE))))</f>
        <v/>
      </c>
      <c r="AB18" s="187" t="str">
        <f>IF(modelloAUTO11="","",IF(CODpiantCENTRsugg11="","","N° "&amp;fornPIANTcentr11&amp;"-"&amp;IF(CODpiantCENTRsugg11=0,"ERRORE",CODpiantCENTRsugg11)))</f>
        <v/>
      </c>
      <c r="AC18" s="187" t="str">
        <f>IF(modelloAUTO11="","",IF(CODpiantCENTRsuggAPPOG11="","","N° "&amp;CODpiantCENTRdiAPPOGGIOrich11&amp;"-"&amp;IF(CODpiantCENTRsuggAPPOG11=0,"ERRORE",CODpiantCENTRsuggAPPOG11)))</f>
        <v/>
      </c>
      <c r="AE18" s="188" t="str">
        <f>IF(modelloAUTO11="","",IF(note_cliente11="","",note_cliente11))</f>
        <v/>
      </c>
      <c r="AF18" s="189" t="str">
        <f>IF(PesoTEORICOparatia11="","",PesoTEORICOparatia11)</f>
        <v/>
      </c>
      <c r="AG18" s="190">
        <v>11</v>
      </c>
      <c r="AI18" s="191" t="str">
        <f>IF(modelloAUTO11=$B$2,pezzi11*UNO,"")</f>
        <v/>
      </c>
      <c r="AJ18" s="192" t="str">
        <f>IF(modelloAUTO11=$B$2,larghezza11,"")</f>
        <v/>
      </c>
      <c r="AK18" s="193" t="str">
        <f>IF(modelloAUTO11=$B$2,altezza11,"")</f>
        <v/>
      </c>
      <c r="AL18" s="174" t="str">
        <f t="shared" si="2"/>
        <v/>
      </c>
      <c r="AM18" s="173" t="str">
        <f t="shared" si="3"/>
        <v>DX (di serie)</v>
      </c>
      <c r="AN18" s="194"/>
      <c r="AO18"/>
      <c r="AP18" s="195" t="str">
        <f>IF(modelloAUTO11=$B$2,IF(PROFlatRICH11="",pezzi11*DUE*VLOOKUP($B$2,tabMODELLI,COLprofiliLATdiserie,FALSE),pezzi11*DUE),"")</f>
        <v/>
      </c>
      <c r="AQ18" s="179" t="str">
        <f>IF(modelloAUTO11=$B$2,IF(PROFlatAUTO11="ESCLUSI","",IF(PROFlatRICH11="","STD",PROFlatRICH11)),"")</f>
        <v/>
      </c>
      <c r="AR18" s="196" t="str">
        <f>IF(AND(modelloAUTO11=$B$2,PROFlatAUTO11&lt;&gt;"ESCLUSI"),IF(ALTprofLATrich11="","STD",ALTprofLATrich11*DIECI),"")</f>
        <v/>
      </c>
      <c r="AT18" s="272" t="str">
        <f>IF(modelloAUTO11=$B$2,IF(TIPOcopertina11="","",TIPOcopertina11),"")</f>
        <v/>
      </c>
      <c r="AV18" s="198" t="str">
        <f>IF(modelloAUTO11=$B$2,IF(vernBarriera11="","STD",vernBarriera11),"")</f>
        <v/>
      </c>
      <c r="AX18" s="171" t="str">
        <f>IF(modelloAUTO11=$B$2,IF(PROFoTUBsxRICH11="","",pezzi11),"")</f>
        <v/>
      </c>
      <c r="AY18" s="278" t="str">
        <f>IF(modelloAUTO11=$B$2,IF(PROFoTUBsxRICH11="","",PROFoTUBsxRICH11),"")</f>
        <v/>
      </c>
      <c r="AZ18" s="200" t="str">
        <f>IF(AND(modelloAUTO11=$B$2,PROFoTUBsxRICH11&lt;&gt;""),IF(ALTprofOtubRICHsx11="","STD",ALTprofOtubRICHsx11),"")</f>
        <v/>
      </c>
      <c r="BB18" s="201" t="str">
        <f>IF(modelloAUTO11=$B$2,IF(PROFoTUBsxRICH11="","",IF(vernPROFoTUBlatSX11="","STD",vernPROFoTUBlatSX11)),"")</f>
        <v/>
      </c>
      <c r="BD18" s="171" t="str">
        <f>IF(modelloAUTO11=$B$2,IF(PROFoTUBdxRICH11="","",pezzi11),"")</f>
        <v/>
      </c>
      <c r="BE18" s="279" t="str">
        <f>IF(modelloAUTO11=$B$2,IF(PROFoTUBdxRICH11="","",PROFoTUBdxRICH11),"")</f>
        <v/>
      </c>
      <c r="BF18" s="200" t="str">
        <f>IF(AND(modelloAUTO11=$B$2,PROFoTUBdxRICH11&lt;&gt;""),IF(ALTprofOtubRICHdx11="","STD",ALTprofOtubRICHdx11),"")</f>
        <v/>
      </c>
      <c r="BH18" s="203" t="str">
        <f>IF(modelloAUTO11=$B$2,IF(PROFoTUBdxRICH11="","",IF(vernPROFoTUBlatDX11="","STD",vernPROFoTUBlatDX11)),"")</f>
        <v/>
      </c>
      <c r="BJ18" s="204" t="str">
        <f>IF(modelloAUTO11=$B$2,IF(profORIZZ11="","",pezzi11),"")</f>
        <v/>
      </c>
      <c r="BK18" s="205" t="str">
        <f>IF(modelloAUTO11=$B$2,IF(profORIZZ11="","",CODpiattoORIZZsugg11),"")</f>
        <v/>
      </c>
      <c r="BL18" s="206" t="str">
        <f>IF(modelloAUTO11=$B$2,IF(profORIZZ11="","",larghezza11*UNO+IF(PROFoTUBsxRICH11="",ZERO,VLOOKUP(PROFoTUBsxRICH11,TABprofOtubLATERALI,COLlargPROFoTUBlat,FALSE))+IF(PROFoTUBdxRICH11="",ZERO,VLOOKUP(PROFoTUBdxRICH11,TABprofOtubLATERALI,COLlargPROFoTUBlat,FALSE))),"")</f>
        <v/>
      </c>
      <c r="BN18" s="207" t="str">
        <f ca="1">IF(modelloAUTO11=$B$2,INDEX(INDIRECT("TABnCHIAVISTELLOvert"&amp;$B$2),rif_alt11,rif_larg11)*pezzi11,"")</f>
        <v/>
      </c>
      <c r="BO18"/>
      <c r="BP18" s="178" t="str">
        <f t="shared" si="4"/>
        <v/>
      </c>
      <c r="BQ18" s="208" t="str">
        <f ca="1">IF(modelloAUTO11=$B$2,INDEX(INDIRECT("TABnMANIGLIEsuperiori"&amp;$B$2),rif_alt11,rif_larg11)+INDEX(INDIRECT("TABnMANIGLIEfrontali"&amp;$B$2),rif_alt11,rif_larg11),"")</f>
        <v/>
      </c>
      <c r="BR18" s="191" t="str">
        <f>IF(modelloAUTO11=$B$2,pezzi11*DUE,"")</f>
        <v/>
      </c>
      <c r="BS18" s="209" t="str">
        <f>IF(modelloAUTO11=$B$2,BQ18*DUE,"")</f>
        <v/>
      </c>
      <c r="BT18" s="209" t="str">
        <f>IF(modelloAUTO11=$B$2,BR18*TRE,"")</f>
        <v/>
      </c>
      <c r="BU18" s="191" t="str">
        <f>IF(modelloAUTO11=$B$2,pezzi11*DUE,"")</f>
        <v/>
      </c>
      <c r="BV18" s="191" t="str">
        <f>IF(modelloAUTO11=$B$2,pezzi11*DUE,"")</f>
        <v/>
      </c>
      <c r="BW18" s="191" t="str">
        <f>IF(modelloAUTO11=$B$2,pezzi11*DUE,"")</f>
        <v/>
      </c>
      <c r="BX18" s="191" t="str">
        <f>IF(modelloAUTO11=$B$2,pezzi11*DUE,"")</f>
        <v/>
      </c>
      <c r="BY18" s="191" t="str">
        <f>IF(modelloAUTO11=$B$2,pezzi11*DUE,"")</f>
        <v/>
      </c>
      <c r="CA18" s="210" t="str">
        <f>IF(modelloAUTO11=$B$2,IF(fornPIANTcentr11="","",fornPIANTcentr11*pezzi11),"")</f>
        <v/>
      </c>
      <c r="CB18" s="210" t="str">
        <f>IF(modelloAUTO11=$B$2,IF(fornPIANTcentr11="","",CODpiantCENTRsugg11),"")</f>
        <v/>
      </c>
      <c r="CD18" s="210" t="str">
        <f>IF(modelloAUTO11=$B$2,IF(CODpiantCENTRsuggAPPOG11="","",CODpiantCENTRdiAPPOGGIOrich11),"")</f>
        <v/>
      </c>
      <c r="CE18" s="210" t="str">
        <f>IF(modelloAUTO11=$B$2,IF(CODpiantCENTRsuggAPPOG11="","",CODpiantCENTRsuggAPPOG11),"")</f>
        <v/>
      </c>
      <c r="CG18" s="273">
        <v>11</v>
      </c>
      <c r="CI18" s="211" t="str">
        <f>IF(modelloAUTO11=$B$2,altezza11*DIECI/FLOOR(VLOOKUP($B$2,tabMODELLI,COLcoefALTdogaSORMONTATAda200,FALSE),UNO)*pezzi11,"")</f>
        <v/>
      </c>
      <c r="CJ18" s="212" t="str">
        <f>IF(modelloAUTO11=$B$2,larghezza11*DIECI-VLOOKUP($B$2,tabMODELLI,COLcoeffTAGLIOdogaOPPURElastraINlarg,FALSE)-VLOOKUP(PROFlatAUTO11,TABprofLATten,COLcoeffCALOdoga,FALSE),"")</f>
        <v/>
      </c>
      <c r="CK18"/>
      <c r="CL18" s="213" t="str">
        <f>IF(modelloAUTO11=$B$2,(altezza11*DIECI/FLOOR(VLOOKUP($B$2,tabMODELLI,COLcoefALTdogaSORMONTATAda200,FALSE),CENTO)-FLOOR(altezza11*DIECI/FLOOR(VLOOKUP($B$2,tabMODELLI,COLcoefALTdogaSORMONTATAda200,FALSE),CENTO),UNO))*pezzi11,"")</f>
        <v/>
      </c>
      <c r="CM18" s="214" t="str">
        <f>IF(modelloAUTO11=$B$2,(((altezza11*DIECI-VLOOKUP($B$2,tabMODELLI,COLcoeffCALOtaglioPANNELLObarrieraMONOLITICOoASSEMBLATOInALT,FALSE))/VLOOKUP($B$2,tabMODELLI,colALTnominaleDOGAmm,FALSE)-(FLOOR(altezza11*DIECI/FLOOR(VLOOKUP($B$2,tabMODELLI,COLcoefALTdogaSORMONTATAda200,FALSE),CENTO),UNO)))*(VLOOKUP($B$2,tabMODELLI,colALTnominaleDOGAmm,FALSE))),"")</f>
        <v/>
      </c>
      <c r="CN18" s="203" t="str">
        <f>IF(modelloAUTO11=$B$2,IF(vernBarriera11="","STD",vernBarriera11),"")</f>
        <v/>
      </c>
      <c r="CO18" s="174" t="str">
        <f t="shared" si="5"/>
        <v/>
      </c>
      <c r="CP18" s="215" t="str">
        <f>IF(modelloAUTO11=$B$2,LATOcomAUTO11,"")</f>
        <v/>
      </c>
      <c r="CQ18"/>
      <c r="CR18" s="216" t="str">
        <f>IF(modelloAUTO11=$B$2,pezzi11*UNO,"")</f>
        <v/>
      </c>
      <c r="CS18" s="212" t="str">
        <f>IF(modelloAUTO11=$B$2,altezza11*DIECI+VLOOKUP($B$2,tabMODELLI,COLcoeffTAGLIOPROFILIlateraliEverticaliAttaccatiALLAbarriera,FALSE),"")</f>
        <v/>
      </c>
      <c r="CT18" s="217" t="str">
        <f>IF(modelloAUTO11=$B$2,"|90° 90°|","")</f>
        <v/>
      </c>
      <c r="CU18" s="218"/>
      <c r="CV18" s="219" t="str">
        <f>IF(modelloAUTO11=$B$2,pezzi11*DUE,"")</f>
        <v/>
      </c>
      <c r="CW18" s="220" t="str">
        <f>IF(modelloAUTO11=$B$2,larghezza11*DIECI-VLOOKUP($B$2,tabMODELLI,COLcoeffTAGLIOPROFILIlateraliEverticaliAttaccatiALLAbarriera,FALSE),"")</f>
        <v/>
      </c>
      <c r="CX18" s="217" t="str">
        <f t="shared" si="25"/>
        <v/>
      </c>
      <c r="CY18" s="221"/>
      <c r="CZ18" s="222" t="str">
        <f>IF(modelloAUTO11=$B$2,PROFlatAUTO11,"")</f>
        <v/>
      </c>
      <c r="DA18" s="223" t="str">
        <f>IF(modelloAUTO11=$B$2,pezzi11,"")</f>
        <v/>
      </c>
      <c r="DB18" s="217" t="str">
        <f>IF(modelloAUTO11=$B$2,altezza11*DIECI-VLOOKUP(PROFlatAUTO11,TABprofLATten,COLsfioroPROFtenLATrispettoALvano,FALSE),"")</f>
        <v/>
      </c>
      <c r="DC18" s="217" t="str">
        <f>IF(modelloAUTO11=$B$2,"|90° 45°/","")</f>
        <v/>
      </c>
      <c r="DD18" s="224"/>
      <c r="DE18" s="223" t="str">
        <f>IF(modelloAUTO11=$B$2,pezzi11,"")</f>
        <v/>
      </c>
      <c r="DF18" s="217" t="str">
        <f>IF(modelloAUTO11=$B$2,larghezza11*DIECI-(VLOOKUP(PROFlatAUTO11,TABprofLATten,COLsfioroPROFtenLATrispettoALvano,FALSE)*DUE),"")</f>
        <v/>
      </c>
      <c r="DG18" s="217" t="str">
        <f>IF(modelloAUTO11=$B$2,"\45° 90°|","")</f>
        <v/>
      </c>
      <c r="DH18" s="224"/>
      <c r="DI18" s="223" t="str">
        <f>IF(modelloAUTO11=$B$2,pezzi11,"")</f>
        <v/>
      </c>
      <c r="DJ18" s="217" t="str">
        <f>IF(modelloAUTO11=$B$2,altezza11*DIECI-VLOOKUP(PROFlatAUTO11,TABprofLATten,COLsfioroPROFtenLATrispettoALvano,FALSE),"")</f>
        <v/>
      </c>
      <c r="DK18" s="217" t="str">
        <f>IF(modelloAUTO11=$B$2,"\45° 45°/","")</f>
        <v/>
      </c>
      <c r="DL18" s="225"/>
      <c r="DM18" s="226" t="str">
        <f>IF(modelloAUTO11=$B$2,pezzi11,"")</f>
        <v/>
      </c>
      <c r="DN18" s="226" t="str">
        <f>IF(modelloAUTO11=$B$2,larghezza11*DIECI,"")</f>
        <v/>
      </c>
      <c r="DO18" s="227" t="str">
        <f>IF(modelloAUTO11=$B$2,"|90° 90°|","")</f>
        <v/>
      </c>
      <c r="DP18" s="221"/>
      <c r="DQ18" s="228" t="str">
        <f>IF(modelloAUTO11=$B$2,DIMprimoFOROdalPAVIMENTOperFISSAGGIOprofiloDItenutaLATERALE*DIECI,"")</f>
        <v/>
      </c>
      <c r="DR18" s="228" t="str">
        <f ca="1">IF(modelloAUTO11=$B$2,IF(VLOOKUP(altezza11,INDIRECT("tabNfissaggi"&amp;$B$2),INDIRECT("colNfiSsaggi"&amp;$B$2),TRUE)&lt;DR$6,"",(IF(VLOOKUP(altezza11,INDIRECT("tabNfissaggi"&amp;$B$2),INDIRECT("colNfiSsaggi"&amp;$B$2),FALSE)=DR$6,altezza11*DIECI-DIMprimoFOROdalPAVIMENTOperFISSAGGIOprofiloDItenutaLATERALE,DQ118+(((altezza11*DIECI-DIMprimoFOROdalPAVIMENTOperFISSAGGIOprofiloDItenutaLATERALE*DIECI*DUE))/(VLOOKUP((altezza11),INDIRECT("tabNfissaggi"&amp;$B$2),INDIRECT("colNfiSsaggi"&amp;$B$2),FALSE)-UNO))))),"")</f>
        <v/>
      </c>
      <c r="DS18" s="228" t="str">
        <f ca="1">IF(modelloAUTO11=$B$2,IF(VLOOKUP(altezza11,INDIRECT("tabNfissaggi"&amp;$B$2),INDIRECT("colNfiSsaggi"&amp;$B$2),TRUE)&lt;DS$6,"",(IF(VLOOKUP(altezza11,INDIRECT("tabNfissaggi"&amp;$B$2),INDIRECT("colNfiSsaggi"&amp;$B$2),FALSE)=DS$6,altezza11*DIECI-DIMprimoFOROdalPAVIMENTOperFISSAGGIOprofiloDItenutaLATERALE,DR118+(((altezza11*DIECI-DIMprimoFOROdalPAVIMENTOperFISSAGGIOprofiloDItenutaLATERALE*DIECI*DUE))/(VLOOKUP((altezza11),INDIRECT("tabNfissaggi"&amp;$B$2),INDIRECT("colNfiSsaggi"&amp;$B$2),FALSE)-UNO))))),"")</f>
        <v/>
      </c>
      <c r="DT18" s="228" t="str">
        <f ca="1">IF(modelloAUTO11=$B$2,IF(VLOOKUP(altezza11,INDIRECT("tabNfissaggi"&amp;$B$2),INDIRECT("colNfiSsaggi"&amp;$B$2),TRUE)&lt;DT$6,"",(IF(VLOOKUP(altezza11,INDIRECT("tabNfissaggi"&amp;$B$2),INDIRECT("colNfiSsaggi"&amp;$B$2),FALSE)=DT$6,altezza11*DIECI-DIMprimoFOROdalPAVIMENTOperFISSAGGIOprofiloDItenutaLATERALE,DS118+(((altezza11*DIECI-DIMprimoFOROdalPAVIMENTOperFISSAGGIOprofiloDItenutaLATERALE*DIECI*DUE))/(VLOOKUP((altezza11),INDIRECT("tabNfissaggi"&amp;$B$2),INDIRECT("colNfiSsaggi"&amp;$B$2),FALSE)-UNO))))),"")</f>
        <v/>
      </c>
      <c r="DU18" s="228" t="str">
        <f ca="1">IF(modelloAUTO11=$B$2,IF(VLOOKUP(altezza11,INDIRECT("tabNfissaggi"&amp;$B$2),INDIRECT("colNfiSsaggi"&amp;$B$2),TRUE)&lt;DU$6,"",(IF(VLOOKUP(altezza11,INDIRECT("tabNfissaggi"&amp;$B$2),INDIRECT("colNfiSsaggi"&amp;$B$2),FALSE)=DU$6,altezza11*DIECI-DIMprimoFOROdalPAVIMENTOperFISSAGGIOprofiloDItenutaLATERALE,DT118+(((altezza11*DIECI-DIMprimoFOROdalPAVIMENTOperFISSAGGIOprofiloDItenutaLATERALE*DIECI*DUE))/(VLOOKUP((altezza11),INDIRECT("tabNfissaggi"&amp;$B$2),INDIRECT("colNfiSsaggi"&amp;$B$2),FALSE)-UNO))))),"")</f>
        <v/>
      </c>
      <c r="DV18" s="221"/>
      <c r="DW18" s="229" t="str">
        <f>IF(modelloAUTO11=$B$2,(PRIMOforoNELLantaPARTENDOdaLBASSOclose-VLOOKUP($B$2,tabMODELLI,COLcoeffALTprofiloSogliaRimanenteSOTTOalTELAIOperimetrale,FALSE)),"")</f>
        <v/>
      </c>
      <c r="DX18" s="230" t="str">
        <f>IF(modelloAUTO11=$B$2,DW18+INTERASSSEforiANTAcernieraSAVIOmechanica,"")</f>
        <v/>
      </c>
      <c r="DY18" s="231" t="str">
        <f>IF(modelloAUTO11=$B$2,INDEX(TABforoBASSOcernieraNELLantaCONdogaCLICKRAPIDnellANTACONsavIOMECHANICA,UNO,MATCH(((CJ18)/DUE),TABforoBASSOcernieraNELLantaCONdogaCLICKRAPIDnellANTACONsavIOMECHANICA,UNO)),"")</f>
        <v/>
      </c>
      <c r="DZ18" s="232" t="str">
        <f>IF(modelloAUTO11=$B$2,DY18+INTERASSSEforiANTAcernieraSAVIOmechanica,"")</f>
        <v/>
      </c>
      <c r="EA18" s="231" t="str">
        <f>IF(modelloAUTO11=$B$2,INDEX(TABforoBASSOcernieraNELLantaCONdogaCLICKRAPIDnellANTACONsavIOMECHANICA,UNO,MATCH((CJ18-ALTEZZAcerNIERAcomMPOSTAdalle2aliMECHANICA-altezzaALAcanalinoDA35X35X2),TABforoBASSOcernieraNELLantaCONdogaCLICKRAPIDnellANTACONsavIOMECHANICA,UNO)),"")</f>
        <v/>
      </c>
      <c r="EB18" s="232" t="str">
        <f>IF(modelloAUTO11=$B$2,EA18+INTERASSSEforiANTAcernieraSAVIOmechanica,"")</f>
        <v/>
      </c>
      <c r="EC18" s="233"/>
      <c r="ED18" s="234" t="str">
        <f>IF(modelloAUTO11=$B$2,"a: "&amp;DW18+INTERASSSEforiANTAcernieraSAVIOmechanica/DUE,"")</f>
        <v/>
      </c>
      <c r="EE18" s="234" t="str">
        <f>IF(modelloAUTO11=$B$2,"a: "&amp;DY18+INTERASSSEforiANTAcernieraSAVIOmechanica/DUE,"")</f>
        <v/>
      </c>
      <c r="EF18" s="234" t="str">
        <f>IF(modelloAUTO11=$B$2,"a: "&amp;EA18+INTERASSSEforiANTAcernieraSAVIOmechanica/DUE,"")</f>
        <v/>
      </c>
      <c r="EG18"/>
      <c r="EH18" s="235" t="str">
        <f>IF(modelloAUTO11=$B$2,pezzi11,"")</f>
        <v/>
      </c>
      <c r="EI18" s="235" t="str">
        <f>IF(modelloAUTO11=$B$2,INTERASSEforoPERnottolinoDIcomandoMANIGLIAdiCHIUSURAaLEVAclose,"")</f>
        <v/>
      </c>
      <c r="EJ18" s="236" t="str">
        <f>IF(modelloAUTO11=$B$2,ALTCentroNOTTOLINOpartendoDALbassodellaDOGA,"")</f>
        <v/>
      </c>
      <c r="EK18"/>
      <c r="EL18" s="216" t="str">
        <f>IF(modelloAUTO11=$B$2,pezzi11*UNO,"")</f>
        <v/>
      </c>
      <c r="EM18" s="212" t="str">
        <f>IF(modelloAUTO11=$B$2,altezza11*DIECI+VLOOKUP($B$2,tabMODELLI,COLcoeffTAGLIOPROFILOdiAGGANCIOsistemaMODERNA,FALSE),"")</f>
        <v/>
      </c>
      <c r="EN18"/>
      <c r="EO18" s="216" t="str">
        <f>IF(modelloAUTO11=$B$2,pezzi11*UNO,"")</f>
        <v/>
      </c>
      <c r="EP18" s="212" t="str">
        <f>IF(modelloAUTO11=$B$2,altezza11*DIECI+VLOOKUP($B$2,tabMODELLI,COLcoeffTAGLIOPROFILOdiAGGANCIOsistemaMODERNA,FALSE),"")</f>
        <v/>
      </c>
      <c r="EQ18"/>
      <c r="ER18" s="216" t="str">
        <f>IF(modelloAUTO11=$B$2,pezzi11*UNO,"")</f>
        <v/>
      </c>
      <c r="ES18" s="212" t="str">
        <f>IF(modelloAUTO11=$B$2,altezza11*DIECI+VLOOKUP($B$2,tabMODELLI,COLcoeffTAGLIOPROFILIlateraliEverticaliAttaccatiALLAbarriera,FALSE),"")</f>
        <v/>
      </c>
      <c r="ET18" s="218"/>
      <c r="EU18" s="191" t="str">
        <f>IF(modelloAUTO11=$B$2,IF(PROFlatRICH11="",pezzi11*DUE*VLOOKUP($B$2,tabMODELLI,COLprofiliLATdiserie,FALSE),pezzi11*DUE),"")</f>
        <v/>
      </c>
      <c r="EV18" s="179" t="str">
        <f>IF(modelloAUTO11=$B$2,IF(PROFlatRICH11="","STD",PROFlatRICH11),"")</f>
        <v/>
      </c>
      <c r="EW18" s="275" t="str">
        <f>IF(modelloAUTO11=$B$2,IF(TIPOcopertina11="","",TIPOcopertina11),"")</f>
        <v/>
      </c>
      <c r="EX18" s="238" t="str">
        <f>IF(modelloAUTO11=$B$2,VLOOKUP($B$2,tabMODELLI,COLcoeffALTguarnINFERIOREschiacciata,FALSE)+(VLOOKUP($B$2,tabMODELLI,COLcoefALTdogaREALEda200,FALSE)+(VLOOKUP($B$2,tabMODELLI,COLcoefALTdogaSORMONTATAda200,FALSE)*(CEILING(altezza11*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8" s="218"/>
      <c r="EZ18" s="276" t="str">
        <f ca="1">IF(OR(modelloAUTO11=$B$2,modelloAUTO11=CLICK_RAPIDxPRIVATO),INDEX(INDIRECT("TABnCHIAVISTELLOvert"&amp;$B$2),rif_alt11,rif_larg11)*pezzi11,"")</f>
        <v/>
      </c>
      <c r="FA18" s="240" t="str">
        <f>IF(modelloAUTO11=$B$2,IF(AND(nCatenacci11&lt;&gt;"",profORIZZ11&lt;&gt;""),spessoreCATENACCIOverticale60X115X300,""),"")</f>
        <v/>
      </c>
      <c r="FB18" s="277" t="str">
        <f ca="1">IF(OR(nCatenacci11=0,nCatenacci11="",),"",(CJ18+QUATTRO-(IF(nCatenacci11="",ZERO,SESSANTA*(nCatenacci11/PZCLICK_RAPID11))))/((nCatenacci11/PZCLICK_RAPID11)+UNO))</f>
        <v/>
      </c>
      <c r="FD18" s="242" t="str">
        <f ca="1">IF(modelloAUTO11=$B$2,INDEX(INDIRECT("TABnMANIGLIEsuperiori"&amp;$B$2),rif_alt11,rif_larg11),"")</f>
        <v/>
      </c>
      <c r="FE18" s="243" t="str">
        <f ca="1">IF(modelloAUTO11=$B$2,(larghezza11-CATENACCIOLOorizzontaleINGOMBROclick_rapid-DUE)/INDEX(INDIRECT("TABnMANIGLIEsuperiori"&amp;$B$2),rif_alt11,rif_larg11),"")</f>
        <v/>
      </c>
      <c r="FG18" s="244" t="str">
        <f ca="1">IF(modelloAUTO11=$B$2,INDEX(INDIRECT("TABnMANIGLIEfrontali"&amp;$B$2),rif_alt11,rif_larg11),"")</f>
        <v/>
      </c>
      <c r="FH18"/>
      <c r="FI18" s="245">
        <f>((larghezza11*DIECI-COEFFlargCOMPLESSIVAdelKITcerniere_GANCIOassemblato))</f>
        <v>-261</v>
      </c>
      <c r="FJ18" s="245">
        <f t="shared" si="17"/>
        <v>19.453363192402126</v>
      </c>
      <c r="FK18" s="245">
        <f t="shared" si="18"/>
        <v>0.4001326</v>
      </c>
      <c r="FL18" s="246">
        <f>(altezza11+TREDICI/DIECI)/CENTO*(CERNIERA_TUBOLARE_MODERNA+CERNIERA_APERTA_MODERNA+UNCINO)+(altezza11/(VLOOKUP($B$2,tabMODELLI,COLcoefALTdogaSORMONTATAda200,FALSE)/DIECI)*COEFFdogaINSERITAnellaCERNIERAaertaFINOallaFINEdelGANCIO*VLOOKUP($B$2,tabMODELLI,COLpesoALKGmlDOGA,FALSE))</f>
        <v>9.6758999999999998E-2</v>
      </c>
      <c r="FM18" s="247"/>
      <c r="FN18" s="247">
        <f>altezza11/(VLOOKUP($B$2,tabMODELLI,COLcoefALTdogaSORMONTATAda200,FALSE)/DIECI)*((((larghezza11-(COEFFlargCOMPLESSIVAdelKITcerniere_GANCIOassemblato/DIECI))/CENTO)*VLOOKUP($B$2,tabMODELLI,COLpesoALKGmlDOGA,FALSE)))</f>
        <v>0</v>
      </c>
      <c r="FO18" s="247">
        <f>larghezza11/CENTO*PESOguarnORIZZmodernaKG\ML</f>
        <v>0</v>
      </c>
      <c r="FP18" s="247">
        <f>(altezza11/(VLOOKUP($B$2,tabMODELLI,COLcoefALTdogaSORMONTATAda200,FALSE)/DIECI)-UNO)*((((larghezza11-(COEFFlargCOMPLESSIVAdelKITcerniere_GANCIOassemblato/DIECI))/CENTO)*pesoALmlDOPPIAsiliconaturaINunaDOGA))</f>
        <v>0.1827</v>
      </c>
      <c r="FQ18" s="247">
        <f>(altezza11/CENTO*H_MODERNA)</f>
        <v>0</v>
      </c>
      <c r="FR18" s="248">
        <f t="shared" si="21"/>
        <v>0.33979579999999998</v>
      </c>
      <c r="FS18" s="248">
        <f t="shared" si="22"/>
        <v>-7.2599999999999998E-2</v>
      </c>
      <c r="FT18" s="249">
        <f t="shared" si="26"/>
        <v>-4.2183908045977011E-4</v>
      </c>
      <c r="FU18" s="249">
        <f t="shared" si="27"/>
        <v>0.1101</v>
      </c>
      <c r="FV18" s="249">
        <f t="shared" si="28"/>
        <v>-0.22969579999999998</v>
      </c>
      <c r="FW18" s="249">
        <f t="shared" si="23"/>
        <v>9.689466505747125E-5</v>
      </c>
      <c r="FX18" s="246">
        <f t="shared" si="29"/>
        <v>0.33979579999999998</v>
      </c>
      <c r="FY18" s="250">
        <f t="shared" si="24"/>
        <v>-824.51038266936757</v>
      </c>
      <c r="FZ18"/>
      <c r="GA18" s="251"/>
      <c r="GB18" s="251"/>
      <c r="GC18" s="251"/>
      <c r="GD18" s="251"/>
      <c r="GE18" s="251"/>
      <c r="GF18" s="251"/>
      <c r="GG18" s="251"/>
      <c r="GI18" s="252" t="str">
        <f>IF(modelloAUTO11=$B$2,IF(PROFlatRICH11="",pezzi11*UNO*VLOOKUP($B$2,tabMODELLI,COLnMANIGLIAasportabile,FALSE),pezzi11*UNO),"")</f>
        <v/>
      </c>
      <c r="GJ18" s="252" t="str">
        <f>IF(modelloAUTO11=$B$2,pezzi11*DUE,"")</f>
        <v/>
      </c>
      <c r="GK18" s="252" t="str">
        <f>IF(modelloAUTO11=$B$2,pezzi11*UNO,"")</f>
        <v/>
      </c>
      <c r="GL18" s="253" t="str">
        <f>IF(modelloAUTO11=$B$2,IF(SYSTEMantiFURTO11&lt;&gt;"",VLOOKUP($B$2,TABsistemaANTIFURTO,COLusoVITEdISERIE,FALSE),pezzi11),"")</f>
        <v/>
      </c>
      <c r="GM18" s="252" t="str">
        <f>IF(modelloAUTO11=$B$2,pezzi11*UNO,"")</f>
        <v/>
      </c>
      <c r="GN18" s="252" t="str">
        <f>IF(modelloAUTO11=$B$2,NmaniglieDItrasporto11*DUE,"")</f>
        <v/>
      </c>
      <c r="GO18" s="254" t="str">
        <f>IF(modelloAUTO11=$B$2,pezzi11*QUINDICI,"")</f>
        <v/>
      </c>
      <c r="GP18" s="254" t="str">
        <f>IF(modelloAUTO11=$B$2,pezzi11*DUE,"")</f>
        <v/>
      </c>
      <c r="GQ18" s="254" t="str">
        <f>IF(modelloAUTO11=$B$2,pezzi11*DUE,"")</f>
        <v/>
      </c>
      <c r="GR18" s="254" t="str">
        <f>IF(modelloAUTO11=$B$2,pezzi11*UNO,"")</f>
        <v/>
      </c>
      <c r="GS18" s="254" t="str">
        <f>IF(modelloAUTO11=$B$2,pezzi11*DUE,"")</f>
        <v/>
      </c>
      <c r="GT18" s="254" t="str">
        <f>IF(modelloAUTO11=$B$2,pezzi11*DUE,"")</f>
        <v/>
      </c>
      <c r="GU18" s="254" t="str">
        <f>IF(modelloAUTO11=$B$2,pezzi11*DUE,"")</f>
        <v/>
      </c>
      <c r="GV18" s="254" t="str">
        <f>IF(modelloAUTO11=$B$2,pezzi11*DUE,"")</f>
        <v/>
      </c>
      <c r="GW18" s="251"/>
      <c r="GX18" s="251"/>
      <c r="GY18" s="251"/>
      <c r="GZ18" s="251"/>
      <c r="HA18" s="251"/>
      <c r="HB18" s="251"/>
      <c r="HC18" s="251"/>
      <c r="HD18" s="251"/>
      <c r="HE18" s="251"/>
      <c r="HF18" s="251"/>
      <c r="HG18" s="251"/>
      <c r="HH18" s="251"/>
      <c r="HI18" s="251"/>
      <c r="HJ18" s="251"/>
      <c r="HK18" s="251"/>
      <c r="HL18" s="251"/>
      <c r="HN18" s="191" t="str">
        <f>IF(modelloAUTO11=$B$2,IF(PROFlatRICH11="",pezzi11*VLOOKUP($B$2,tabMODELLI,COLnGUARNorizzINFERIOREbarriera,FALSE),pezzi11),"")</f>
        <v/>
      </c>
      <c r="HO18" s="193" t="str">
        <f>IF(modelloAUTO11=$B$2,IF(VLOOKUP($B$2,tabMODELLI,COLnGUARNorizzINFERIOREbarriera,FALSE)="","",larghezza11),"")</f>
        <v/>
      </c>
      <c r="HQ18" s="191" t="str">
        <f>IF(modelloAUTO11=$B$2,IF(PROFlatRICH11="",pezzi11*DUE*VLOOKUP($B$2,tabMODELLI,COLnGUARNorizzINTERMEDIEbarriera,FALSE),pezzi11*DUE),"")</f>
        <v/>
      </c>
      <c r="HR18" s="193" t="str">
        <f>IF(modelloAUTO11=$B$2,IF(VLOOKUP($B$2,tabMODELLI,COLnGUARNorizzINTERMEDIEbarriera,FALSE)="","",larghezza11),"")</f>
        <v/>
      </c>
      <c r="HT18" s="191" t="str">
        <f>IF(modelloAUTO11=$B$2,IF(PROFlatRICH11="",pezzi11*UNO*VLOOKUP($B$2,tabMODELLI,COLnGUARNvertBARRIERA,FALSE),pezzi11*UNO),"")</f>
        <v/>
      </c>
      <c r="HU18" s="193" t="str">
        <f>IF(modelloAUTO11=$B$2,IF(VLOOKUP($B$2,tabMODELLI,COLnGUARNvertBARRIERA,FALSE)="","",altezza11),"")</f>
        <v/>
      </c>
      <c r="HV18"/>
      <c r="HW18" s="191" t="str">
        <f>IF(modelloAUTO11=$B$2,IF(PROFlatRICH11="",pezzi11*VLOOKUP($B$2,tabMODELLI,COLnTAPPIdiGIUNZIONEguarnORIZZconVERT,FALSE),pezzi11),"")</f>
        <v/>
      </c>
      <c r="HX18"/>
      <c r="HY18" s="191" t="str">
        <f>IF(modelloAUTO11=$B$2,IF(PROFlatRICH11="",pezzi11*VLOOKUP($B$2,tabMODELLI,COLnGUARNorizzPROFILOdiTENUTAlaterale,FALSE),pezzi11),"")</f>
        <v/>
      </c>
      <c r="HZ18" s="193" t="str">
        <f>IF(modelloAUTO11=$B$2,IF(VLOOKUP($B$2,tabMODELLI,COLnGUARNorizzPROFILOdiTENUTAlaterale,FALSE)="","",altezza11),"")</f>
        <v/>
      </c>
      <c r="IA18"/>
      <c r="IB18" s="191" t="str">
        <f>IF(modelloAUTO11=$B$2,IF(PROFlatRICH11="",pezzi11*VLOOKUP($B$2,tabMODELLI,COLnGUARNvertPROFILOdiTENUTAlaterale,FALSE),pezzi11),"")</f>
        <v/>
      </c>
      <c r="IC18" s="193" t="str">
        <f>IF(modelloAUTO11=$B$2,IF(VLOOKUP($B$2,tabMODELLI,COLnGUARNvertPROFILOdiTENUTAlaterale,FALSE)="","",altezza11),"")</f>
        <v/>
      </c>
      <c r="ID18"/>
      <c r="IE18" s="191" t="str">
        <f>IF(modelloAUTO11=$B$2,IF(PROFlatRICH11="",pezzi11*VLOOKUP($B$2,tabMODELLI,COLnPROFILIinNYLON,FALSE),pezzi11),"")</f>
        <v/>
      </c>
      <c r="IF18" s="193" t="str">
        <f>IF(modelloAUTO11=$B$2,IF(VLOOKUP($B$2,tabMODELLI,COLnPROFILIinNYLON,FALSE)="","",altezza11),"")</f>
        <v/>
      </c>
      <c r="IH18" s="171" t="str">
        <f>IF(modelloAUTO11=$B$2,IF(PROFoTUBsxRICH11="","",pezzi11),"")</f>
        <v/>
      </c>
      <c r="II18" s="278" t="str">
        <f>IF(modelloAUTO11=$B$2,IF(PROFoTUBsxRICH11="","",PROFoTUBsxRICH11),"")</f>
        <v/>
      </c>
      <c r="IJ18" s="257" t="str">
        <f>IF(AND(modelloAUTO11=$B$2,PROFoTUBsxRICH11&lt;&gt;""),IF(ALTprofOtubRICHsx11="","STD",ALTprofOtubRICHsx11*DIECI),"")</f>
        <v/>
      </c>
      <c r="IL18" s="201" t="str">
        <f>IF(modelloAUTO11=$B$2,IF(PROFoTUBsxRICH11="","",IF(vernPROFoTUBlatSX11="","STD",vernPROFoTUBlatSX11)),"")</f>
        <v/>
      </c>
      <c r="IN18" s="171" t="str">
        <f>IF(modelloAUTO11=$B$2,IF(PROFoTUBdxRICH11="","",pezzi11),"")</f>
        <v/>
      </c>
      <c r="IO18" s="279" t="str">
        <f>IF(modelloAUTO11=$B$2,IF(PROFoTUBdxRICH11="","",PROFoTUBdxRICH11),"")</f>
        <v/>
      </c>
      <c r="IP18" s="257" t="str">
        <f>IF(AND(modelloAUTO11=$B$2,PROFoTUBdxRICH11&lt;&gt;""),IF(ALTprofOtubRICHdx11="","STD",ALTprofOtubRICHdx11*DIECI),"")</f>
        <v/>
      </c>
      <c r="IR18" s="203" t="str">
        <f>IF(modelloAUTO11=$B$2,IF(PROFoTUBdxRICH11="","",IF(vernPROFoTUBlatDX11="","STD",vernPROFoTUBlatDX11)),"")</f>
        <v/>
      </c>
      <c r="IT18" s="204" t="str">
        <f>IF(modelloAUTO11=$B$2,IF(profORIZZ11="","",pezzi11),"")</f>
        <v/>
      </c>
      <c r="IU18" s="205" t="str">
        <f>IF(modelloAUTO11=$B$2,IF(profORIZZ11="","",CODpiattoORIZZsugg11),"")</f>
        <v/>
      </c>
      <c r="IV18" s="206" t="str">
        <f>IF(modelloAUTO11=$B$2,IF(profORIZZ11="","",larghezza11*DIECI+IF(PROFoTUBsxRICH11="",ZERO,VLOOKUP(PROFoTUBsxRICH11,TABprofOtubLATERALI,COLlargPROFoTUBlat,FALSE))+IF(PROFoTUBdxRICH11="",ZERO,VLOOKUP(PROFoTUBdxRICH11,TABprofOtubLATERALI,COLlargPROFoTUBlat,FALSE))),"")</f>
        <v/>
      </c>
      <c r="IW18"/>
      <c r="IX18" s="168">
        <v>11</v>
      </c>
      <c r="IY18" s="258" t="str">
        <f>IF(AND(modelloAUTO11=$B$2,SYSTEMantiFURTO11&lt;&gt;""),VLOOKUP($B$2,TABsistemaANTIFURTO,COLlucchetto,FALSE),"")</f>
        <v/>
      </c>
      <c r="IZ18" s="258" t="str">
        <f>IF(AND(modelloAUTO11=$B$2,SYSTEMantiFURTO11&lt;&gt;""),VLOOKUP($B$2,TABsistemaANTIFURTO,COLaccessorioANTIFURTO2,FALSE),"")</f>
        <v/>
      </c>
      <c r="JA18" s="258" t="str">
        <f>IF(AND(modelloAUTO11=$B$2,SYSTEMantiFURTO11&lt;&gt;""),VLOOKUP($B$2,TABsistemaANTIFURTO,COLaccessorioANTIFURTO,FALSE),"")</f>
        <v/>
      </c>
      <c r="JB18" s="258" t="str">
        <f>IF(AND(modelloAUTO11=$B$2,SYSTEMantiFURTO11&lt;&gt;""),VLOOKUP($B$2,TABsistemaANTIFURTO,COLviteSPECIALExANTIFURTO,FALSE),"")</f>
        <v/>
      </c>
      <c r="JC18" s="258" t="str">
        <f>IF(AND(modelloAUTO11=$B$2,SYSTEMantiFURTO11&lt;&gt;""),VLOOKUP($B$2,TABsistemaANTIFURTO,COLlavorazioneXantifurto,FALSE),"")</f>
        <v/>
      </c>
      <c r="JD18"/>
      <c r="JE18"/>
      <c r="JF18"/>
      <c r="JG18"/>
      <c r="JH18"/>
      <c r="JI18"/>
      <c r="JJ18"/>
      <c r="JK18"/>
      <c r="JL18"/>
      <c r="JM18"/>
      <c r="JN18"/>
      <c r="JO18"/>
      <c r="JP18"/>
      <c r="JQ18"/>
      <c r="JR18"/>
      <c r="JS18"/>
      <c r="JT18"/>
      <c r="JU18"/>
      <c r="JV18"/>
      <c r="JW18"/>
      <c r="JX18" s="168">
        <v>11</v>
      </c>
      <c r="JY18" s="210" t="str">
        <f>IF(modelloAUTO11=$B$2,IF(fornPIANTcentr11="","",fornPIANTcentr11*pezzi11),"")</f>
        <v/>
      </c>
      <c r="JZ18" s="210" t="str">
        <f>IF(modelloAUTO11=$B$2,IF(fornPIANTcentr11="","",CODpiantCENTRsugg11),"")</f>
        <v/>
      </c>
      <c r="KB18" s="210" t="str">
        <f>IF(modelloAUTO11=$B$2,IF(CODpiantCENTRsuggAPPOG11="","",CODpiantCENTRdiAPPOGGIOrich11),"")</f>
        <v/>
      </c>
      <c r="KC18" s="210" t="str">
        <f>IF(modelloAUTO11=$B$2,IF(CODpiantCENTRsuggAPPOG11="","",CODpiantCENTRsuggAPPOG11),"")</f>
        <v/>
      </c>
      <c r="KP18" s="168">
        <v>11</v>
      </c>
      <c r="KQ18" s="259" t="str">
        <f>IF(AND(modelloAUTO11=$B$2,VLOOKUP($B$2,tabMODELLI,COLcoeffPOSSIBILITApellicolaADESIVA,FALSE)=UNO),IF(PELLICOLA11="","",pezzi11),"")</f>
        <v/>
      </c>
      <c r="KR18" s="236" t="str">
        <f>IF(AND(modelloAUTO11=$B$2,VLOOKUP($B$2,tabMODELLI,COLcoeffPOSSIBILITApellicolaADESIVA,FALSE)=UNO),IF(PELLICOLA11="","",larghezza11*DIECI-(VLOOKUP($B$2,tabMODELLI,COLcoeffPELLICOLAadesivaLARG,FALSE))),"")</f>
        <v/>
      </c>
      <c r="KS18" s="236" t="str">
        <f>IF(AND(modelloAUTO11=$B$2,VLOOKUP($B$2,tabMODELLI,COLcoeffPOSSIBILITApellicolaADESIVA,FALSE)=UNO),IF(PELLICOLA11="","",altezza11*DIECI-(VLOOKUP($B$2,tabMODELLI,COLcoeffPELLICOLAadesivaLARG,FALSE))),"")</f>
        <v/>
      </c>
      <c r="MA18" s="168">
        <v>11</v>
      </c>
      <c r="MB18" s="260" t="str">
        <f>IF(modelloAUTO11=$B$2,stanza11,"")</f>
        <v/>
      </c>
      <c r="MC18" s="168">
        <v>11</v>
      </c>
      <c r="MD18" s="230" t="str">
        <f>IF(modelloAUTO11=$B$2,larghezza11*DIECI+4+VLOOKUP($B$2,tabMODELLI,COLcoefAUMlargBUSTApvc,FALSE)+VLOOKUP($B$2,tabMODELLI,COLcoefAUMlargXprofILIlateraliBUSTApvc,FALSE)+IF(PROFoTUBsxRICH11="",ZERO,VLOOKUP(PROFoTUBsxRICH11,TABprofOtubLATERALI,COLlargPROFoTUBlatXimballaggio,FALSE)+profELETTRODOsaldaturaPVC)+IF(PROFoTUBdxRICH11="",ZERO,VLOOKUP(PROFoTUBdxRICH11,TABprofOtubLATERALI,COLlargPROFoTUBlatXimballaggio,FALSE)+profELETTRODOsaldaturaPVC),"")</f>
        <v/>
      </c>
      <c r="ME18" s="230" t="str">
        <f>IF(modelloAUTO11=$B$2,altezza11*DIECI*DUE+VLOOKUP($B$2,tabMODELLI,COLcoefAUMaltBUSTApvc,FALSE),"")</f>
        <v/>
      </c>
      <c r="MF18" s="261"/>
      <c r="MG18" s="230" t="str">
        <f>IF(modelloAUTO11=$B$2,altezza11*DIECI+VLOOKUP($B$2,tabMODELLI,COLcoeffSALDATURAinALTbustaPVC,FALSE),"")</f>
        <v/>
      </c>
      <c r="MH18" s="230" t="str">
        <f>IF(modelloAUTO11=$B$2,VLOOKUP($B$2,tabMODELLI,COLcoeffSALDATURAinLARGperTASCAbustaPVC,FALSE),"")</f>
        <v/>
      </c>
      <c r="MI18" s="230" t="str">
        <f>IF(modelloAUTO11=$B$2,IF(PROFoTUBsxRICH11="","",VLOOKUP(PROFoTUBsxRICH11,TABprofOtubLATERALI,COLlargPROFoTUBlatXimballaggio,FALSE)),"")</f>
        <v/>
      </c>
      <c r="MJ18" s="230" t="str">
        <f>IF(modelloAUTO11=$B$2,IF(PROFoTUBdxRICH11="","",VLOOKUP(PROFoTUBdxRICH11,TABprofOtubLATERALI,COLlargPROFoTUBlatXimballaggio,FALSE)),"")</f>
        <v/>
      </c>
      <c r="ML18" s="262" t="str">
        <f>IF(modelloAUTO11=$B$2,pezzi11*DUE,"")</f>
        <v/>
      </c>
      <c r="MM18" s="263" t="str">
        <f>IF(modelloAUTO11=$B$2,larghezza11+VLOOKUP($B$2,tabMODELLI,COLcoeffAUMoCALOinLARGpolistirolo,FALSE),"")</f>
        <v/>
      </c>
      <c r="MN18" s="263" t="str">
        <f>IF(modelloAUTO11=$B$2,altezza11+VLOOKUP($B$2,tabMODELLI,COLcoeffAUMoCALOinALTpolistirolo,FALSE),"")</f>
        <v/>
      </c>
      <c r="MP18" s="264" t="str">
        <f>IF(modelloAUTO11=$B$2,IF(VLOOKUP($B$2,tabMODELLI,COLcoeffAUMoCALOinLARGprofiloAu,FALSE)="",pezzi11*DUE,pezzi11*UNO),"")</f>
        <v/>
      </c>
      <c r="MQ18" s="265" t="str">
        <f>IF(modelloAUTO11=$B$2,VLOOKUP($B$2,tabMODELLI,COLdimStdSTRISCIAdelFIANCOxLARG1polistirolo,FALSE),"")</f>
        <v/>
      </c>
      <c r="MR18" s="263" t="str">
        <f>IF(modelloAUTO11=$B$2,larghezza11+VLOOKUP($B$2,tabMODELLI,colCOEFFdellaLARGnelFIANCOpolistirolo,FALSE),"")</f>
        <v/>
      </c>
      <c r="MT18" s="262" t="str">
        <f>IF(modelloAUTO11=$B$2,IF(VLOOKUP($B$2,tabMODELLI,COLdimstdSTRISCIAdelFIANCOxALT2polistirolo,FALSE)="",pezzi11*DUE,pezzi11),"")</f>
        <v/>
      </c>
      <c r="MU18" s="265" t="str">
        <f>IF(modelloAUTO11=$B$2,VLOOKUP($B$2,tabMODELLI,COLdimstdSTRISCIAdelFIANCOxALT1polistirolo,FALSE),"")</f>
        <v/>
      </c>
      <c r="MV18" s="263" t="str">
        <f>IF(modelloAUTO11=$B$2,altezza11+VLOOKUP($B$2,tabMODELLI,colCOEFFdellaALTnelFIANCOpolistirolo,FALSE),"")</f>
        <v/>
      </c>
      <c r="MX18" s="266" t="str">
        <f>IF(modelloAUTO11=$B$2,IF(VLOOKUP($B$2,tabMODELLI,COLdimstdSTRISCIAdelFIANCOxALT2polistirolo,FALSE)="","",pezzi11*UNO),"")</f>
        <v/>
      </c>
      <c r="MY18" s="267" t="str">
        <f>IF(modelloAUTO11=$B$2,IF(VLOOKUP($B$2,tabMODELLI,COLdimstdSTRISCIAdelFIANCOxALT2polistirolo,FALSE)="","",VLOOKUP($B$2,tabMODELLI,COLdimstdSTRISCIAdelFIANCOxALT2polistirolo,FALSE)),"")</f>
        <v/>
      </c>
      <c r="MZ18" s="263" t="str">
        <f>IF(modelloAUTO11=$B$2,altezza11+VLOOKUP($B$2,tabMODELLI,colCOEFFdellaALTnelFIANCOpolistirolo,FALSE),"")</f>
        <v/>
      </c>
      <c r="NB18" s="266" t="str">
        <f>IF(modelloAUTO11=$B$2,IF(VLOOKUP($B$2,tabMODELLI,COLcoeffAUMoCALOinLARGprofiloAu,FALSE)="","",pezzi11*UNO),"")</f>
        <v/>
      </c>
      <c r="NC18" s="216" t="str">
        <f>IF(modelloAUTO11=$B$2,IF(VLOOKUP($B$2,tabMODELLI,COLcoeffAUMoCALOinLARGprofiloAu,FALSE)="","",larghezza11+VLOOKUP($B$2,tabMODELLI,COLcoeffAUMoCALOinLARGprofiloAu,FALSE)),"")</f>
        <v/>
      </c>
      <c r="ND18" s="191" t="str">
        <f>IF(modelloAUTO11=$B$2,IF(VLOOKUP($B$2,tabMODELLI,COLcoeffAUMoCALOinLARGprofiloAu,FALSE)="","",VLOOKUP($B$2,tabMODELLI,COLdimstdSTRISCIAdelFIANCOxALT1polistirolo,FALSE)),"")</f>
        <v/>
      </c>
      <c r="NI18" s="168">
        <v>11</v>
      </c>
      <c r="NJ18" s="171" t="str">
        <f>IF(pezzi11="","",pezzi11)</f>
        <v/>
      </c>
      <c r="NK18" s="170" t="str">
        <f>IF(modelloAUTO11="","",modelloAUTO11)</f>
        <v/>
      </c>
      <c r="NL18" s="172" t="str">
        <f>IF(larghezza11="","",LARGortogonalitaADEGUATA11)</f>
        <v/>
      </c>
      <c r="NM18" s="173" t="str">
        <f>IF(altezza11="","",altezza11)</f>
        <v/>
      </c>
      <c r="NO18" s="189" t="str">
        <f>IF(PesoTEORICOparatia11="","",PesoTEORICOparatia11)</f>
        <v/>
      </c>
      <c r="NR18"/>
      <c r="NS18"/>
      <c r="NT18"/>
      <c r="NU18"/>
      <c r="NV18"/>
      <c r="NW18"/>
      <c r="NX18"/>
      <c r="NY18"/>
      <c r="NZ18"/>
      <c r="OA18"/>
      <c r="OB18"/>
      <c r="OC18"/>
      <c r="OD18"/>
      <c r="OE18"/>
    </row>
    <row r="19" spans="1:404" s="150" customFormat="1" ht="38" thickBot="1">
      <c r="A19" s="168">
        <v>12</v>
      </c>
      <c r="B19" s="169" t="str">
        <f>IF(stanza9="","",stanza9)</f>
        <v/>
      </c>
      <c r="C19" s="170" t="str">
        <f>IF(modelloAUTO12="","",modelloAUTO12)</f>
        <v/>
      </c>
      <c r="D19" s="171" t="str">
        <f>IF(pezzi12="","",pezzi12)</f>
        <v/>
      </c>
      <c r="E19" s="172" t="str">
        <f>IF(larghezza12="","",LARGortogonalitaADEGUATA12)</f>
        <v/>
      </c>
      <c r="F19" s="173" t="str">
        <f>IF(altezza12="","",altezza12)</f>
        <v/>
      </c>
      <c r="G19" s="174" t="str">
        <f t="shared" si="0"/>
        <v/>
      </c>
      <c r="H19" s="175" t="str">
        <f>IF(LATOcomAUTO12="","",LATOcomAUTO12)</f>
        <v/>
      </c>
      <c r="I19" s="176" t="str">
        <f>IF(modelloAUTO12="","",IF(vernBarriera12="","",vernBarriera12))</f>
        <v/>
      </c>
      <c r="J19" s="177" t="str">
        <f>IF(modelloAUTO12=$B$2,IF(PELLICOLA12="","",pezzi12),"")</f>
        <v/>
      </c>
      <c r="K19" s="178" t="str">
        <f t="shared" si="1"/>
        <v/>
      </c>
      <c r="M19" s="179" t="str">
        <f>IF(modelloAUTO12=$B$2,IF(PROFlatAUTO12="ESCLUSI","",IF(PROFlatRICH12="","STD",PROFlatRICH12)),"")</f>
        <v/>
      </c>
      <c r="N19" s="180" t="str">
        <f>IF(AND(modelloAUTO12=$B$2,COPERTINAauto12&lt;&gt;""),TIPOcopertina12,"")</f>
        <v/>
      </c>
      <c r="O19" s="181" t="str">
        <f>IF(AND(modelloAUTO12=$B$2,PROFlatAUTO12&lt;&gt;"ESCLUSI"),IF(AND(COPERTINAauto12&lt;&gt;"",ALTprofLATrich12=""),"STD",ALTprofLATrich12*DIECI),"")</f>
        <v/>
      </c>
      <c r="P19" s="176" t="str">
        <f>IF(modelloAUTO12="","",IF(vernPROFlatTEN12="","",vernPROFlatTEN12))</f>
        <v/>
      </c>
      <c r="R19" s="176" t="str">
        <f>IF(PROFoTUBsxRICH12="","",PROFoTUBsxRICH12)</f>
        <v/>
      </c>
      <c r="S19" s="182"/>
      <c r="T19" s="176" t="str">
        <f>IF(modelloAUTO12="","",IF(PROFoTUBdxRICH12="","",PROFoTUBdxRICH12))</f>
        <v/>
      </c>
      <c r="U19" s="182"/>
      <c r="V19" s="183" t="str">
        <f>IF(modelloAUTO12="","",IF(PROFoTUBsxRICH12="","",IF(ALTprofOtubRICHsx12="","SX: STD","SX: "&amp;ALTprofOtubRICHsx12&amp;" - "))&amp;IF(PROFoTUBdxRICH12="","",IF(ALTprofOtubRICHdx12="","  DX: STD","DX :"&amp;ALTprofOtubRICHdx12)))</f>
        <v/>
      </c>
      <c r="W19" s="184" t="str">
        <f>IF(modello12="","",IF(vernPROFoTUBlatSX12="","","SX: "&amp;vernPROFoTUBlatSX12&amp;" - ")&amp;IF(vernPROFoTUBlatDX12="",""," DX: "&amp;vernPROFoTUBlatDX12))</f>
        <v/>
      </c>
      <c r="Y19" s="185" t="str">
        <f>IF(modelloAUTO12="","",IF(OR(larghezza12="",profORIZZ12=""),"",CODpiattoORIZZsugg12))</f>
        <v/>
      </c>
      <c r="Z19" s="186" t="str">
        <f>IF(modelloAUTO12="","",IF(profORIZZ12="","",larghezza12+IF(PROFoTUBsxRICH12="",0,VLOOKUP(PROFoTUBsxRICH12,TABprofOtubLATERALI,COLlargPROFoTUBlat,FALSE))+IF(PROFoTUBdxRICH12="",0,VLOOKUP(PROFoTUBdxRICH12,TABprofOtubLATERALI,COLlargPROFoTUBlat,FALSE))))</f>
        <v/>
      </c>
      <c r="AB19" s="187" t="str">
        <f>IF(modelloAUTO12="","",IF(CODpiantCENTRsugg12="","","N° "&amp;fornPIANTcentr12&amp;"-"&amp;IF(CODpiantCENTRsugg12=0,"ERRORE",CODpiantCENTRsugg12)))</f>
        <v/>
      </c>
      <c r="AC19" s="187" t="str">
        <f>IF(modelloAUTO12="","",IF(CODpiantCENTRsuggAPPOG12="","","N° "&amp;CODpiantCENTRdiAPPOGGIOrich12&amp;"-"&amp;IF(CODpiantCENTRsuggAPPOG12=0,"ERRORE",CODpiantCENTRsuggAPPOG12)))</f>
        <v/>
      </c>
      <c r="AE19" s="188" t="str">
        <f>IF(modelloAUTO12="","",IF(note_cliente12="","",note_cliente12))</f>
        <v/>
      </c>
      <c r="AF19" s="189" t="str">
        <f>IF(PesoTEORICOparatia12="","",PesoTEORICOparatia12)</f>
        <v/>
      </c>
      <c r="AG19" s="190">
        <v>12</v>
      </c>
      <c r="AI19" s="191" t="str">
        <f>IF(modelloAUTO12=$B$2,pezzi12*UNO,"")</f>
        <v/>
      </c>
      <c r="AJ19" s="192" t="str">
        <f>IF(modelloAUTO12=$B$2,larghezza12,"")</f>
        <v/>
      </c>
      <c r="AK19" s="193" t="str">
        <f>IF(modelloAUTO12=$B$2,altezza12,"")</f>
        <v/>
      </c>
      <c r="AL19" s="174" t="str">
        <f t="shared" si="2"/>
        <v/>
      </c>
      <c r="AM19" s="173" t="str">
        <f t="shared" si="3"/>
        <v>DX (di serie)</v>
      </c>
      <c r="AN19" s="194"/>
      <c r="AO19"/>
      <c r="AP19" s="195" t="str">
        <f>IF(modelloAUTO12=$B$2,IF(PROFlatRICH12="",pezzi12*DUE*VLOOKUP($B$2,tabMODELLI,COLprofiliLATdiserie,FALSE),pezzi12*DUE),"")</f>
        <v/>
      </c>
      <c r="AQ19" s="179" t="str">
        <f>IF(modelloAUTO12=$B$2,IF(PROFlatAUTO12="ESCLUSI","",IF(PROFlatRICH12="","STD",PROFlatRICH12)),"")</f>
        <v/>
      </c>
      <c r="AR19" s="196" t="str">
        <f>IF(AND(modelloAUTO12=$B$2,PROFlatAUTO12&lt;&gt;"ESCLUSI"),IF(ALTprofLATrich12="","STD",ALTprofLATrich12*DIECI),"")</f>
        <v/>
      </c>
      <c r="AT19" s="272" t="str">
        <f>IF(modelloAUTO12=$B$2,IF(TIPOcopertina12="","",TIPOcopertina12),"")</f>
        <v/>
      </c>
      <c r="AV19" s="198" t="str">
        <f>IF(modelloAUTO12=$B$2,IF(vernBarriera12="","STD",vernBarriera12),"")</f>
        <v/>
      </c>
      <c r="AX19" s="171" t="str">
        <f>IF(modelloAUTO12=$B$2,IF(PROFoTUBsxRICH12="","",pezzi12),"")</f>
        <v/>
      </c>
      <c r="AY19" s="278" t="str">
        <f>IF(modelloAUTO12=$B$2,IF(PROFoTUBsxRICH12="","",PROFoTUBsxRICH12),"")</f>
        <v/>
      </c>
      <c r="AZ19" s="200" t="str">
        <f>IF(AND(modelloAUTO12=$B$2,PROFoTUBsxRICH12&lt;&gt;""),IF(ALTprofOtubRICHsx12="","STD",ALTprofOtubRICHsx12),"")</f>
        <v/>
      </c>
      <c r="BB19" s="201" t="str">
        <f>IF(modelloAUTO12=$B$2,IF(PROFoTUBsxRICH12="","",IF(vernPROFoTUBlatSX12="","STD",vernPROFoTUBlatSX12)),"")</f>
        <v/>
      </c>
      <c r="BD19" s="171" t="str">
        <f>IF(modelloAUTO12=$B$2,IF(PROFoTUBdxRICH12="","",pezzi12),"")</f>
        <v/>
      </c>
      <c r="BE19" s="279" t="str">
        <f>IF(modelloAUTO12=$B$2,IF(PROFoTUBdxRICH12="","",PROFoTUBdxRICH12),"")</f>
        <v/>
      </c>
      <c r="BF19" s="200" t="str">
        <f>IF(AND(modelloAUTO12=$B$2,PROFoTUBdxRICH12&lt;&gt;""),IF(ALTprofOtubRICHdx12="","STD",ALTprofOtubRICHdx12),"")</f>
        <v/>
      </c>
      <c r="BH19" s="203" t="str">
        <f>IF(modelloAUTO12=$B$2,IF(PROFoTUBdxRICH12="","",IF(vernPROFoTUBlatDX12="","STD",vernPROFoTUBlatDX12)),"")</f>
        <v/>
      </c>
      <c r="BJ19" s="204" t="str">
        <f>IF(modelloAUTO12=$B$2,IF(profORIZZ12="","",pezzi12),"")</f>
        <v/>
      </c>
      <c r="BK19" s="205" t="str">
        <f>IF(modelloAUTO12=$B$2,IF(profORIZZ12="","",CODpiattoORIZZsugg12),"")</f>
        <v/>
      </c>
      <c r="BL19" s="206" t="str">
        <f>IF(modelloAUTO12=$B$2,IF(profORIZZ12="","",larghezza12*UNO+IF(PROFoTUBsxRICH12="",ZERO,VLOOKUP(PROFoTUBsxRICH12,TABprofOtubLATERALI,COLlargPROFoTUBlat,FALSE))+IF(PROFoTUBdxRICH12="",ZERO,VLOOKUP(PROFoTUBdxRICH12,TABprofOtubLATERALI,COLlargPROFoTUBlat,FALSE))),"")</f>
        <v/>
      </c>
      <c r="BN19" s="207" t="str">
        <f ca="1">IF(modelloAUTO12=$B$2,INDEX(INDIRECT("TABnCHIAVISTELLOvert"&amp;$B$2),rif_alt12,rif_larg12)*pezzi12,"")</f>
        <v/>
      </c>
      <c r="BO19"/>
      <c r="BP19" s="178" t="str">
        <f t="shared" si="4"/>
        <v/>
      </c>
      <c r="BQ19" s="208" t="str">
        <f ca="1">IF(modelloAUTO12=$B$2,INDEX(INDIRECT("TABnMANIGLIEsuperiori"&amp;$B$2),rif_alt12,rif_larg12)+INDEX(INDIRECT("TABnMANIGLIEfrontali"&amp;$B$2),rif_alt12,rif_larg12),"")</f>
        <v/>
      </c>
      <c r="BR19" s="191" t="str">
        <f>IF(modelloAUTO12=$B$2,pezzi12*DUE,"")</f>
        <v/>
      </c>
      <c r="BS19" s="209" t="str">
        <f>IF(modelloAUTO12=$B$2,BQ19*DUE,"")</f>
        <v/>
      </c>
      <c r="BT19" s="209" t="str">
        <f>IF(modelloAUTO12=$B$2,BR19*TRE,"")</f>
        <v/>
      </c>
      <c r="BU19" s="191" t="str">
        <f>IF(modelloAUTO12=$B$2,pezzi12*DUE,"")</f>
        <v/>
      </c>
      <c r="BV19" s="191" t="str">
        <f>IF(modelloAUTO12=$B$2,pezzi12*DUE,"")</f>
        <v/>
      </c>
      <c r="BW19" s="191" t="str">
        <f>IF(modelloAUTO12=$B$2,pezzi12*DUE,"")</f>
        <v/>
      </c>
      <c r="BX19" s="191" t="str">
        <f>IF(modelloAUTO12=$B$2,pezzi12*DUE,"")</f>
        <v/>
      </c>
      <c r="BY19" s="191" t="str">
        <f>IF(modelloAUTO12=$B$2,pezzi12*DUE,"")</f>
        <v/>
      </c>
      <c r="CA19" s="210" t="str">
        <f>IF(modelloAUTO12=$B$2,IF(fornPIANTcentr12="","",fornPIANTcentr12*pezzi12),"")</f>
        <v/>
      </c>
      <c r="CB19" s="210" t="str">
        <f>IF(modelloAUTO12=$B$2,IF(fornPIANTcentr12="","",CODpiantCENTRsugg12),"")</f>
        <v/>
      </c>
      <c r="CD19" s="210" t="str">
        <f>IF(modelloAUTO12=$B$2,IF(CODpiantCENTRsuggAPPOG12="","",CODpiantCENTRdiAPPOGGIOrich12),"")</f>
        <v/>
      </c>
      <c r="CE19" s="210" t="str">
        <f>IF(modelloAUTO12=$B$2,IF(CODpiantCENTRsuggAPPOG12="","",CODpiantCENTRsuggAPPOG12),"")</f>
        <v/>
      </c>
      <c r="CG19" s="273">
        <v>12</v>
      </c>
      <c r="CI19" s="211" t="str">
        <f>IF(modelloAUTO12=$B$2,altezza12*DIECI/FLOOR(VLOOKUP($B$2,tabMODELLI,COLcoefALTdogaSORMONTATAda200,FALSE),UNO)*pezzi12,"")</f>
        <v/>
      </c>
      <c r="CJ19" s="212" t="str">
        <f>IF(modelloAUTO12=$B$2,larghezza12*DIECI-VLOOKUP($B$2,tabMODELLI,COLcoeffTAGLIOdogaOPPURElastraINlarg,FALSE)-VLOOKUP(PROFlatAUTO12,TABprofLATten,COLcoeffCALOdoga,FALSE),"")</f>
        <v/>
      </c>
      <c r="CK19"/>
      <c r="CL19" s="213" t="str">
        <f>IF(modelloAUTO12=$B$2,(altezza12*DIECI/FLOOR(VLOOKUP($B$2,tabMODELLI,COLcoefALTdogaSORMONTATAda200,FALSE),CENTO)-FLOOR(altezza12*DIECI/FLOOR(VLOOKUP($B$2,tabMODELLI,COLcoefALTdogaSORMONTATAda200,FALSE),CENTO),UNO))*pezzi12,"")</f>
        <v/>
      </c>
      <c r="CM19" s="214" t="str">
        <f>IF(modelloAUTO12=$B$2,(((altezza12*DIECI-VLOOKUP($B$2,tabMODELLI,COLcoeffCALOtaglioPANNELLObarrieraMONOLITICOoASSEMBLATOInALT,FALSE))/VLOOKUP($B$2,tabMODELLI,colALTnominaleDOGAmm,FALSE)-(FLOOR(altezza12*DIECI/FLOOR(VLOOKUP($B$2,tabMODELLI,COLcoefALTdogaSORMONTATAda200,FALSE),CENTO),UNO)))*(VLOOKUP($B$2,tabMODELLI,colALTnominaleDOGAmm,FALSE))),"")</f>
        <v/>
      </c>
      <c r="CN19" s="203" t="str">
        <f>IF(modelloAUTO12=$B$2,IF(vernBarriera12="","STD",vernBarriera12),"")</f>
        <v/>
      </c>
      <c r="CO19" s="174" t="str">
        <f t="shared" si="5"/>
        <v/>
      </c>
      <c r="CP19" s="215" t="str">
        <f>IF(modelloAUTO12=$B$2,LATOcomAUTO12,"")</f>
        <v/>
      </c>
      <c r="CQ19"/>
      <c r="CR19" s="216" t="str">
        <f>IF(modelloAUTO12=$B$2,pezzi12*UNO,"")</f>
        <v/>
      </c>
      <c r="CS19" s="212" t="str">
        <f>IF(modelloAUTO12=$B$2,altezza12*DIECI+VLOOKUP($B$2,tabMODELLI,COLcoeffTAGLIOPROFILIlateraliEverticaliAttaccatiALLAbarriera,FALSE),"")</f>
        <v/>
      </c>
      <c r="CT19" s="217" t="str">
        <f>IF(modelloAUTO12=$B$2,"|90° 90°|","")</f>
        <v/>
      </c>
      <c r="CU19" s="218"/>
      <c r="CV19" s="219" t="str">
        <f>IF(modelloAUTO12=$B$2,pezzi12*DUE,"")</f>
        <v/>
      </c>
      <c r="CW19" s="220" t="str">
        <f>IF(modelloAUTO12=$B$2,larghezza12*DIECI-VLOOKUP($B$2,tabMODELLI,COLcoeffTAGLIOPROFILIlateraliEverticaliAttaccatiALLAbarriera,FALSE),"")</f>
        <v/>
      </c>
      <c r="CX19" s="217" t="str">
        <f t="shared" si="25"/>
        <v/>
      </c>
      <c r="CY19" s="221"/>
      <c r="CZ19" s="222" t="str">
        <f>IF(modelloAUTO12=$B$2,PROFlatAUTO12,"")</f>
        <v/>
      </c>
      <c r="DA19" s="223" t="str">
        <f>IF(modelloAUTO12=$B$2,pezzi12,"")</f>
        <v/>
      </c>
      <c r="DB19" s="217" t="str">
        <f>IF(modelloAUTO12=$B$2,altezza12*DIECI-VLOOKUP(PROFlatAUTO12,TABprofLATten,COLsfioroPROFtenLATrispettoALvano,FALSE),"")</f>
        <v/>
      </c>
      <c r="DC19" s="217" t="str">
        <f>IF(modelloAUTO12=$B$2,"|90° 45°/","")</f>
        <v/>
      </c>
      <c r="DD19" s="224"/>
      <c r="DE19" s="223" t="str">
        <f>IF(modelloAUTO12=$B$2,pezzi12,"")</f>
        <v/>
      </c>
      <c r="DF19" s="217" t="str">
        <f>IF(modelloAUTO12=$B$2,larghezza12*DIECI-(VLOOKUP(PROFlatAUTO12,TABprofLATten,COLsfioroPROFtenLATrispettoALvano,FALSE)*DUE),"")</f>
        <v/>
      </c>
      <c r="DG19" s="217" t="str">
        <f>IF(modelloAUTO12=$B$2,"\45° 90°|","")</f>
        <v/>
      </c>
      <c r="DH19" s="224"/>
      <c r="DI19" s="223" t="str">
        <f>IF(modelloAUTO12=$B$2,pezzi12,"")</f>
        <v/>
      </c>
      <c r="DJ19" s="217" t="str">
        <f>IF(modelloAUTO12=$B$2,altezza12*DIECI-VLOOKUP(PROFlatAUTO12,TABprofLATten,COLsfioroPROFtenLATrispettoALvano,FALSE),"")</f>
        <v/>
      </c>
      <c r="DK19" s="217" t="str">
        <f>IF(modelloAUTO12=$B$2,"\45° 45°/","")</f>
        <v/>
      </c>
      <c r="DL19" s="225"/>
      <c r="DM19" s="226" t="str">
        <f>IF(modelloAUTO12=$B$2,pezzi12,"")</f>
        <v/>
      </c>
      <c r="DN19" s="226" t="str">
        <f>IF(modelloAUTO12=$B$2,larghezza12*DIECI,"")</f>
        <v/>
      </c>
      <c r="DO19" s="227" t="str">
        <f>IF(modelloAUTO12=$B$2,"|90° 90°|","")</f>
        <v/>
      </c>
      <c r="DP19" s="221"/>
      <c r="DQ19" s="228" t="str">
        <f>IF(modelloAUTO12=$B$2,DIMprimoFOROdalPAVIMENTOperFISSAGGIOprofiloDItenutaLATERALE*DIECI,"")</f>
        <v/>
      </c>
      <c r="DR19" s="228" t="str">
        <f ca="1">IF(modelloAUTO12=$B$2,IF(VLOOKUP(altezza12,INDIRECT("tabNfissaggi"&amp;$B$2),INDIRECT("colNfiSsaggi"&amp;$B$2),TRUE)&lt;DR$6,"",(IF(VLOOKUP(altezza12,INDIRECT("tabNfissaggi"&amp;$B$2),INDIRECT("colNfiSsaggi"&amp;$B$2),FALSE)=DR$6,altezza12*DIECI-DIMprimoFOROdalPAVIMENTOperFISSAGGIOprofiloDItenutaLATERALE,DQ129+(((altezza12*DIECI-DIMprimoFOROdalPAVIMENTOperFISSAGGIOprofiloDItenutaLATERALE*DIECI*DUE))/(VLOOKUP((altezza12),INDIRECT("tabNfissaggi"&amp;$B$2),INDIRECT("colNfiSsaggi"&amp;$B$2),FALSE)-UNO))))),"")</f>
        <v/>
      </c>
      <c r="DS19" s="228" t="str">
        <f ca="1">IF(modelloAUTO12=$B$2,IF(VLOOKUP(altezza12,INDIRECT("tabNfissaggi"&amp;$B$2),INDIRECT("colNfiSsaggi"&amp;$B$2),TRUE)&lt;DS$6,"",(IF(VLOOKUP(altezza12,INDIRECT("tabNfissaggi"&amp;$B$2),INDIRECT("colNfiSsaggi"&amp;$B$2),FALSE)=DS$6,altezza12*DIECI-DIMprimoFOROdalPAVIMENTOperFISSAGGIOprofiloDItenutaLATERALE,DR129+(((altezza12*DIECI-DIMprimoFOROdalPAVIMENTOperFISSAGGIOprofiloDItenutaLATERALE*DIECI*DUE))/(VLOOKUP((altezza12),INDIRECT("tabNfissaggi"&amp;$B$2),INDIRECT("colNfiSsaggi"&amp;$B$2),FALSE)-UNO))))),"")</f>
        <v/>
      </c>
      <c r="DT19" s="228" t="str">
        <f ca="1">IF(modelloAUTO12=$B$2,IF(VLOOKUP(altezza12,INDIRECT("tabNfissaggi"&amp;$B$2),INDIRECT("colNfiSsaggi"&amp;$B$2),TRUE)&lt;DT$6,"",(IF(VLOOKUP(altezza12,INDIRECT("tabNfissaggi"&amp;$B$2),INDIRECT("colNfiSsaggi"&amp;$B$2),FALSE)=DT$6,altezza12*DIECI-DIMprimoFOROdalPAVIMENTOperFISSAGGIOprofiloDItenutaLATERALE,DS129+(((altezza12*DIECI-DIMprimoFOROdalPAVIMENTOperFISSAGGIOprofiloDItenutaLATERALE*DIECI*DUE))/(VLOOKUP((altezza12),INDIRECT("tabNfissaggi"&amp;$B$2),INDIRECT("colNfiSsaggi"&amp;$B$2),FALSE)-UNO))))),"")</f>
        <v/>
      </c>
      <c r="DU19" s="228" t="str">
        <f ca="1">IF(modelloAUTO12=$B$2,IF(VLOOKUP(altezza12,INDIRECT("tabNfissaggi"&amp;$B$2),INDIRECT("colNfiSsaggi"&amp;$B$2),TRUE)&lt;DU$6,"",(IF(VLOOKUP(altezza12,INDIRECT("tabNfissaggi"&amp;$B$2),INDIRECT("colNfiSsaggi"&amp;$B$2),FALSE)=DU$6,altezza12*DIECI-DIMprimoFOROdalPAVIMENTOperFISSAGGIOprofiloDItenutaLATERALE,DT129+(((altezza12*DIECI-DIMprimoFOROdalPAVIMENTOperFISSAGGIOprofiloDItenutaLATERALE*DIECI*DUE))/(VLOOKUP((altezza12),INDIRECT("tabNfissaggi"&amp;$B$2),INDIRECT("colNfiSsaggi"&amp;$B$2),FALSE)-UNO))))),"")</f>
        <v/>
      </c>
      <c r="DV19" s="221"/>
      <c r="DW19" s="229" t="str">
        <f>IF(modelloAUTO12=$B$2,(PRIMOforoNELLantaPARTENDOdaLBASSOclose-VLOOKUP($B$2,tabMODELLI,COLcoeffALTprofiloSogliaRimanenteSOTTOalTELAIOperimetrale,FALSE)),"")</f>
        <v/>
      </c>
      <c r="DX19" s="230" t="str">
        <f>IF(modelloAUTO12=$B$2,DW19+INTERASSSEforiANTAcernieraSAVIOmechanica,"")</f>
        <v/>
      </c>
      <c r="DY19" s="231" t="str">
        <f>IF(modelloAUTO12=$B$2,INDEX(TABforoBASSOcernieraNELLantaCONdogaCLICKRAPIDnellANTACONsavIOMECHANICA,UNO,MATCH(((CJ19)/DUE),TABforoBASSOcernieraNELLantaCONdogaCLICKRAPIDnellANTACONsavIOMECHANICA,UNO)),"")</f>
        <v/>
      </c>
      <c r="DZ19" s="232" t="str">
        <f>IF(modelloAUTO12=$B$2,DY19+INTERASSSEforiANTAcernieraSAVIOmechanica,"")</f>
        <v/>
      </c>
      <c r="EA19" s="231" t="str">
        <f>IF(modelloAUTO12=$B$2,INDEX(TABforoBASSOcernieraNELLantaCONdogaCLICKRAPIDnellANTACONsavIOMECHANICA,UNO,MATCH((CJ19-ALTEZZAcerNIERAcomMPOSTAdalle2aliMECHANICA-altezzaALAcanalinoDA35X35X2),TABforoBASSOcernieraNELLantaCONdogaCLICKRAPIDnellANTACONsavIOMECHANICA,UNO)),"")</f>
        <v/>
      </c>
      <c r="EB19" s="232" t="str">
        <f>IF(modelloAUTO12=$B$2,EA19+INTERASSSEforiANTAcernieraSAVIOmechanica,"")</f>
        <v/>
      </c>
      <c r="EC19" s="233"/>
      <c r="ED19" s="234" t="str">
        <f>IF(modelloAUTO12=$B$2,"a: "&amp;DW19+INTERASSSEforiANTAcernieraSAVIOmechanica/DUE,"")</f>
        <v/>
      </c>
      <c r="EE19" s="234" t="str">
        <f>IF(modelloAUTO12=$B$2,"a: "&amp;DY19+INTERASSSEforiANTAcernieraSAVIOmechanica/DUE,"")</f>
        <v/>
      </c>
      <c r="EF19" s="234" t="str">
        <f>IF(modelloAUTO12=$B$2,"a: "&amp;EA19+INTERASSSEforiANTAcernieraSAVIOmechanica/DUE,"")</f>
        <v/>
      </c>
      <c r="EG19"/>
      <c r="EH19" s="235" t="str">
        <f>IF(modelloAUTO12=$B$2,pezzi12,"")</f>
        <v/>
      </c>
      <c r="EI19" s="235" t="str">
        <f>IF(modelloAUTO12=$B$2,INTERASSEforoPERnottolinoDIcomandoMANIGLIAdiCHIUSURAaLEVAclose,"")</f>
        <v/>
      </c>
      <c r="EJ19" s="236" t="str">
        <f>IF(modelloAUTO12=$B$2,ALTCentroNOTTOLINOpartendoDALbassodellaDOGA,"")</f>
        <v/>
      </c>
      <c r="EK19" s="281"/>
      <c r="EL19" s="216" t="str">
        <f>IF(modelloAUTO12=$B$2,pezzi12*UNO,"")</f>
        <v/>
      </c>
      <c r="EM19" s="212" t="str">
        <f>IF(modelloAUTO12=$B$2,altezza12*DIECI+VLOOKUP($B$2,tabMODELLI,COLcoeffTAGLIOPROFILOdiAGGANCIOsistemaMODERNA,FALSE),"")</f>
        <v/>
      </c>
      <c r="EN19"/>
      <c r="EO19" s="216" t="str">
        <f>IF(modelloAUTO12=$B$2,pezzi12*UNO,"")</f>
        <v/>
      </c>
      <c r="EP19" s="212" t="str">
        <f>IF(modelloAUTO12=$B$2,altezza12*DIECI+VLOOKUP($B$2,tabMODELLI,COLcoeffTAGLIOPROFILOdiAGGANCIOsistemaMODERNA,FALSE),"")</f>
        <v/>
      </c>
      <c r="EQ19"/>
      <c r="ER19" s="216" t="str">
        <f>IF(modelloAUTO12=$B$2,pezzi12*UNO,"")</f>
        <v/>
      </c>
      <c r="ES19" s="212" t="str">
        <f>IF(modelloAUTO12=$B$2,altezza12*DIECI+VLOOKUP($B$2,tabMODELLI,COLcoeffTAGLIOPROFILIlateraliEverticaliAttaccatiALLAbarriera,FALSE),"")</f>
        <v/>
      </c>
      <c r="ET19" s="218"/>
      <c r="EU19" s="191" t="str">
        <f>IF(modelloAUTO12=$B$2,IF(PROFlatRICH12="",pezzi12*DUE*VLOOKUP($B$2,tabMODELLI,COLprofiliLATdiserie,FALSE),pezzi12*DUE),"")</f>
        <v/>
      </c>
      <c r="EV19" s="179" t="str">
        <f>IF(modelloAUTO12=$B$2,IF(PROFlatRICH12="","STD",PROFlatRICH12),"")</f>
        <v/>
      </c>
      <c r="EW19" s="275" t="str">
        <f>IF(modelloAUTO12=$B$2,IF(TIPOcopertina12="","",TIPOcopertina12),"")</f>
        <v/>
      </c>
      <c r="EX19" s="238" t="str">
        <f>IF(modelloAUTO12=$B$2,VLOOKUP($B$2,tabMODELLI,COLcoeffALTguarnINFERIOREschiacciata,FALSE)+(VLOOKUP($B$2,tabMODELLI,COLcoefALTdogaREALEda200,FALSE)+(VLOOKUP($B$2,tabMODELLI,COLcoefALTdogaSORMONTATAda200,FALSE)*(CEILING(altezza12*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19" s="218"/>
      <c r="EZ19" s="276" t="str">
        <f ca="1">IF(OR(modelloAUTO12=$B$2,modelloAUTO12=CLICK_RAPIDxPRIVATO),INDEX(INDIRECT("TABnCHIAVISTELLOvert"&amp;$B$2),rif_alt12,rif_larg12)*pezzi12,"")</f>
        <v/>
      </c>
      <c r="FA19" s="240" t="str">
        <f>IF(modelloAUTO12=$B$2,IF(AND(nCatenacci12&lt;&gt;"",profORIZZ12&lt;&gt;""),spessoreCATENACCIOverticale60X125X300,""),"")</f>
        <v/>
      </c>
      <c r="FB19" s="277" t="str">
        <f ca="1">IF(OR(nCatenacci12=0,nCatenacci12="",),"",(CJ19+QUATTRO-(IF(nCatenacci12="",ZERO,SESSANTA*(nCatenacci12/PZCLICK_RAPID12))))/((nCatenacci12/PZCLICK_RAPID12)+UNO))</f>
        <v/>
      </c>
      <c r="FD19" s="242" t="str">
        <f ca="1">IF(modelloAUTO12=$B$2,INDEX(INDIRECT("TABnMANIGLIEsuperiori"&amp;$B$2),rif_alt12,rif_larg12),"")</f>
        <v/>
      </c>
      <c r="FE19" s="243" t="str">
        <f ca="1">IF(modelloAUTO12=$B$2,(larghezza12-CATENACCIOLOorizzontaleINGOMBROclick_rapid-DUE)/INDEX(INDIRECT("TABnMANIGLIEsuperiori"&amp;$B$2),rif_alt12,rif_larg12),"")</f>
        <v/>
      </c>
      <c r="FG19" s="244" t="str">
        <f ca="1">IF(modelloAUTO12=$B$2,INDEX(INDIRECT("TABnMANIGLIEfrontali"&amp;$B$2),rif_alt12,rif_larg12),"")</f>
        <v/>
      </c>
      <c r="FH19"/>
      <c r="FI19" s="245">
        <f>((larghezza12*DIECI-COEFFlargCOMPLESSIVAdelKITcerniere_GANCIOassemblato))</f>
        <v>-261</v>
      </c>
      <c r="FJ19" s="245">
        <f t="shared" si="17"/>
        <v>19.453363192402126</v>
      </c>
      <c r="FK19" s="245">
        <f t="shared" si="18"/>
        <v>0.4001326</v>
      </c>
      <c r="FL19" s="246">
        <f>(altezza12+TREDICI/DIECI)/CENTO*(CERNIERA_TUBOLARE_MODERNA+CERNIERA_APERTA_MODERNA+UNCINO)+(altezza12/(VLOOKUP($B$2,tabMODELLI,COLcoefALTdogaSORMONTATAda200,FALSE)/DIECI)*COEFFdogaINSERITAnellaCERNIERAaertaFINOallaFINEdelGANCIO*VLOOKUP($B$2,tabMODELLI,COLpesoALKGmlDOGA,FALSE))</f>
        <v>9.6758999999999998E-2</v>
      </c>
      <c r="FM19" s="247"/>
      <c r="FN19" s="247">
        <f>altezza12/(VLOOKUP($B$2,tabMODELLI,COLcoefALTdogaSORMONTATAda200,FALSE)/DIECI)*((((larghezza12-(COEFFlargCOMPLESSIVAdelKITcerniere_GANCIOassemblato/DIECI))/CENTO)*VLOOKUP($B$2,tabMODELLI,COLpesoALKGmlDOGA,FALSE)))</f>
        <v>0</v>
      </c>
      <c r="FO19" s="247">
        <f>larghezza12/CENTO*PESOguarnORIZZmodernaKG\ML</f>
        <v>0</v>
      </c>
      <c r="FP19" s="247">
        <f>(altezza12/(VLOOKUP($B$2,tabMODELLI,COLcoefALTdogaSORMONTATAda200,FALSE)/DIECI)-UNO)*((((larghezza12-(COEFFlargCOMPLESSIVAdelKITcerniere_GANCIOassemblato/DIECI))/CENTO)*pesoALmlDOPPIAsiliconaturaINunaDOGA))</f>
        <v>0.1827</v>
      </c>
      <c r="FQ19" s="247">
        <f>(altezza12/CENTO*H_MODERNA)</f>
        <v>0</v>
      </c>
      <c r="FR19" s="248">
        <f t="shared" si="21"/>
        <v>0.33979579999999998</v>
      </c>
      <c r="FS19" s="248">
        <f t="shared" si="22"/>
        <v>-7.2599999999999998E-2</v>
      </c>
      <c r="FT19" s="249">
        <f t="shared" si="26"/>
        <v>-4.2183908045977011E-4</v>
      </c>
      <c r="FU19" s="249">
        <f t="shared" si="27"/>
        <v>0.1101</v>
      </c>
      <c r="FV19" s="249">
        <f t="shared" si="28"/>
        <v>-0.22969579999999998</v>
      </c>
      <c r="FW19" s="249">
        <f t="shared" si="23"/>
        <v>9.689466505747125E-5</v>
      </c>
      <c r="FX19" s="246">
        <f t="shared" si="29"/>
        <v>0.33979579999999998</v>
      </c>
      <c r="FY19" s="250">
        <f t="shared" si="24"/>
        <v>-824.51038266936757</v>
      </c>
      <c r="FZ19"/>
      <c r="GA19" s="251"/>
      <c r="GB19" s="251"/>
      <c r="GC19" s="251"/>
      <c r="GD19" s="251"/>
      <c r="GE19" s="251"/>
      <c r="GF19" s="251"/>
      <c r="GG19" s="251"/>
      <c r="GI19" s="252" t="str">
        <f>IF(modelloAUTO12=$B$2,IF(PROFlatRICH12="",pezzi12*UNO*VLOOKUP($B$2,tabMODELLI,COLnMANIGLIAasportabile,FALSE),pezzi12*UNO),"")</f>
        <v/>
      </c>
      <c r="GJ19" s="252" t="str">
        <f>IF(modelloAUTO12=$B$2,pezzi12*DUE,"")</f>
        <v/>
      </c>
      <c r="GK19" s="252" t="str">
        <f>IF(modelloAUTO12=$B$2,pezzi12*UNO,"")</f>
        <v/>
      </c>
      <c r="GL19" s="253" t="str">
        <f>IF(modelloAUTO12=$B$2,IF(SYSTEMantiFURTO12&lt;&gt;"",VLOOKUP($B$2,TABsistemaANTIFURTO,COLusoVITEdISERIE,FALSE),pezzi12),"")</f>
        <v/>
      </c>
      <c r="GM19" s="252" t="str">
        <f>IF(modelloAUTO12=$B$2,pezzi12*UNO,"")</f>
        <v/>
      </c>
      <c r="GN19" s="252" t="str">
        <f>IF(modelloAUTO12=$B$2,NmaniglieDItrasporto12*DUE,"")</f>
        <v/>
      </c>
      <c r="GO19" s="254" t="str">
        <f>IF(modelloAUTO12=$B$2,pezzi12*QUINDICI,"")</f>
        <v/>
      </c>
      <c r="GP19" s="254" t="str">
        <f>IF(modelloAUTO12=$B$2,pezzi12*DUE,"")</f>
        <v/>
      </c>
      <c r="GQ19" s="254" t="str">
        <f>IF(modelloAUTO12=$B$2,pezzi12*DUE,"")</f>
        <v/>
      </c>
      <c r="GR19" s="254" t="str">
        <f>IF(modelloAUTO12=$B$2,pezzi12*UNO,"")</f>
        <v/>
      </c>
      <c r="GS19" s="254" t="str">
        <f>IF(modelloAUTO12=$B$2,pezzi12*DUE,"")</f>
        <v/>
      </c>
      <c r="GT19" s="254" t="str">
        <f>IF(modelloAUTO12=$B$2,pezzi12*DUE,"")</f>
        <v/>
      </c>
      <c r="GU19" s="254" t="str">
        <f>IF(modelloAUTO12=$B$2,pezzi12*DUE,"")</f>
        <v/>
      </c>
      <c r="GV19" s="254" t="str">
        <f>IF(modelloAUTO12=$B$2,pezzi12*DUE,"")</f>
        <v/>
      </c>
      <c r="GW19" s="251"/>
      <c r="GX19" s="251"/>
      <c r="GY19" s="251"/>
      <c r="GZ19" s="251"/>
      <c r="HA19" s="251"/>
      <c r="HB19" s="251"/>
      <c r="HC19" s="251"/>
      <c r="HD19" s="251"/>
      <c r="HE19" s="251"/>
      <c r="HF19" s="251"/>
      <c r="HG19" s="251"/>
      <c r="HH19" s="251"/>
      <c r="HI19" s="251"/>
      <c r="HJ19" s="251"/>
      <c r="HK19" s="251"/>
      <c r="HL19" s="251"/>
      <c r="HN19" s="191" t="str">
        <f>IF(modelloAUTO12=$B$2,IF(PROFlatRICH12="",pezzi12*VLOOKUP($B$2,tabMODELLI,COLnGUARNorizzINFERIOREbarriera,FALSE),pezzi12),"")</f>
        <v/>
      </c>
      <c r="HO19" s="193" t="str">
        <f>IF(modelloAUTO12=$B$2,IF(VLOOKUP($B$2,tabMODELLI,COLnGUARNorizzINFERIOREbarriera,FALSE)="","",larghezza12),"")</f>
        <v/>
      </c>
      <c r="HQ19" s="191" t="str">
        <f>IF(modelloAUTO12=$B$2,IF(PROFlatRICH12="",pezzi12*DUE*VLOOKUP($B$2,tabMODELLI,COLnGUARNorizzINTERMEDIEbarriera,FALSE),pezzi12*DUE),"")</f>
        <v/>
      </c>
      <c r="HR19" s="193" t="str">
        <f>IF(modelloAUTO12=$B$2,IF(VLOOKUP($B$2,tabMODELLI,COLnGUARNorizzINTERMEDIEbarriera,FALSE)="","",larghezza12),"")</f>
        <v/>
      </c>
      <c r="HT19" s="191" t="str">
        <f>IF(modelloAUTO12=$B$2,IF(PROFlatRICH12="",pezzi12*UNO*VLOOKUP($B$2,tabMODELLI,COLnGUARNvertBARRIERA,FALSE),pezzi12*UNO),"")</f>
        <v/>
      </c>
      <c r="HU19" s="193" t="str">
        <f>IF(modelloAUTO12=$B$2,IF(VLOOKUP($B$2,tabMODELLI,COLnGUARNvertBARRIERA,FALSE)="","",altezza12),"")</f>
        <v/>
      </c>
      <c r="HV19"/>
      <c r="HW19" s="191" t="str">
        <f>IF(modelloAUTO12=$B$2,IF(PROFlatRICH12="",pezzi12*VLOOKUP($B$2,tabMODELLI,COLnTAPPIdiGIUNZIONEguarnORIZZconVERT,FALSE),pezzi12),"")</f>
        <v/>
      </c>
      <c r="HX19"/>
      <c r="HY19" s="191" t="str">
        <f>IF(modelloAUTO12=$B$2,IF(PROFlatRICH12="",pezzi12*VLOOKUP($B$2,tabMODELLI,COLnGUARNorizzPROFILOdiTENUTAlaterale,FALSE),pezzi12),"")</f>
        <v/>
      </c>
      <c r="HZ19" s="193" t="str">
        <f>IF(modelloAUTO12=$B$2,IF(VLOOKUP($B$2,tabMODELLI,COLnGUARNorizzPROFILOdiTENUTAlaterale,FALSE)="","",altezza12),"")</f>
        <v/>
      </c>
      <c r="IA19"/>
      <c r="IB19" s="191" t="str">
        <f>IF(modelloAUTO12=$B$2,IF(PROFlatRICH12="",pezzi12*VLOOKUP($B$2,tabMODELLI,COLnGUARNvertPROFILOdiTENUTAlaterale,FALSE),pezzi12),"")</f>
        <v/>
      </c>
      <c r="IC19" s="193" t="str">
        <f>IF(modelloAUTO12=$B$2,IF(VLOOKUP($B$2,tabMODELLI,COLnGUARNvertPROFILOdiTENUTAlaterale,FALSE)="","",altezza12),"")</f>
        <v/>
      </c>
      <c r="ID19"/>
      <c r="IE19" s="191" t="str">
        <f>IF(modelloAUTO12=$B$2,IF(PROFlatRICH12="",pezzi12*VLOOKUP($B$2,tabMODELLI,COLnPROFILIinNYLON,FALSE),pezzi12),"")</f>
        <v/>
      </c>
      <c r="IF19" s="193" t="str">
        <f>IF(modelloAUTO12=$B$2,IF(VLOOKUP($B$2,tabMODELLI,COLnPROFILIinNYLON,FALSE)="","",altezza12),"")</f>
        <v/>
      </c>
      <c r="IH19" s="171" t="str">
        <f>IF(modelloAUTO12=$B$2,IF(PROFoTUBsxRICH12="","",pezzi12),"")</f>
        <v/>
      </c>
      <c r="II19" s="278" t="str">
        <f>IF(modelloAUTO12=$B$2,IF(PROFoTUBsxRICH12="","",PROFoTUBsxRICH12),"")</f>
        <v/>
      </c>
      <c r="IJ19" s="257" t="str">
        <f>IF(AND(modelloAUTO12=$B$2,PROFoTUBsxRICH12&lt;&gt;""),IF(ALTprofOtubRICHsx12="","STD",ALTprofOtubRICHsx12*DIECI),"")</f>
        <v/>
      </c>
      <c r="IL19" s="201" t="str">
        <f>IF(modelloAUTO12=$B$2,IF(PROFoTUBsxRICH12="","",IF(vernPROFoTUBlatSX12="","STD",vernPROFoTUBlatSX12)),"")</f>
        <v/>
      </c>
      <c r="IN19" s="171" t="str">
        <f>IF(modelloAUTO12=$B$2,IF(PROFoTUBdxRICH12="","",pezzi12),"")</f>
        <v/>
      </c>
      <c r="IO19" s="279" t="str">
        <f>IF(modelloAUTO12=$B$2,IF(PROFoTUBdxRICH12="","",PROFoTUBdxRICH12),"")</f>
        <v/>
      </c>
      <c r="IP19" s="257" t="str">
        <f>IF(AND(modelloAUTO12=$B$2,PROFoTUBdxRICH12&lt;&gt;""),IF(ALTprofOtubRICHdx12="","STD",ALTprofOtubRICHdx12*DIECI),"")</f>
        <v/>
      </c>
      <c r="IR19" s="203" t="str">
        <f>IF(modelloAUTO12=$B$2,IF(PROFoTUBdxRICH12="","",IF(vernPROFoTUBlatDX12="","STD",vernPROFoTUBlatDX12)),"")</f>
        <v/>
      </c>
      <c r="IT19" s="204" t="str">
        <f>IF(modelloAUTO12=$B$2,IF(profORIZZ12="","",pezzi12),"")</f>
        <v/>
      </c>
      <c r="IU19" s="205" t="str">
        <f>IF(modelloAUTO12=$B$2,IF(profORIZZ12="","",CODpiattoORIZZsugg12),"")</f>
        <v/>
      </c>
      <c r="IV19" s="206" t="str">
        <f>IF(modelloAUTO12=$B$2,IF(profORIZZ12="","",larghezza12*DIECI+IF(PROFoTUBsxRICH12="",ZERO,VLOOKUP(PROFoTUBsxRICH12,TABprofOtubLATERALI,COLlargPROFoTUBlat,FALSE))+IF(PROFoTUBdxRICH12="",ZERO,VLOOKUP(PROFoTUBdxRICH12,TABprofOtubLATERALI,COLlargPROFoTUBlat,FALSE))),"")</f>
        <v/>
      </c>
      <c r="IW19"/>
      <c r="IX19" s="168">
        <v>12</v>
      </c>
      <c r="IY19" s="258" t="str">
        <f>IF(AND(modelloAUTO12=$B$2,SYSTEMantiFURTO12&lt;&gt;""),VLOOKUP($B$2,TABsistemaANTIFURTO,COLlucchetto,FALSE),"")</f>
        <v/>
      </c>
      <c r="IZ19" s="258" t="str">
        <f>IF(AND(modelloAUTO12=$B$2,SYSTEMantiFURTO12&lt;&gt;""),VLOOKUP($B$2,TABsistemaANTIFURTO,COLaccessorioANTIFURTO2,FALSE),"")</f>
        <v/>
      </c>
      <c r="JA19" s="258" t="str">
        <f>IF(AND(modelloAUTO12=$B$2,SYSTEMantiFURTO12&lt;&gt;""),VLOOKUP($B$2,TABsistemaANTIFURTO,COLaccessorioANTIFURTO,FALSE),"")</f>
        <v/>
      </c>
      <c r="JB19" s="258" t="str">
        <f>IF(AND(modelloAUTO12=$B$2,SYSTEMantiFURTO12&lt;&gt;""),VLOOKUP($B$2,TABsistemaANTIFURTO,COLviteSPECIALExANTIFURTO,FALSE),"")</f>
        <v/>
      </c>
      <c r="JC19" s="258" t="str">
        <f>IF(AND(modelloAUTO12=$B$2,SYSTEMantiFURTO12&lt;&gt;""),VLOOKUP($B$2,TABsistemaANTIFURTO,COLlavorazioneXantifurto,FALSE),"")</f>
        <v/>
      </c>
      <c r="JD19"/>
      <c r="JE19"/>
      <c r="JF19"/>
      <c r="JG19"/>
      <c r="JH19"/>
      <c r="JI19"/>
      <c r="JJ19"/>
      <c r="JK19"/>
      <c r="JL19"/>
      <c r="JM19"/>
      <c r="JN19"/>
      <c r="JO19"/>
      <c r="JP19"/>
      <c r="JQ19"/>
      <c r="JR19"/>
      <c r="JS19"/>
      <c r="JT19"/>
      <c r="JU19"/>
      <c r="JV19"/>
      <c r="JW19"/>
      <c r="JX19" s="168">
        <v>12</v>
      </c>
      <c r="JY19" s="210" t="str">
        <f>IF(modelloAUTO12=$B$2,IF(fornPIANTcentr12="","",fornPIANTcentr12*pezzi12),"")</f>
        <v/>
      </c>
      <c r="JZ19" s="210" t="str">
        <f>IF(modelloAUTO12=$B$2,IF(fornPIANTcentr12="","",CODpiantCENTRsugg12),"")</f>
        <v/>
      </c>
      <c r="KB19" s="210" t="str">
        <f>IF(modelloAUTO12=$B$2,IF(CODpiantCENTRsuggAPPOG12="","",CODpiantCENTRdiAPPOGGIOrich12),"")</f>
        <v/>
      </c>
      <c r="KC19" s="210" t="str">
        <f>IF(modelloAUTO12=$B$2,IF(CODpiantCENTRsuggAPPOG12="","",CODpiantCENTRsuggAPPOG12),"")</f>
        <v/>
      </c>
      <c r="KP19" s="168">
        <v>12</v>
      </c>
      <c r="KQ19" s="259" t="str">
        <f>IF(AND(modelloAUTO12=$B$2,VLOOKUP($B$2,tabMODELLI,COLcoeffPOSSIBILITApellicolaADESIVA,FALSE)=UNO),IF(PELLICOLA12="","",pezzi12),"")</f>
        <v/>
      </c>
      <c r="KR19" s="236" t="str">
        <f>IF(AND(modelloAUTO12=$B$2,VLOOKUP($B$2,tabMODELLI,COLcoeffPOSSIBILITApellicolaADESIVA,FALSE)=UNO),IF(PELLICOLA12="","",larghezza12*DIECI-(VLOOKUP($B$2,tabMODELLI,COLcoeffPELLICOLAadesivaLARG,FALSE))),"")</f>
        <v/>
      </c>
      <c r="KS19" s="236" t="str">
        <f>IF(AND(modelloAUTO12=$B$2,VLOOKUP($B$2,tabMODELLI,COLcoeffPOSSIBILITApellicolaADESIVA,FALSE)=UNO),IF(PELLICOLA12="","",altezza12*DIECI-(VLOOKUP($B$2,tabMODELLI,COLcoeffPELLICOLAadesivaLARG,FALSE))),"")</f>
        <v/>
      </c>
      <c r="MA19" s="168">
        <v>12</v>
      </c>
      <c r="MB19" s="260" t="str">
        <f>IF(modelloAUTO12=$B$2,stanza12,"")</f>
        <v/>
      </c>
      <c r="MC19" s="168">
        <v>12</v>
      </c>
      <c r="MD19" s="230" t="str">
        <f>IF(modelloAUTO12=$B$2,larghezza12*DIECI+4+VLOOKUP($B$2,tabMODELLI,COLcoefAUMlargBUSTApvc,FALSE)+VLOOKUP($B$2,tabMODELLI,COLcoefAUMlargXprofILIlateraliBUSTApvc,FALSE)+IF(PROFoTUBsxRICH12="",ZERO,VLOOKUP(PROFoTUBsxRICH12,TABprofOtubLATERALI,COLlargPROFoTUBlatXimballaggio,FALSE)+profELETTRODOsaldaturaPVC)+IF(PROFoTUBdxRICH12="",ZERO,VLOOKUP(PROFoTUBdxRICH12,TABprofOtubLATERALI,COLlargPROFoTUBlatXimballaggio,FALSE)+profELETTRODOsaldaturaPVC),"")</f>
        <v/>
      </c>
      <c r="ME19" s="230" t="str">
        <f>IF(modelloAUTO12=$B$2,altezza12*DIECI*DUE+VLOOKUP($B$2,tabMODELLI,COLcoefAUMaltBUSTApvc,FALSE),"")</f>
        <v/>
      </c>
      <c r="MF19" s="261"/>
      <c r="MG19" s="230" t="str">
        <f>IF(modelloAUTO12=$B$2,altezza12*DIECI+VLOOKUP($B$2,tabMODELLI,COLcoeffSALDATURAinALTbustaPVC,FALSE),"")</f>
        <v/>
      </c>
      <c r="MH19" s="230" t="str">
        <f>IF(modelloAUTO12=$B$2,VLOOKUP($B$2,tabMODELLI,COLcoeffSALDATURAinLARGperTASCAbustaPVC,FALSE),"")</f>
        <v/>
      </c>
      <c r="MI19" s="230" t="str">
        <f>IF(modelloAUTO12=$B$2,IF(PROFoTUBsxRICH12="","",VLOOKUP(PROFoTUBsxRICH12,TABprofOtubLATERALI,COLlargPROFoTUBlatXimballaggio,FALSE)),"")</f>
        <v/>
      </c>
      <c r="MJ19" s="230" t="str">
        <f>IF(modelloAUTO12=$B$2,IF(PROFoTUBdxRICH12="","",VLOOKUP(PROFoTUBdxRICH12,TABprofOtubLATERALI,COLlargPROFoTUBlatXimballaggio,FALSE)),"")</f>
        <v/>
      </c>
      <c r="ML19" s="262" t="str">
        <f>IF(modelloAUTO12=$B$2,pezzi12*DUE,"")</f>
        <v/>
      </c>
      <c r="MM19" s="263" t="str">
        <f>IF(modelloAUTO12=$B$2,larghezza12+VLOOKUP($B$2,tabMODELLI,COLcoeffAUMoCALOinLARGpolistirolo,FALSE),"")</f>
        <v/>
      </c>
      <c r="MN19" s="263" t="str">
        <f>IF(modelloAUTO12=$B$2,altezza12+VLOOKUP($B$2,tabMODELLI,COLcoeffAUMoCALOinALTpolistirolo,FALSE),"")</f>
        <v/>
      </c>
      <c r="MP19" s="264" t="str">
        <f>IF(modelloAUTO12=$B$2,IF(VLOOKUP($B$2,tabMODELLI,COLcoeffAUMoCALOinLARGprofiloAu,FALSE)="",pezzi12*DUE,pezzi12*UNO),"")</f>
        <v/>
      </c>
      <c r="MQ19" s="265" t="str">
        <f>IF(modelloAUTO12=$B$2,VLOOKUP($B$2,tabMODELLI,COLdimStdSTRISCIAdelFIANCOxLARG1polistirolo,FALSE),"")</f>
        <v/>
      </c>
      <c r="MR19" s="263" t="str">
        <f>IF(modelloAUTO12=$B$2,larghezza12+VLOOKUP($B$2,tabMODELLI,colCOEFFdellaLARGnelFIANCOpolistirolo,FALSE),"")</f>
        <v/>
      </c>
      <c r="MT19" s="262" t="str">
        <f>IF(modelloAUTO12=$B$2,IF(VLOOKUP($B$2,tabMODELLI,COLdimstdSTRISCIAdelFIANCOxALT2polistirolo,FALSE)="",pezzi12*DUE,pezzi12),"")</f>
        <v/>
      </c>
      <c r="MU19" s="265" t="str">
        <f>IF(modelloAUTO12=$B$2,VLOOKUP($B$2,tabMODELLI,COLdimstdSTRISCIAdelFIANCOxALT1polistirolo,FALSE),"")</f>
        <v/>
      </c>
      <c r="MV19" s="263" t="str">
        <f>IF(modelloAUTO12=$B$2,altezza12+VLOOKUP($B$2,tabMODELLI,colCOEFFdellaALTnelFIANCOpolistirolo,FALSE),"")</f>
        <v/>
      </c>
      <c r="MX19" s="266" t="str">
        <f>IF(modelloAUTO12=$B$2,IF(VLOOKUP($B$2,tabMODELLI,COLdimstdSTRISCIAdelFIANCOxALT2polistirolo,FALSE)="","",pezzi12*UNO),"")</f>
        <v/>
      </c>
      <c r="MY19" s="267" t="str">
        <f>IF(modelloAUTO12=$B$2,IF(VLOOKUP($B$2,tabMODELLI,COLdimstdSTRISCIAdelFIANCOxALT2polistirolo,FALSE)="","",VLOOKUP($B$2,tabMODELLI,COLdimstdSTRISCIAdelFIANCOxALT2polistirolo,FALSE)),"")</f>
        <v/>
      </c>
      <c r="MZ19" s="263" t="str">
        <f>IF(modelloAUTO12=$B$2,altezza12+VLOOKUP($B$2,tabMODELLI,colCOEFFdellaALTnelFIANCOpolistirolo,FALSE),"")</f>
        <v/>
      </c>
      <c r="NB19" s="266" t="str">
        <f>IF(modelloAUTO12=$B$2,IF(VLOOKUP($B$2,tabMODELLI,COLcoeffAUMoCALOinLARGprofiloAu,FALSE)="","",pezzi12*UNO),"")</f>
        <v/>
      </c>
      <c r="NC19" s="216" t="str">
        <f>IF(modelloAUTO12=$B$2,IF(VLOOKUP($B$2,tabMODELLI,COLcoeffAUMoCALOinLARGprofiloAu,FALSE)="","",larghezza12+VLOOKUP($B$2,tabMODELLI,COLcoeffAUMoCALOinLARGprofiloAu,FALSE)),"")</f>
        <v/>
      </c>
      <c r="ND19" s="191" t="str">
        <f>IF(modelloAUTO12=$B$2,IF(VLOOKUP($B$2,tabMODELLI,COLcoeffAUMoCALOinLARGprofiloAu,FALSE)="","",VLOOKUP($B$2,tabMODELLI,COLdimstdSTRISCIAdelFIANCOxALT1polistirolo,FALSE)),"")</f>
        <v/>
      </c>
      <c r="NI19" s="168">
        <v>12</v>
      </c>
      <c r="NJ19" s="171" t="str">
        <f>IF(pezzi12="","",pezzi12)</f>
        <v/>
      </c>
      <c r="NK19" s="170" t="str">
        <f>IF(modelloAUTO12="","",modelloAUTO12)</f>
        <v/>
      </c>
      <c r="NL19" s="172" t="str">
        <f>IF(larghezza12="","",LARGortogonalitaADEGUATA12)</f>
        <v/>
      </c>
      <c r="NM19" s="173" t="str">
        <f>IF(altezza12="","",altezza12)</f>
        <v/>
      </c>
      <c r="NO19" s="189" t="str">
        <f>IF(PesoTEORICOparatia12="","",PesoTEORICOparatia12)</f>
        <v/>
      </c>
      <c r="NR19"/>
      <c r="NS19"/>
      <c r="NT19"/>
      <c r="NU19"/>
      <c r="NV19"/>
      <c r="NW19"/>
      <c r="NX19"/>
      <c r="NY19"/>
      <c r="NZ19"/>
      <c r="OA19"/>
      <c r="OB19"/>
      <c r="OC19"/>
      <c r="OD19"/>
      <c r="OE19"/>
    </row>
    <row r="20" spans="1:404" s="150" customFormat="1" ht="38" thickBot="1">
      <c r="A20" s="168">
        <v>13</v>
      </c>
      <c r="B20" s="169" t="str">
        <f>IF(stanza9="","",stanza9)</f>
        <v/>
      </c>
      <c r="C20" s="170" t="str">
        <f>IF(modelloAUTO13="","",modelloAUTO13)</f>
        <v/>
      </c>
      <c r="D20" s="171" t="str">
        <f>IF(pezzi13="","",pezzi13)</f>
        <v/>
      </c>
      <c r="E20" s="172" t="str">
        <f>IF(larghezza13="","",LARGortogonalitaADEGUATA13)</f>
        <v/>
      </c>
      <c r="F20" s="173" t="str">
        <f>IF(altezza13="","",altezza13)</f>
        <v/>
      </c>
      <c r="G20" s="174" t="str">
        <f t="shared" si="0"/>
        <v/>
      </c>
      <c r="H20" s="175" t="str">
        <f>IF(LATOcomAUTO13="","",LATOcomAUTO13)</f>
        <v/>
      </c>
      <c r="I20" s="176" t="str">
        <f>IF(modelloAUTO13="","",IF(vernBarriera13="","",vernBarriera13))</f>
        <v/>
      </c>
      <c r="J20" s="177" t="str">
        <f>IF(modelloAUTO13=$B$2,IF(PELLICOLA13="","",pezzi13),"")</f>
        <v/>
      </c>
      <c r="K20" s="178" t="str">
        <f t="shared" si="1"/>
        <v/>
      </c>
      <c r="M20" s="179" t="str">
        <f>IF(modelloAUTO13=$B$2,IF(PROFlatAUTO13="ESCLUSI","",IF(PROFlatRICH13="","STD",PROFlatRICH13)),"")</f>
        <v/>
      </c>
      <c r="N20" s="180" t="str">
        <f>IF(AND(modelloAUTO13=$B$2,COPERTINAauto13&lt;&gt;""),TIPOcopertina13,"")</f>
        <v/>
      </c>
      <c r="O20" s="181" t="str">
        <f>IF(AND(modelloAUTO13=$B$2,PROFlatAUTO13&lt;&gt;"ESCLUSI"),IF(AND(COPERTINAauto13&lt;&gt;"",ALTprofLATrich13=""),"STD",ALTprofLATrich13*DIECI),"")</f>
        <v/>
      </c>
      <c r="P20" s="176" t="str">
        <f>IF(modelloAUTO13="","",IF(vernPROFlatTEN13="","",vernPROFlatTEN13))</f>
        <v/>
      </c>
      <c r="R20" s="176" t="str">
        <f>IF(PROFoTUBsxRICH13="","",PROFoTUBsxRICH13)</f>
        <v/>
      </c>
      <c r="S20" s="182"/>
      <c r="T20" s="176" t="str">
        <f>IF(modelloAUTO13="","",IF(PROFoTUBdxRICH13="","",PROFoTUBdxRICH13))</f>
        <v/>
      </c>
      <c r="U20" s="182"/>
      <c r="V20" s="183" t="str">
        <f>IF(modelloAUTO13="","",IF(PROFoTUBsxRICH13="","",IF(ALTprofOtubRICHsx13="","SX: STD","SX: "&amp;ALTprofOtubRICHsx13&amp;" - "))&amp;IF(PROFoTUBdxRICH13="","",IF(ALTprofOtubRICHdx13="","  DX: STD","DX :"&amp;ALTprofOtubRICHdx13)))</f>
        <v/>
      </c>
      <c r="W20" s="184" t="str">
        <f>IF(modello13="","",IF(vernPROFoTUBlatSX13="","","SX: "&amp;vernPROFoTUBlatSX13&amp;" - ")&amp;IF(vernPROFoTUBlatDX13="",""," DX: "&amp;vernPROFoTUBlatDX13))</f>
        <v/>
      </c>
      <c r="Y20" s="185" t="str">
        <f>IF(modelloAUTO13="","",IF(OR(larghezza13="",profORIZZ13=""),"",CODpiattoORIZZsugg13))</f>
        <v/>
      </c>
      <c r="Z20" s="186" t="str">
        <f>IF(modelloAUTO13="","",IF(profORIZZ13="","",larghezza13+IF(PROFoTUBsxRICH13="",0,VLOOKUP(PROFoTUBsxRICH13,TABprofOtubLATERALI,COLlargPROFoTUBlat,FALSE))+IF(PROFoTUBdxRICH13="",0,VLOOKUP(PROFoTUBdxRICH13,TABprofOtubLATERALI,COLlargPROFoTUBlat,FALSE))))</f>
        <v/>
      </c>
      <c r="AB20" s="187" t="str">
        <f>IF(modelloAUTO13="","",IF(CODpiantCENTRsugg13="","","N° "&amp;fornPIANTcentr13&amp;"-"&amp;IF(CODpiantCENTRsugg13=0,"ERRORE",CODpiantCENTRsugg13)))</f>
        <v/>
      </c>
      <c r="AC20" s="187" t="str">
        <f>IF(modelloAUTO13="","",IF(CODpiantCENTRsuggAPPOG13="","","N° "&amp;CODpiantCENTRdiAPPOGGIOrich13&amp;"-"&amp;IF(CODpiantCENTRsuggAPPOG13=0,"ERRORE",CODpiantCENTRsuggAPPOG13)))</f>
        <v/>
      </c>
      <c r="AE20" s="188" t="str">
        <f>IF(modelloAUTO13="","",IF(note_cliente13="","",note_cliente13))</f>
        <v/>
      </c>
      <c r="AF20" s="189" t="str">
        <f>IF(PesoTEORICOparatia13="","",PesoTEORICOparatia13)</f>
        <v/>
      </c>
      <c r="AG20" s="190">
        <v>13</v>
      </c>
      <c r="AI20" s="191" t="str">
        <f>IF(modelloAUTO13=$B$2,pezzi13*UNO,"")</f>
        <v/>
      </c>
      <c r="AJ20" s="192" t="str">
        <f>IF(modelloAUTO13=$B$2,larghezza13,"")</f>
        <v/>
      </c>
      <c r="AK20" s="193" t="str">
        <f>IF(modelloAUTO13=$B$2,altezza13,"")</f>
        <v/>
      </c>
      <c r="AL20" s="174" t="str">
        <f t="shared" si="2"/>
        <v/>
      </c>
      <c r="AM20" s="173" t="str">
        <f t="shared" si="3"/>
        <v>DX (di serie)</v>
      </c>
      <c r="AN20" s="194"/>
      <c r="AO20"/>
      <c r="AP20" s="195" t="str">
        <f>IF(modelloAUTO13=$B$2,IF(PROFlatRICH13="",pezzi13*DUE*VLOOKUP($B$2,tabMODELLI,COLprofiliLATdiserie,FALSE),pezzi13*DUE),"")</f>
        <v/>
      </c>
      <c r="AQ20" s="179" t="str">
        <f>IF(modelloAUTO13=$B$2,IF(PROFlatAUTO13="ESCLUSI","",IF(PROFlatRICH13="","STD",PROFlatRICH13)),"")</f>
        <v/>
      </c>
      <c r="AR20" s="196" t="str">
        <f>IF(AND(modelloAUTO13=$B$2,PROFlatAUTO13&lt;&gt;"ESCLUSI"),IF(ALTprofLATrich13="","STD",ALTprofLATrich13*DIECI),"")</f>
        <v/>
      </c>
      <c r="AT20" s="272" t="str">
        <f>IF(modelloAUTO13=$B$2,IF(TIPOcopertina13="","",TIPOcopertina13),"")</f>
        <v/>
      </c>
      <c r="AV20" s="198" t="str">
        <f>IF(modelloAUTO13=$B$2,IF(vernBarriera13="","STD",vernBarriera13),"")</f>
        <v/>
      </c>
      <c r="AX20" s="171" t="str">
        <f>IF(modelloAUTO13=$B$2,IF(PROFoTUBsxRICH13="","",pezzi13),"")</f>
        <v/>
      </c>
      <c r="AY20" s="278" t="str">
        <f>IF(modelloAUTO13=$B$2,IF(PROFoTUBsxRICH13="","",PROFoTUBsxRICH13),"")</f>
        <v/>
      </c>
      <c r="AZ20" s="200" t="str">
        <f>IF(AND(modelloAUTO13=$B$2,PROFoTUBsxRICH13&lt;&gt;""),IF(ALTprofOtubRICHsx13="","STD",ALTprofOtubRICHsx13),"")</f>
        <v/>
      </c>
      <c r="BB20" s="201" t="str">
        <f>IF(modelloAUTO13=$B$2,IF(PROFoTUBsxRICH13="","",IF(vernPROFoTUBlatSX13="","STD",vernPROFoTUBlatSX13)),"")</f>
        <v/>
      </c>
      <c r="BD20" s="171" t="str">
        <f>IF(modelloAUTO13=$B$2,IF(PROFoTUBdxRICH13="","",pezzi13),"")</f>
        <v/>
      </c>
      <c r="BE20" s="279" t="str">
        <f>IF(modelloAUTO13=$B$2,IF(PROFoTUBdxRICH13="","",PROFoTUBdxRICH13),"")</f>
        <v/>
      </c>
      <c r="BF20" s="200" t="str">
        <f>IF(AND(modelloAUTO13=$B$2,PROFoTUBdxRICH13&lt;&gt;""),IF(ALTprofOtubRICHdx13="","STD",ALTprofOtubRICHdx13),"")</f>
        <v/>
      </c>
      <c r="BH20" s="203" t="str">
        <f>IF(modelloAUTO13=$B$2,IF(PROFoTUBdxRICH13="","",IF(vernPROFoTUBlatDX13="","STD",vernPROFoTUBlatDX13)),"")</f>
        <v/>
      </c>
      <c r="BJ20" s="204" t="str">
        <f>IF(modelloAUTO13=$B$2,IF(profORIZZ13="","",pezzi13),"")</f>
        <v/>
      </c>
      <c r="BK20" s="205" t="str">
        <f>IF(modelloAUTO13=$B$2,IF(profORIZZ13="","",CODpiattoORIZZsugg13),"")</f>
        <v/>
      </c>
      <c r="BL20" s="206" t="str">
        <f>IF(modelloAUTO13=$B$2,IF(profORIZZ13="","",larghezza13*UNO+IF(PROFoTUBsxRICH13="",ZERO,VLOOKUP(PROFoTUBsxRICH13,TABprofOtubLATERALI,COLlargPROFoTUBlat,FALSE))+IF(PROFoTUBdxRICH13="",ZERO,VLOOKUP(PROFoTUBdxRICH13,TABprofOtubLATERALI,COLlargPROFoTUBlat,FALSE))),"")</f>
        <v/>
      </c>
      <c r="BN20" s="207" t="str">
        <f ca="1">IF(modelloAUTO13=$B$2,INDEX(INDIRECT("TABnCHIAVISTELLOvert"&amp;$B$2),rif_alt13,rif_larg13)*pezzi13,"")</f>
        <v/>
      </c>
      <c r="BO20"/>
      <c r="BP20" s="178" t="str">
        <f t="shared" si="4"/>
        <v/>
      </c>
      <c r="BQ20" s="208" t="str">
        <f ca="1">IF(modelloAUTO13=$B$2,INDEX(INDIRECT("TABnMANIGLIEsuperiori"&amp;$B$2),rif_alt13,rif_larg13)+INDEX(INDIRECT("TABnMANIGLIEfrontali"&amp;$B$2),rif_alt13,rif_larg13),"")</f>
        <v/>
      </c>
      <c r="BR20" s="191" t="str">
        <f>IF(modelloAUTO13=$B$2,pezzi13*DUE,"")</f>
        <v/>
      </c>
      <c r="BS20" s="209" t="str">
        <f>IF(modelloAUTO13=$B$2,BQ20*DUE,"")</f>
        <v/>
      </c>
      <c r="BT20" s="209" t="str">
        <f>IF(modelloAUTO13=$B$2,BR20*TRE,"")</f>
        <v/>
      </c>
      <c r="BU20" s="191" t="str">
        <f>IF(modelloAUTO13=$B$2,pezzi13*DUE,"")</f>
        <v/>
      </c>
      <c r="BV20" s="191" t="str">
        <f>IF(modelloAUTO13=$B$2,pezzi13*DUE,"")</f>
        <v/>
      </c>
      <c r="BW20" s="191" t="str">
        <f>IF(modelloAUTO13=$B$2,pezzi13*DUE,"")</f>
        <v/>
      </c>
      <c r="BX20" s="191" t="str">
        <f>IF(modelloAUTO13=$B$2,pezzi13*DUE,"")</f>
        <v/>
      </c>
      <c r="BY20" s="191" t="str">
        <f>IF(modelloAUTO13=$B$2,pezzi13*DUE,"")</f>
        <v/>
      </c>
      <c r="CA20" s="210" t="str">
        <f>IF(modelloAUTO13=$B$2,IF(fornPIANTcentr13="","",fornPIANTcentr13*pezzi13),"")</f>
        <v/>
      </c>
      <c r="CB20" s="210" t="str">
        <f>IF(modelloAUTO13=$B$2,IF(fornPIANTcentr13="","",CODpiantCENTRsugg13),"")</f>
        <v/>
      </c>
      <c r="CD20" s="210" t="str">
        <f>IF(modelloAUTO13=$B$2,IF(CODpiantCENTRsuggAPPOG13="","",CODpiantCENTRdiAPPOGGIOrich13),"")</f>
        <v/>
      </c>
      <c r="CE20" s="210" t="str">
        <f>IF(modelloAUTO13=$B$2,IF(CODpiantCENTRsuggAPPOG13="","",CODpiantCENTRsuggAPPOG13),"")</f>
        <v/>
      </c>
      <c r="CG20" s="273">
        <v>13</v>
      </c>
      <c r="CI20" s="211" t="str">
        <f>IF(modelloAUTO13=$B$2,altezza13*DIECI/FLOOR(VLOOKUP($B$2,tabMODELLI,COLcoefALTdogaSORMONTATAda200,FALSE),UNO)*pezzi13,"")</f>
        <v/>
      </c>
      <c r="CJ20" s="212" t="str">
        <f>IF(modelloAUTO13=$B$2,larghezza13*DIECI-VLOOKUP($B$2,tabMODELLI,COLcoeffTAGLIOdogaOPPURElastraINlarg,FALSE)-VLOOKUP(PROFlatAUTO13,TABprofLATten,COLcoeffCALOdoga,FALSE),"")</f>
        <v/>
      </c>
      <c r="CK20"/>
      <c r="CL20" s="213" t="str">
        <f>IF(modelloAUTO13=$B$2,(altezza13*DIECI/FLOOR(VLOOKUP($B$2,tabMODELLI,COLcoefALTdogaSORMONTATAda200,FALSE),CENTO)-FLOOR(altezza13*DIECI/FLOOR(VLOOKUP($B$2,tabMODELLI,COLcoefALTdogaSORMONTATAda200,FALSE),CENTO),UNO))*pezzi13,"")</f>
        <v/>
      </c>
      <c r="CM20" s="214" t="str">
        <f>IF(modelloAUTO13=$B$2,(((altezza13*DIECI-VLOOKUP($B$2,tabMODELLI,COLcoeffCALOtaglioPANNELLObarrieraMONOLITICOoASSEMBLATOInALT,FALSE))/VLOOKUP($B$2,tabMODELLI,colALTnominaleDOGAmm,FALSE)-(FLOOR(altezza13*DIECI/FLOOR(VLOOKUP($B$2,tabMODELLI,COLcoefALTdogaSORMONTATAda200,FALSE),CENTO),UNO)))*(VLOOKUP($B$2,tabMODELLI,colALTnominaleDOGAmm,FALSE))),"")</f>
        <v/>
      </c>
      <c r="CN20" s="203" t="str">
        <f>IF(modelloAUTO13=$B$2,IF(vernBarriera13="","STD",vernBarriera13),"")</f>
        <v/>
      </c>
      <c r="CO20" s="174" t="str">
        <f t="shared" si="5"/>
        <v/>
      </c>
      <c r="CP20" s="215" t="str">
        <f>IF(modelloAUTO13=$B$2,LATOcomAUTO13,"")</f>
        <v/>
      </c>
      <c r="CQ20"/>
      <c r="CR20" s="216" t="str">
        <f>IF(modelloAUTO13=$B$2,pezzi13*UNO,"")</f>
        <v/>
      </c>
      <c r="CS20" s="212" t="str">
        <f>IF(modelloAUTO13=$B$2,altezza13*DIECI+VLOOKUP($B$2,tabMODELLI,COLcoeffTAGLIOPROFILIlateraliEverticaliAttaccatiALLAbarriera,FALSE),"")</f>
        <v/>
      </c>
      <c r="CT20" s="217" t="str">
        <f>IF(modelloAUTO13=$B$2,"|90° 90°|","")</f>
        <v/>
      </c>
      <c r="CU20" s="218"/>
      <c r="CV20" s="219" t="str">
        <f>IF(modelloAUTO13=$B$2,pezzi13*DUE,"")</f>
        <v/>
      </c>
      <c r="CW20" s="220" t="str">
        <f>IF(modelloAUTO13=$B$2,larghezza13*DIECI-VLOOKUP($B$2,tabMODELLI,COLcoeffTAGLIOPROFILIlateraliEverticaliAttaccatiALLAbarriera,FALSE),"")</f>
        <v/>
      </c>
      <c r="CX20" s="217" t="str">
        <f t="shared" si="25"/>
        <v/>
      </c>
      <c r="CY20" s="221"/>
      <c r="CZ20" s="222" t="str">
        <f>IF(modelloAUTO13=$B$2,PROFlatAUTO13,"")</f>
        <v/>
      </c>
      <c r="DA20" s="223" t="str">
        <f>IF(modelloAUTO13=$B$2,pezzi13,"")</f>
        <v/>
      </c>
      <c r="DB20" s="217" t="str">
        <f>IF(modelloAUTO13=$B$2,altezza13*DIECI-VLOOKUP(PROFlatAUTO13,TABprofLATten,COLsfioroPROFtenLATrispettoALvano,FALSE),"")</f>
        <v/>
      </c>
      <c r="DC20" s="217" t="str">
        <f>IF(modelloAUTO13=$B$2,"|90° 45°/","")</f>
        <v/>
      </c>
      <c r="DD20" s="224"/>
      <c r="DE20" s="223" t="str">
        <f>IF(modelloAUTO13=$B$2,pezzi13,"")</f>
        <v/>
      </c>
      <c r="DF20" s="217" t="str">
        <f>IF(modelloAUTO13=$B$2,larghezza13*DIECI-(VLOOKUP(PROFlatAUTO13,TABprofLATten,COLsfioroPROFtenLATrispettoALvano,FALSE)*DUE),"")</f>
        <v/>
      </c>
      <c r="DG20" s="217" t="str">
        <f>IF(modelloAUTO13=$B$2,"\45° 90°|","")</f>
        <v/>
      </c>
      <c r="DH20" s="224"/>
      <c r="DI20" s="223" t="str">
        <f>IF(modelloAUTO13=$B$2,pezzi13,"")</f>
        <v/>
      </c>
      <c r="DJ20" s="217" t="str">
        <f>IF(modelloAUTO13=$B$2,altezza13*DIECI-VLOOKUP(PROFlatAUTO13,TABprofLATten,COLsfioroPROFtenLATrispettoALvano,FALSE),"")</f>
        <v/>
      </c>
      <c r="DK20" s="217" t="str">
        <f>IF(modelloAUTO13=$B$2,"\45° 45°/","")</f>
        <v/>
      </c>
      <c r="DL20" s="225"/>
      <c r="DM20" s="226" t="str">
        <f>IF(modelloAUTO13=$B$2,pezzi13,"")</f>
        <v/>
      </c>
      <c r="DN20" s="226" t="str">
        <f>IF(modelloAUTO13=$B$2,larghezza13*DIECI,"")</f>
        <v/>
      </c>
      <c r="DO20" s="227" t="str">
        <f>IF(modelloAUTO13=$B$2,"|90° 90°|","")</f>
        <v/>
      </c>
      <c r="DP20" s="221"/>
      <c r="DQ20" s="228" t="str">
        <f>IF(modelloAUTO13=$B$2,DIMprimoFOROdalPAVIMENTOperFISSAGGIOprofiloDItenutaLATERALE*DIECI,"")</f>
        <v/>
      </c>
      <c r="DR20" s="228" t="str">
        <f ca="1">IF(modelloAUTO13=$B$2,IF(VLOOKUP(altezza13,INDIRECT("tabNfissaggi"&amp;$B$2),INDIRECT("colNfiSsaggi"&amp;$B$2),TRUE)&lt;DR$6,"",(IF(VLOOKUP(altezza13,INDIRECT("tabNfissaggi"&amp;$B$2),INDIRECT("colNfiSsaggi"&amp;$B$2),FALSE)=DR$6,altezza13*DIECI-DIMprimoFOROdalPAVIMENTOperFISSAGGIOprofiloDItenutaLATERALE,DQ20+(((altezza13*DIECI-DIMprimoFOROdalPAVIMENTOperFISSAGGIOprofiloDItenutaLATERALE*DIECI*DUE))/(VLOOKUP((altezza13),INDIRECT("tabNfissaggi"&amp;$B$2),INDIRECT("colNfiSsaggi"&amp;$B$2),FALSE)-UNO))))),"")</f>
        <v/>
      </c>
      <c r="DS20" s="228" t="str">
        <f ca="1">IF(modelloAUTO13=$B$2,IF(VLOOKUP(altezza13,INDIRECT("tabNfissaggi"&amp;$B$2),INDIRECT("colNfiSsaggi"&amp;$B$2),TRUE)&lt;DS$6,"",(IF(VLOOKUP(altezza13,INDIRECT("tabNfissaggi"&amp;$B$2),INDIRECT("colNfiSsaggi"&amp;$B$2),FALSE)=DS$6,altezza13*DIECI-DIMprimoFOROdalPAVIMENTOperFISSAGGIOprofiloDItenutaLATERALE,DR20+(((altezza13*DIECI-DIMprimoFOROdalPAVIMENTOperFISSAGGIOprofiloDItenutaLATERALE*DIECI*DUE))/(VLOOKUP((altezza13),INDIRECT("tabNfissaggi"&amp;$B$2),INDIRECT("colNfiSsaggi"&amp;$B$2),FALSE)-UNO))))),"")</f>
        <v/>
      </c>
      <c r="DT20" s="228" t="str">
        <f ca="1">IF(modelloAUTO13=$B$2,IF(VLOOKUP(altezza13,INDIRECT("tabNfissaggi"&amp;$B$2),INDIRECT("colNfiSsaggi"&amp;$B$2),TRUE)&lt;DT$6,"",(IF(VLOOKUP(altezza13,INDIRECT("tabNfissaggi"&amp;$B$2),INDIRECT("colNfiSsaggi"&amp;$B$2),FALSE)=DT$6,altezza13*DIECI-DIMprimoFOROdalPAVIMENTOperFISSAGGIOprofiloDItenutaLATERALE,DS20+(((altezza13*DIECI-DIMprimoFOROdalPAVIMENTOperFISSAGGIOprofiloDItenutaLATERALE*DIECI*DUE))/(VLOOKUP((altezza13),INDIRECT("tabNfissaggi"&amp;$B$2),INDIRECT("colNfiSsaggi"&amp;$B$2),FALSE)-UNO))))),"")</f>
        <v/>
      </c>
      <c r="DU20" s="228" t="str">
        <f ca="1">IF(modelloAUTO13=$B$2,IF(VLOOKUP(altezza13,INDIRECT("tabNfissaggi"&amp;$B$2),INDIRECT("colNfiSsaggi"&amp;$B$2),TRUE)&lt;DU$6,"",(IF(VLOOKUP(altezza13,INDIRECT("tabNfissaggi"&amp;$B$2),INDIRECT("colNfiSsaggi"&amp;$B$2),FALSE)=DU$6,altezza13*DIECI-DIMprimoFOROdalPAVIMENTOperFISSAGGIOprofiloDItenutaLATERALE,DT20+(((altezza13*DIECI-DIMprimoFOROdalPAVIMENTOperFISSAGGIOprofiloDItenutaLATERALE*DIECI*DUE))/(VLOOKUP((altezza13),INDIRECT("tabNfissaggi"&amp;$B$2),INDIRECT("colNfiSsaggi"&amp;$B$2),FALSE)-UNO))))),"")</f>
        <v/>
      </c>
      <c r="DV20" s="221"/>
      <c r="DW20" s="229" t="str">
        <f>IF(modelloAUTO13=$B$2,(PRIMOforoNELLantaPARTENDOdaLBASSOclose-VLOOKUP($B$2,tabMODELLI,COLcoeffALTprofiloSogliaRimanenteSOTTOalTELAIOperimetrale,FALSE)),"")</f>
        <v/>
      </c>
      <c r="DX20" s="230" t="str">
        <f>IF(modelloAUTO13=$B$2,DW20+INTERASSSEforiANTAcernieraSAVIOmechanica,"")</f>
        <v/>
      </c>
      <c r="DY20" s="231" t="str">
        <f>IF(modelloAUTO13=$B$2,INDEX(TABforoBASSOcernieraNELLantaCONdogaCLICKRAPIDnellANTACONsavIOMECHANICA,UNO,MATCH(((CJ20)/DUE),TABforoBASSOcernieraNELLantaCONdogaCLICKRAPIDnellANTACONsavIOMECHANICA,UNO)),"")</f>
        <v/>
      </c>
      <c r="DZ20" s="232" t="str">
        <f>IF(modelloAUTO13=$B$2,DY20+INTERASSSEforiANTAcernieraSAVIOmechanica,"")</f>
        <v/>
      </c>
      <c r="EA20" s="231" t="str">
        <f>IF(modelloAUTO13=$B$2,INDEX(TABforoBASSOcernieraNELLantaCONdogaCLICKRAPIDnellANTACONsavIOMECHANICA,UNO,MATCH((CJ20-ALTEZZAcerNIERAcomMPOSTAdalle2aliMECHANICA-altezzaALAcanalinoDA35X35X2),TABforoBASSOcernieraNELLantaCONdogaCLICKRAPIDnellANTACONsavIOMECHANICA,UNO)),"")</f>
        <v/>
      </c>
      <c r="EB20" s="232" t="str">
        <f>IF(modelloAUTO13=$B$2,EA20+INTERASSSEforiANTAcernieraSAVIOmechanica,"")</f>
        <v/>
      </c>
      <c r="EC20" s="233"/>
      <c r="ED20" s="234" t="str">
        <f>IF(modelloAUTO13=$B$2,"a: "&amp;DW20+INTERASSSEforiANTAcernieraSAVIOmechanica/DUE,"")</f>
        <v/>
      </c>
      <c r="EE20" s="234" t="str">
        <f>IF(modelloAUTO13=$B$2,"a: "&amp;DY20+INTERASSSEforiANTAcernieraSAVIOmechanica/DUE,"")</f>
        <v/>
      </c>
      <c r="EF20" s="234" t="str">
        <f>IF(modelloAUTO13=$B$2,"a: "&amp;EA20+INTERASSSEforiANTAcernieraSAVIOmechanica/DUE,"")</f>
        <v/>
      </c>
      <c r="EG20"/>
      <c r="EH20" s="235" t="str">
        <f>IF(modelloAUTO13=$B$2,pezzi13,"")</f>
        <v/>
      </c>
      <c r="EI20" s="235" t="str">
        <f>IF(modelloAUTO13=$B$2,INTERASSEforoPERnottolinoDIcomandoMANIGLIAdiCHIUSURAaLEVAclose,"")</f>
        <v/>
      </c>
      <c r="EJ20" s="236" t="str">
        <f>IF(modelloAUTO13=$B$2,ALTCentroNOTTOLINOpartendoDALbassodellaDOGA,"")</f>
        <v/>
      </c>
      <c r="EK20" s="281"/>
      <c r="EL20" s="216" t="str">
        <f>IF(modelloAUTO13=$B$2,pezzi13*UNO,"")</f>
        <v/>
      </c>
      <c r="EM20" s="212" t="str">
        <f>IF(modelloAUTO13=$B$2,altezza13*DIECI+VLOOKUP($B$2,tabMODELLI,COLcoeffTAGLIOPROFILOdiAGGANCIOsistemaMODERNA,FALSE),"")</f>
        <v/>
      </c>
      <c r="EN20"/>
      <c r="EO20" s="216" t="str">
        <f>IF(modelloAUTO13=$B$2,pezzi13*UNO,"")</f>
        <v/>
      </c>
      <c r="EP20" s="212" t="str">
        <f>IF(modelloAUTO13=$B$2,altezza13*DIECI+VLOOKUP($B$2,tabMODELLI,COLcoeffTAGLIOPROFILOdiAGGANCIOsistemaMODERNA,FALSE),"")</f>
        <v/>
      </c>
      <c r="EQ20"/>
      <c r="ER20" s="216" t="str">
        <f>IF(modelloAUTO13=$B$2,pezzi13*UNO,"")</f>
        <v/>
      </c>
      <c r="ES20" s="212" t="str">
        <f>IF(modelloAUTO13=$B$2,altezza13*DIECI+VLOOKUP($B$2,tabMODELLI,COLcoeffTAGLIOPROFILIlateraliEverticaliAttaccatiALLAbarriera,FALSE),"")</f>
        <v/>
      </c>
      <c r="ET20" s="218"/>
      <c r="EU20" s="191" t="str">
        <f>IF(modelloAUTO13=$B$2,IF(PROFlatRICH13="",pezzi13*DUE*VLOOKUP($B$2,tabMODELLI,COLprofiliLATdiserie,FALSE),pezzi13*DUE),"")</f>
        <v/>
      </c>
      <c r="EV20" s="179" t="str">
        <f>IF(modelloAUTO13=$B$2,IF(PROFlatRICH13="","STD",PROFlatRICH13),"")</f>
        <v/>
      </c>
      <c r="EW20" s="275" t="str">
        <f>IF(modelloAUTO13=$B$2,IF(TIPOcopertina13="","",TIPOcopertina13),"")</f>
        <v/>
      </c>
      <c r="EX20" s="238" t="str">
        <f>IF(modelloAUTO13=$B$2,VLOOKUP($B$2,tabMODELLI,COLcoeffALTguarnINFERIOREschiacciata,FALSE)+(VLOOKUP($B$2,tabMODELLI,COLcoefALTdogaREALEda200,FALSE)+(VLOOKUP($B$2,tabMODELLI,COLcoefALTdogaSORMONTATAda200,FALSE)*(CEILING(altezza13*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20" s="218"/>
      <c r="EZ20" s="276" t="str">
        <f ca="1">IF(OR(modelloAUTO13=$B$2,modelloAUTO13=CLICK_RAPIDxPRIVATO),INDEX(INDIRECT("TABnCHIAVISTELLOvert"&amp;$B$2),rif_alt13,rif_larg13)*pezzi13,"")</f>
        <v/>
      </c>
      <c r="FA20" s="240" t="str">
        <f>IF(modelloAUTO13=$B$2,IF(AND(nCatenacci13&lt;&gt;"",profORIZZ13&lt;&gt;""),spessoreCATENACCIOverticale60X135X300,""),"")</f>
        <v/>
      </c>
      <c r="FB20" s="277" t="str">
        <f ca="1">IF(OR(nCatenacci13=0,nCatenacci13="",),"",(CJ20+QUATTRO-(IF(nCatenacci13="",ZERO,SESSANTA*(nCatenacci13/PZCLICK_RAPID13))))/((nCatenacci13/PZCLICK_RAPID13)+UNO))</f>
        <v/>
      </c>
      <c r="FD20" s="242" t="str">
        <f ca="1">IF(modelloAUTO13=$B$2,INDEX(INDIRECT("TABnMANIGLIEsuperiori"&amp;$B$2),rif_alt13,rif_larg13),"")</f>
        <v/>
      </c>
      <c r="FE20" s="243" t="str">
        <f ca="1">IF(modelloAUTO13=$B$2,(larghezza13-CATENACCIOLOorizzontaleINGOMBROclick_rapid-DUE)/INDEX(INDIRECT("TABnMANIGLIEsuperiori"&amp;$B$2),rif_alt13,rif_larg13),"")</f>
        <v/>
      </c>
      <c r="FG20" s="244" t="str">
        <f ca="1">IF(modelloAUTO13=$B$2,INDEX(INDIRECT("TABnMANIGLIEfrontali"&amp;$B$2),rif_alt13,rif_larg13),"")</f>
        <v/>
      </c>
      <c r="FH20"/>
      <c r="FI20" s="245">
        <f>((larghezza13*DIECI-COEFFlargCOMPLESSIVAdelKITcerniere_GANCIOassemblato))</f>
        <v>-261</v>
      </c>
      <c r="FJ20" s="245">
        <f t="shared" si="17"/>
        <v>19.453363192402126</v>
      </c>
      <c r="FK20" s="245">
        <f t="shared" si="18"/>
        <v>0.4001326</v>
      </c>
      <c r="FL20" s="246">
        <f>(altezza13+TREDICI/DIECI)/CENTO*(CERNIERA_TUBOLARE_MODERNA+CERNIERA_APERTA_MODERNA+UNCINO)+(altezza13/(VLOOKUP($B$2,tabMODELLI,COLcoefALTdogaSORMONTATAda200,FALSE)/DIECI)*COEFFdogaINSERITAnellaCERNIERAaertaFINOallaFINEdelGANCIO*VLOOKUP($B$2,tabMODELLI,COLpesoALKGmlDOGA,FALSE))</f>
        <v>9.6758999999999998E-2</v>
      </c>
      <c r="FM20" s="247"/>
      <c r="FN20" s="247">
        <f>altezza13/(VLOOKUP($B$2,tabMODELLI,COLcoefALTdogaSORMONTATAda200,FALSE)/DIECI)*((((larghezza13-(COEFFlargCOMPLESSIVAdelKITcerniere_GANCIOassemblato/DIECI))/CENTO)*VLOOKUP($B$2,tabMODELLI,COLpesoALKGmlDOGA,FALSE)))</f>
        <v>0</v>
      </c>
      <c r="FO20" s="247">
        <f>larghezza13/CENTO*PESOguarnORIZZmodernaKG\ML</f>
        <v>0</v>
      </c>
      <c r="FP20" s="247">
        <f>(altezza13/(VLOOKUP($B$2,tabMODELLI,COLcoefALTdogaSORMONTATAda200,FALSE)/DIECI)-UNO)*((((larghezza13-(COEFFlargCOMPLESSIVAdelKITcerniere_GANCIOassemblato/DIECI))/CENTO)*pesoALmlDOPPIAsiliconaturaINunaDOGA))</f>
        <v>0.1827</v>
      </c>
      <c r="FQ20" s="247">
        <f>(altezza13/CENTO*H_MODERNA)</f>
        <v>0</v>
      </c>
      <c r="FR20" s="248">
        <f t="shared" si="21"/>
        <v>0.33979579999999998</v>
      </c>
      <c r="FS20" s="248">
        <f t="shared" si="22"/>
        <v>-7.2599999999999998E-2</v>
      </c>
      <c r="FT20" s="249">
        <f t="shared" si="26"/>
        <v>-4.2183908045977011E-4</v>
      </c>
      <c r="FU20" s="249">
        <f t="shared" si="27"/>
        <v>0.1101</v>
      </c>
      <c r="FV20" s="249">
        <f t="shared" si="28"/>
        <v>-0.22969579999999998</v>
      </c>
      <c r="FW20" s="249">
        <f t="shared" si="23"/>
        <v>9.689466505747125E-5</v>
      </c>
      <c r="FX20" s="246">
        <f t="shared" si="29"/>
        <v>0.33979579999999998</v>
      </c>
      <c r="FY20" s="250">
        <f t="shared" si="24"/>
        <v>-824.51038266936757</v>
      </c>
      <c r="FZ20"/>
      <c r="GA20" s="251"/>
      <c r="GB20" s="251"/>
      <c r="GC20" s="251"/>
      <c r="GD20" s="251"/>
      <c r="GE20" s="251"/>
      <c r="GF20" s="251"/>
      <c r="GG20" s="251"/>
      <c r="GI20" s="252" t="str">
        <f>IF(modelloAUTO13=$B$2,IF(PROFlatRICH13="",pezzi13*UNO*VLOOKUP($B$2,tabMODELLI,COLnMANIGLIAasportabile,FALSE),pezzi13*UNO),"")</f>
        <v/>
      </c>
      <c r="GJ20" s="252" t="str">
        <f>IF(modelloAUTO13=$B$2,pezzi13*DUE,"")</f>
        <v/>
      </c>
      <c r="GK20" s="252" t="str">
        <f>IF(modelloAUTO13=$B$2,pezzi13*UNO,"")</f>
        <v/>
      </c>
      <c r="GL20" s="253" t="str">
        <f>IF(modelloAUTO13=$B$2,IF(SYSTEMantiFURTO13&lt;&gt;"",VLOOKUP($B$2,TABsistemaANTIFURTO,COLusoVITEdISERIE,FALSE),pezzi13),"")</f>
        <v/>
      </c>
      <c r="GM20" s="252" t="str">
        <f>IF(modelloAUTO13=$B$2,pezzi13*UNO,"")</f>
        <v/>
      </c>
      <c r="GN20" s="252" t="str">
        <f>IF(modelloAUTO13=$B$2,NmaniglieDItrasporto13*DUE,"")</f>
        <v/>
      </c>
      <c r="GO20" s="254" t="str">
        <f>IF(modelloAUTO13=$B$2,pezzi13*QUINDICI,"")</f>
        <v/>
      </c>
      <c r="GP20" s="254" t="str">
        <f>IF(modelloAUTO13=$B$2,pezzi13*DUE,"")</f>
        <v/>
      </c>
      <c r="GQ20" s="254" t="str">
        <f>IF(modelloAUTO13=$B$2,pezzi13*DUE,"")</f>
        <v/>
      </c>
      <c r="GR20" s="254" t="str">
        <f>IF(modelloAUTO13=$B$2,pezzi13*UNO,"")</f>
        <v/>
      </c>
      <c r="GS20" s="254" t="str">
        <f>IF(modelloAUTO13=$B$2,pezzi13*DUE,"")</f>
        <v/>
      </c>
      <c r="GT20" s="254" t="str">
        <f>IF(modelloAUTO13=$B$2,pezzi13*DUE,"")</f>
        <v/>
      </c>
      <c r="GU20" s="254" t="str">
        <f>IF(modelloAUTO13=$B$2,pezzi13*DUE,"")</f>
        <v/>
      </c>
      <c r="GV20" s="254" t="str">
        <f>IF(modelloAUTO13=$B$2,pezzi13*DUE,"")</f>
        <v/>
      </c>
      <c r="GW20" s="251"/>
      <c r="GX20" s="251"/>
      <c r="GY20" s="251"/>
      <c r="GZ20" s="251"/>
      <c r="HA20" s="251"/>
      <c r="HB20" s="251"/>
      <c r="HC20" s="251"/>
      <c r="HD20" s="251"/>
      <c r="HE20" s="251"/>
      <c r="HF20" s="251"/>
      <c r="HG20" s="251"/>
      <c r="HH20" s="251"/>
      <c r="HI20" s="251"/>
      <c r="HJ20" s="251"/>
      <c r="HK20" s="251"/>
      <c r="HL20" s="251"/>
      <c r="HN20" s="191" t="str">
        <f>IF(modelloAUTO13=$B$2,IF(PROFlatRICH13="",pezzi13*VLOOKUP($B$2,tabMODELLI,COLnGUARNorizzINFERIOREbarriera,FALSE),pezzi13),"")</f>
        <v/>
      </c>
      <c r="HO20" s="193" t="str">
        <f>IF(modelloAUTO13=$B$2,IF(VLOOKUP($B$2,tabMODELLI,COLnGUARNorizzINFERIOREbarriera,FALSE)="","",larghezza13),"")</f>
        <v/>
      </c>
      <c r="HQ20" s="191" t="str">
        <f>IF(modelloAUTO13=$B$2,IF(PROFlatRICH13="",pezzi13*DUE*VLOOKUP($B$2,tabMODELLI,COLnGUARNorizzINTERMEDIEbarriera,FALSE),pezzi13*DUE),"")</f>
        <v/>
      </c>
      <c r="HR20" s="193" t="str">
        <f>IF(modelloAUTO13=$B$2,IF(VLOOKUP($B$2,tabMODELLI,COLnGUARNorizzINTERMEDIEbarriera,FALSE)="","",larghezza13),"")</f>
        <v/>
      </c>
      <c r="HT20" s="191" t="str">
        <f>IF(modelloAUTO13=$B$2,IF(PROFlatRICH13="",pezzi13*UNO*VLOOKUP($B$2,tabMODELLI,COLnGUARNvertBARRIERA,FALSE),pezzi13*UNO),"")</f>
        <v/>
      </c>
      <c r="HU20" s="193" t="str">
        <f>IF(modelloAUTO13=$B$2,IF(VLOOKUP($B$2,tabMODELLI,COLnGUARNvertBARRIERA,FALSE)="","",altezza13),"")</f>
        <v/>
      </c>
      <c r="HV20"/>
      <c r="HW20" s="191" t="str">
        <f>IF(modelloAUTO13=$B$2,IF(PROFlatRICH13="",pezzi13*VLOOKUP($B$2,tabMODELLI,COLnTAPPIdiGIUNZIONEguarnORIZZconVERT,FALSE),pezzi13),"")</f>
        <v/>
      </c>
      <c r="HX20"/>
      <c r="HY20" s="191" t="str">
        <f>IF(modelloAUTO13=$B$2,IF(PROFlatRICH13="",pezzi13*VLOOKUP($B$2,tabMODELLI,COLnGUARNorizzPROFILOdiTENUTAlaterale,FALSE),pezzi13),"")</f>
        <v/>
      </c>
      <c r="HZ20" s="193" t="str">
        <f>IF(modelloAUTO13=$B$2,IF(VLOOKUP($B$2,tabMODELLI,COLnGUARNorizzPROFILOdiTENUTAlaterale,FALSE)="","",altezza13),"")</f>
        <v/>
      </c>
      <c r="IA20"/>
      <c r="IB20" s="191" t="str">
        <f>IF(modelloAUTO13=$B$2,IF(PROFlatRICH13="",pezzi13*VLOOKUP($B$2,tabMODELLI,COLnGUARNvertPROFILOdiTENUTAlaterale,FALSE),pezzi13),"")</f>
        <v/>
      </c>
      <c r="IC20" s="193" t="str">
        <f>IF(modelloAUTO13=$B$2,IF(VLOOKUP($B$2,tabMODELLI,COLnGUARNvertPROFILOdiTENUTAlaterale,FALSE)="","",altezza13),"")</f>
        <v/>
      </c>
      <c r="ID20"/>
      <c r="IE20" s="191" t="str">
        <f>IF(modelloAUTO13=$B$2,IF(PROFlatRICH13="",pezzi13*VLOOKUP($B$2,tabMODELLI,COLnPROFILIinNYLON,FALSE),pezzi13),"")</f>
        <v/>
      </c>
      <c r="IF20" s="193" t="str">
        <f>IF(modelloAUTO13=$B$2,IF(VLOOKUP($B$2,tabMODELLI,COLnPROFILIinNYLON,FALSE)="","",altezza13),"")</f>
        <v/>
      </c>
      <c r="IH20" s="171" t="str">
        <f>IF(modelloAUTO13=$B$2,IF(PROFoTUBsxRICH13="","",pezzi13),"")</f>
        <v/>
      </c>
      <c r="II20" s="278" t="str">
        <f>IF(modelloAUTO13=$B$2,IF(PROFoTUBsxRICH13="","",PROFoTUBsxRICH13),"")</f>
        <v/>
      </c>
      <c r="IJ20" s="257" t="str">
        <f>IF(AND(modelloAUTO13=$B$2,PROFoTUBsxRICH13&lt;&gt;""),IF(ALTprofOtubRICHsx13="","STD",ALTprofOtubRICHsx13*DIECI),"")</f>
        <v/>
      </c>
      <c r="IL20" s="201" t="str">
        <f>IF(modelloAUTO13=$B$2,IF(PROFoTUBsxRICH13="","",IF(vernPROFoTUBlatSX13="","STD",vernPROFoTUBlatSX13)),"")</f>
        <v/>
      </c>
      <c r="IN20" s="171" t="str">
        <f>IF(modelloAUTO13=$B$2,IF(PROFoTUBdxRICH13="","",pezzi13),"")</f>
        <v/>
      </c>
      <c r="IO20" s="279" t="str">
        <f>IF(modelloAUTO13=$B$2,IF(PROFoTUBdxRICH13="","",PROFoTUBdxRICH13),"")</f>
        <v/>
      </c>
      <c r="IP20" s="257" t="str">
        <f>IF(AND(modelloAUTO13=$B$2,PROFoTUBdxRICH13&lt;&gt;""),IF(ALTprofOtubRICHdx13="","STD",ALTprofOtubRICHdx13*DIECI),"")</f>
        <v/>
      </c>
      <c r="IR20" s="203" t="str">
        <f>IF(modelloAUTO13=$B$2,IF(PROFoTUBdxRICH13="","",IF(vernPROFoTUBlatDX13="","STD",vernPROFoTUBlatDX13)),"")</f>
        <v/>
      </c>
      <c r="IT20" s="204" t="str">
        <f>IF(modelloAUTO13=$B$2,IF(profORIZZ13="","",pezzi13),"")</f>
        <v/>
      </c>
      <c r="IU20" s="205" t="str">
        <f>IF(modelloAUTO13=$B$2,IF(profORIZZ13="","",CODpiattoORIZZsugg13),"")</f>
        <v/>
      </c>
      <c r="IV20" s="206" t="str">
        <f>IF(modelloAUTO13=$B$2,IF(profORIZZ13="","",larghezza13*DIECI+IF(PROFoTUBsxRICH13="",ZERO,VLOOKUP(PROFoTUBsxRICH13,TABprofOtubLATERALI,COLlargPROFoTUBlat,FALSE))+IF(PROFoTUBdxRICH13="",ZERO,VLOOKUP(PROFoTUBdxRICH13,TABprofOtubLATERALI,COLlargPROFoTUBlat,FALSE))),"")</f>
        <v/>
      </c>
      <c r="IW20"/>
      <c r="IX20" s="168">
        <v>13</v>
      </c>
      <c r="IY20" s="258" t="str">
        <f>IF(AND(modelloAUTO13=$B$2,SYSTEMantiFURTO13&lt;&gt;""),VLOOKUP($B$2,TABsistemaANTIFURTO,COLlucchetto,FALSE),"")</f>
        <v/>
      </c>
      <c r="IZ20" s="258" t="str">
        <f>IF(AND(modelloAUTO13=$B$2,SYSTEMantiFURTO13&lt;&gt;""),VLOOKUP($B$2,TABsistemaANTIFURTO,COLaccessorioANTIFURTO2,FALSE),"")</f>
        <v/>
      </c>
      <c r="JA20" s="258" t="str">
        <f>IF(AND(modelloAUTO13=$B$2,SYSTEMantiFURTO13&lt;&gt;""),VLOOKUP($B$2,TABsistemaANTIFURTO,COLaccessorioANTIFURTO,FALSE),"")</f>
        <v/>
      </c>
      <c r="JB20" s="258" t="str">
        <f>IF(AND(modelloAUTO13=$B$2,SYSTEMantiFURTO13&lt;&gt;""),VLOOKUP($B$2,TABsistemaANTIFURTO,COLviteSPECIALExANTIFURTO,FALSE),"")</f>
        <v/>
      </c>
      <c r="JC20" s="258" t="str">
        <f>IF(AND(modelloAUTO13=$B$2,SYSTEMantiFURTO13&lt;&gt;""),VLOOKUP($B$2,TABsistemaANTIFURTO,COLlavorazioneXantifurto,FALSE),"")</f>
        <v/>
      </c>
      <c r="JD20"/>
      <c r="JE20"/>
      <c r="JF20"/>
      <c r="JG20"/>
      <c r="JH20"/>
      <c r="JI20"/>
      <c r="JJ20"/>
      <c r="JK20"/>
      <c r="JL20"/>
      <c r="JM20"/>
      <c r="JN20"/>
      <c r="JO20"/>
      <c r="JP20"/>
      <c r="JQ20"/>
      <c r="JR20"/>
      <c r="JS20"/>
      <c r="JT20"/>
      <c r="JU20"/>
      <c r="JV20"/>
      <c r="JW20"/>
      <c r="JX20" s="168">
        <v>13</v>
      </c>
      <c r="JY20" s="210" t="str">
        <f>IF(modelloAUTO13=$B$2,IF(fornPIANTcentr13="","",fornPIANTcentr13*pezzi13),"")</f>
        <v/>
      </c>
      <c r="JZ20" s="210" t="str">
        <f>IF(modelloAUTO13=$B$2,IF(fornPIANTcentr13="","",CODpiantCENTRsugg13),"")</f>
        <v/>
      </c>
      <c r="KB20" s="210" t="str">
        <f>IF(modelloAUTO13=$B$2,IF(CODpiantCENTRsuggAPPOG13="","",CODpiantCENTRdiAPPOGGIOrich13),"")</f>
        <v/>
      </c>
      <c r="KC20" s="210" t="str">
        <f>IF(modelloAUTO13=$B$2,IF(CODpiantCENTRsuggAPPOG13="","",CODpiantCENTRsuggAPPOG13),"")</f>
        <v/>
      </c>
      <c r="KP20" s="168">
        <v>13</v>
      </c>
      <c r="KQ20" s="259" t="str">
        <f>IF(AND(modelloAUTO13=$B$2,VLOOKUP($B$2,tabMODELLI,COLcoeffPOSSIBILITApellicolaADESIVA,FALSE)=UNO),IF(PELLICOLA13="","",pezzi13),"")</f>
        <v/>
      </c>
      <c r="KR20" s="236" t="str">
        <f>IF(AND(modelloAUTO13=$B$2,VLOOKUP($B$2,tabMODELLI,COLcoeffPOSSIBILITApellicolaADESIVA,FALSE)=UNO),IF(PELLICOLA13="","",larghezza13*DIECI-(VLOOKUP($B$2,tabMODELLI,COLcoeffPELLICOLAadesivaLARG,FALSE))),"")</f>
        <v/>
      </c>
      <c r="KS20" s="236" t="str">
        <f>IF(AND(modelloAUTO13=$B$2,VLOOKUP($B$2,tabMODELLI,COLcoeffPOSSIBILITApellicolaADESIVA,FALSE)=UNO),IF(PELLICOLA13="","",altezza13*DIECI-(VLOOKUP($B$2,tabMODELLI,COLcoeffPELLICOLAadesivaLARG,FALSE))),"")</f>
        <v/>
      </c>
      <c r="MA20" s="168">
        <v>13</v>
      </c>
      <c r="MB20" s="260" t="str">
        <f>IF(modelloAUTO13=$B$2,stanza13,"")</f>
        <v/>
      </c>
      <c r="MC20" s="168">
        <v>13</v>
      </c>
      <c r="MD20" s="230" t="str">
        <f>IF(modelloAUTO13=$B$2,larghezza13*DIECI+4+VLOOKUP($B$2,tabMODELLI,COLcoefAUMlargBUSTApvc,FALSE)+VLOOKUP($B$2,tabMODELLI,COLcoefAUMlargXprofILIlateraliBUSTApvc,FALSE)+IF(PROFoTUBsxRICH13="",ZERO,VLOOKUP(PROFoTUBsxRICH13,TABprofOtubLATERALI,COLlargPROFoTUBlatXimballaggio,FALSE)+profELETTRODOsaldaturaPVC)+IF(PROFoTUBdxRICH13="",ZERO,VLOOKUP(PROFoTUBdxRICH13,TABprofOtubLATERALI,COLlargPROFoTUBlatXimballaggio,FALSE)+profELETTRODOsaldaturaPVC),"")</f>
        <v/>
      </c>
      <c r="ME20" s="230" t="str">
        <f>IF(modelloAUTO13=$B$2,altezza13*DIECI*DUE+VLOOKUP($B$2,tabMODELLI,COLcoefAUMaltBUSTApvc,FALSE),"")</f>
        <v/>
      </c>
      <c r="MF20" s="261"/>
      <c r="MG20" s="230" t="str">
        <f>IF(modelloAUTO13=$B$2,altezza13*DIECI+VLOOKUP($B$2,tabMODELLI,COLcoeffSALDATURAinALTbustaPVC,FALSE),"")</f>
        <v/>
      </c>
      <c r="MH20" s="230" t="str">
        <f>IF(modelloAUTO13=$B$2,VLOOKUP($B$2,tabMODELLI,COLcoeffSALDATURAinLARGperTASCAbustaPVC,FALSE),"")</f>
        <v/>
      </c>
      <c r="MI20" s="230" t="str">
        <f>IF(modelloAUTO13=$B$2,IF(PROFoTUBsxRICH13="","",VLOOKUP(PROFoTUBsxRICH13,TABprofOtubLATERALI,COLlargPROFoTUBlatXimballaggio,FALSE)),"")</f>
        <v/>
      </c>
      <c r="MJ20" s="230" t="str">
        <f>IF(modelloAUTO13=$B$2,IF(PROFoTUBdxRICH13="","",VLOOKUP(PROFoTUBdxRICH13,TABprofOtubLATERALI,COLlargPROFoTUBlatXimballaggio,FALSE)),"")</f>
        <v/>
      </c>
      <c r="ML20" s="262" t="str">
        <f>IF(modelloAUTO13=$B$2,pezzi13*DUE,"")</f>
        <v/>
      </c>
      <c r="MM20" s="263" t="str">
        <f>IF(modelloAUTO13=$B$2,larghezza13+VLOOKUP($B$2,tabMODELLI,COLcoeffAUMoCALOinLARGpolistirolo,FALSE),"")</f>
        <v/>
      </c>
      <c r="MN20" s="263" t="str">
        <f>IF(modelloAUTO13=$B$2,altezza13+VLOOKUP($B$2,tabMODELLI,COLcoeffAUMoCALOinALTpolistirolo,FALSE),"")</f>
        <v/>
      </c>
      <c r="MP20" s="264" t="str">
        <f>IF(modelloAUTO13=$B$2,IF(VLOOKUP($B$2,tabMODELLI,COLcoeffAUMoCALOinLARGprofiloAu,FALSE)="",pezzi13*DUE,pezzi13*UNO),"")</f>
        <v/>
      </c>
      <c r="MQ20" s="265" t="str">
        <f>IF(modelloAUTO13=$B$2,VLOOKUP($B$2,tabMODELLI,COLdimStdSTRISCIAdelFIANCOxLARG1polistirolo,FALSE),"")</f>
        <v/>
      </c>
      <c r="MR20" s="263" t="str">
        <f>IF(modelloAUTO13=$B$2,larghezza13+VLOOKUP($B$2,tabMODELLI,colCOEFFdellaLARGnelFIANCOpolistirolo,FALSE),"")</f>
        <v/>
      </c>
      <c r="MT20" s="262" t="str">
        <f>IF(modelloAUTO13=$B$2,IF(VLOOKUP($B$2,tabMODELLI,COLdimstdSTRISCIAdelFIANCOxALT2polistirolo,FALSE)="",pezzi13*DUE,pezzi13),"")</f>
        <v/>
      </c>
      <c r="MU20" s="265" t="str">
        <f>IF(modelloAUTO13=$B$2,VLOOKUP($B$2,tabMODELLI,COLdimstdSTRISCIAdelFIANCOxALT1polistirolo,FALSE),"")</f>
        <v/>
      </c>
      <c r="MV20" s="263" t="str">
        <f>IF(modelloAUTO13=$B$2,altezza13+VLOOKUP($B$2,tabMODELLI,colCOEFFdellaALTnelFIANCOpolistirolo,FALSE),"")</f>
        <v/>
      </c>
      <c r="MX20" s="266" t="str">
        <f>IF(modelloAUTO13=$B$2,IF(VLOOKUP($B$2,tabMODELLI,COLdimstdSTRISCIAdelFIANCOxALT2polistirolo,FALSE)="","",pezzi13*UNO),"")</f>
        <v/>
      </c>
      <c r="MY20" s="267" t="str">
        <f>IF(modelloAUTO13=$B$2,IF(VLOOKUP($B$2,tabMODELLI,COLdimstdSTRISCIAdelFIANCOxALT2polistirolo,FALSE)="","",VLOOKUP($B$2,tabMODELLI,COLdimstdSTRISCIAdelFIANCOxALT2polistirolo,FALSE)),"")</f>
        <v/>
      </c>
      <c r="MZ20" s="263" t="str">
        <f>IF(modelloAUTO13=$B$2,altezza13+VLOOKUP($B$2,tabMODELLI,colCOEFFdellaALTnelFIANCOpolistirolo,FALSE),"")</f>
        <v/>
      </c>
      <c r="NB20" s="266" t="str">
        <f>IF(modelloAUTO13=$B$2,IF(VLOOKUP($B$2,tabMODELLI,COLcoeffAUMoCALOinLARGprofiloAu,FALSE)="","",pezzi13*UNO),"")</f>
        <v/>
      </c>
      <c r="NC20" s="216" t="str">
        <f>IF(modelloAUTO13=$B$2,IF(VLOOKUP($B$2,tabMODELLI,COLcoeffAUMoCALOinLARGprofiloAu,FALSE)="","",larghezza13+VLOOKUP($B$2,tabMODELLI,COLcoeffAUMoCALOinLARGprofiloAu,FALSE)),"")</f>
        <v/>
      </c>
      <c r="ND20" s="191" t="str">
        <f>IF(modelloAUTO13=$B$2,IF(VLOOKUP($B$2,tabMODELLI,COLcoeffAUMoCALOinLARGprofiloAu,FALSE)="","",VLOOKUP($B$2,tabMODELLI,COLdimstdSTRISCIAdelFIANCOxALT1polistirolo,FALSE)),"")</f>
        <v/>
      </c>
      <c r="NI20" s="168">
        <v>13</v>
      </c>
      <c r="NJ20" s="171" t="str">
        <f>IF(pezzi13="","",pezzi13)</f>
        <v/>
      </c>
      <c r="NK20" s="170" t="str">
        <f>IF(modelloAUTO13="","",modelloAUTO13)</f>
        <v/>
      </c>
      <c r="NL20" s="172" t="str">
        <f>IF(larghezza13="","",LARGortogonalitaADEGUATA13)</f>
        <v/>
      </c>
      <c r="NM20" s="173" t="str">
        <f>IF(altezza13="","",altezza13)</f>
        <v/>
      </c>
      <c r="NO20" s="189" t="str">
        <f>IF(PesoTEORICOparatia13="","",PesoTEORICOparatia13)</f>
        <v/>
      </c>
      <c r="NR20"/>
      <c r="NS20"/>
      <c r="NT20"/>
      <c r="NU20"/>
      <c r="NV20"/>
      <c r="NW20"/>
      <c r="NX20"/>
      <c r="NY20"/>
      <c r="NZ20"/>
      <c r="OA20"/>
      <c r="OB20"/>
      <c r="OC20"/>
      <c r="OD20"/>
      <c r="OE20"/>
    </row>
    <row r="21" spans="1:404" s="150" customFormat="1" ht="38" thickBot="1">
      <c r="A21" s="168">
        <v>14</v>
      </c>
      <c r="B21" s="169" t="str">
        <f>IF(stanza9="","",stanza9)</f>
        <v/>
      </c>
      <c r="C21" s="170" t="str">
        <f>IF(modelloAUTO14="","",modelloAUTO14)</f>
        <v/>
      </c>
      <c r="D21" s="171" t="str">
        <f>IF(pezzi14="","",pezzi14)</f>
        <v/>
      </c>
      <c r="E21" s="172" t="str">
        <f>IF(larghezza14="","",LARGortogonalitaADEGUATA14)</f>
        <v/>
      </c>
      <c r="F21" s="173" t="str">
        <f>IF(altezza14="","",altezza14)</f>
        <v/>
      </c>
      <c r="G21" s="174" t="str">
        <f t="shared" si="0"/>
        <v/>
      </c>
      <c r="H21" s="175" t="str">
        <f>IF(LATOcomAUTO14="","",LATOcomAUTO14)</f>
        <v/>
      </c>
      <c r="I21" s="176" t="str">
        <f>IF(modelloAUTO14="","",IF(vernBarriera14="","",vernBarriera14))</f>
        <v/>
      </c>
      <c r="J21" s="177" t="str">
        <f>IF(modelloAUTO14=$B$2,IF(PELLICOLA14="","",pezzi14),"")</f>
        <v/>
      </c>
      <c r="K21" s="178" t="str">
        <f t="shared" si="1"/>
        <v/>
      </c>
      <c r="M21" s="179" t="str">
        <f>IF(modelloAUTO14=$B$2,IF(PROFlatAUTO14="ESCLUSI","",IF(PROFlatRICH14="","STD",PROFlatRICH14)),"")</f>
        <v/>
      </c>
      <c r="N21" s="180" t="str">
        <f>IF(AND(modelloAUTO14=$B$2,COPERTINAauto14&lt;&gt;""),TIPOcopertina14,"")</f>
        <v/>
      </c>
      <c r="O21" s="181" t="str">
        <f>IF(AND(modelloAUTO14=$B$2,PROFlatAUTO14&lt;&gt;"ESCLUSI"),IF(AND(COPERTINAauto14&lt;&gt;"",ALTprofLATrich14=""),"STD",ALTprofLATrich14*DIECI),"")</f>
        <v/>
      </c>
      <c r="P21" s="176" t="str">
        <f>IF(modelloAUTO14="","",IF(vernPROFlatTEN14="","",vernPROFlatTEN14))</f>
        <v/>
      </c>
      <c r="R21" s="176" t="str">
        <f>IF(PROFoTUBsxRICH14="","",PROFoTUBsxRICH14)</f>
        <v/>
      </c>
      <c r="S21" s="182"/>
      <c r="T21" s="176" t="str">
        <f>IF(modelloAUTO14="","",IF(PROFoTUBdxRICH14="","",PROFoTUBdxRICH14))</f>
        <v/>
      </c>
      <c r="U21" s="182"/>
      <c r="V21" s="183" t="str">
        <f>IF(modelloAUTO14="","",IF(PROFoTUBsxRICH14="","",IF(ALTprofOtubRICHsx14="","SX: STD","SX: "&amp;ALTprofOtubRICHsx14&amp;" - "))&amp;IF(PROFoTUBdxRICH14="","",IF(ALTprofOtubRICHdx14="","  DX: STD","DX :"&amp;ALTprofOtubRICHdx14)))</f>
        <v/>
      </c>
      <c r="W21" s="184" t="str">
        <f>IF(modello14="","",IF(vernPROFoTUBlatSX14="","","SX: "&amp;vernPROFoTUBlatSX14&amp;" - ")&amp;IF(vernPROFoTUBlatDX14="",""," DX: "&amp;vernPROFoTUBlatDX14))</f>
        <v/>
      </c>
      <c r="Y21" s="185" t="str">
        <f>IF(modelloAUTO14="","",IF(OR(larghezza14="",profORIZZ14=""),"",CODpiattoORIZZsugg14))</f>
        <v/>
      </c>
      <c r="Z21" s="186" t="str">
        <f>IF(modelloAUTO14="","",IF(profORIZZ14="","",larghezza14+IF(PROFoTUBsxRICH14="",0,VLOOKUP(PROFoTUBsxRICH14,TABprofOtubLATERALI,COLlargPROFoTUBlat,FALSE))+IF(PROFoTUBdxRICH14="",0,VLOOKUP(PROFoTUBdxRICH14,TABprofOtubLATERALI,COLlargPROFoTUBlat,FALSE))))</f>
        <v/>
      </c>
      <c r="AB21" s="187" t="str">
        <f>IF(modelloAUTO14="","",IF(CODpiantCENTRsugg14="","","N° "&amp;fornPIANTcentr14&amp;"-"&amp;IF(CODpiantCENTRsugg14=0,"ERRORE",CODpiantCENTRsugg14)))</f>
        <v/>
      </c>
      <c r="AC21" s="187" t="str">
        <f>IF(modelloAUTO14="","",IF(CODpiantCENTRsuggAPPOG14="","","N° "&amp;CODpiantCENTRdiAPPOGGIOrich14&amp;"-"&amp;IF(CODpiantCENTRsuggAPPOG14=0,"ERRORE",CODpiantCENTRsuggAPPOG14)))</f>
        <v/>
      </c>
      <c r="AE21" s="188" t="str">
        <f>IF(modelloAUTO14="","",IF(note_cliente14="","",note_cliente14))</f>
        <v/>
      </c>
      <c r="AF21" s="189" t="str">
        <f>IF(PesoTEORICOparatia14="","",PesoTEORICOparatia14)</f>
        <v/>
      </c>
      <c r="AG21" s="190">
        <v>14</v>
      </c>
      <c r="AI21" s="191" t="str">
        <f>IF(modelloAUTO14=$B$2,pezzi14*UNO,"")</f>
        <v/>
      </c>
      <c r="AJ21" s="192" t="str">
        <f>IF(modelloAUTO14=$B$2,larghezza14,"")</f>
        <v/>
      </c>
      <c r="AK21" s="193" t="str">
        <f>IF(modelloAUTO14=$B$2,altezza14,"")</f>
        <v/>
      </c>
      <c r="AL21" s="174" t="str">
        <f t="shared" si="2"/>
        <v/>
      </c>
      <c r="AM21" s="173" t="str">
        <f t="shared" si="3"/>
        <v>DX (di serie)</v>
      </c>
      <c r="AN21" s="194"/>
      <c r="AO21"/>
      <c r="AP21" s="195" t="str">
        <f>IF(modelloAUTO14=$B$2,IF(PROFlatRICH14="",pezzi14*DUE*VLOOKUP($B$2,tabMODELLI,COLprofiliLATdiserie,FALSE),pezzi14*DUE),"")</f>
        <v/>
      </c>
      <c r="AQ21" s="179" t="str">
        <f>IF(modelloAUTO14=$B$2,IF(PROFlatAUTO14="ESCLUSI","",IF(PROFlatRICH14="","STD",PROFlatRICH14)),"")</f>
        <v/>
      </c>
      <c r="AR21" s="196" t="str">
        <f>IF(AND(modelloAUTO14=$B$2,PROFlatAUTO14&lt;&gt;"ESCLUSI"),IF(ALTprofLATrich14="","STD",ALTprofLATrich14*DIECI),"")</f>
        <v/>
      </c>
      <c r="AT21" s="272" t="str">
        <f>IF(modelloAUTO14=$B$2,IF(TIPOcopertina14="","",TIPOcopertina14),"")</f>
        <v/>
      </c>
      <c r="AV21" s="198" t="str">
        <f>IF(modelloAUTO14=$B$2,IF(vernBarriera14="","STD",vernBarriera14),"")</f>
        <v/>
      </c>
      <c r="AX21" s="171" t="str">
        <f>IF(modelloAUTO14=$B$2,IF(PROFoTUBsxRICH14="","",pezzi14),"")</f>
        <v/>
      </c>
      <c r="AY21" s="278" t="str">
        <f>IF(modelloAUTO14=$B$2,IF(PROFoTUBsxRICH14="","",PROFoTUBsxRICH14),"")</f>
        <v/>
      </c>
      <c r="AZ21" s="200" t="str">
        <f>IF(AND(modelloAUTO14=$B$2,PROFoTUBsxRICH14&lt;&gt;""),IF(ALTprofOtubRICHsx14="","STD",ALTprofOtubRICHsx14),"")</f>
        <v/>
      </c>
      <c r="BB21" s="201" t="str">
        <f>IF(modelloAUTO14=$B$2,IF(PROFoTUBsxRICH14="","",IF(vernPROFoTUBlatSX14="","STD",vernPROFoTUBlatSX14)),"")</f>
        <v/>
      </c>
      <c r="BD21" s="171" t="str">
        <f>IF(modelloAUTO14=$B$2,IF(PROFoTUBdxRICH14="","",pezzi14),"")</f>
        <v/>
      </c>
      <c r="BE21" s="279" t="str">
        <f>IF(modelloAUTO14=$B$2,IF(PROFoTUBdxRICH14="","",PROFoTUBdxRICH14),"")</f>
        <v/>
      </c>
      <c r="BF21" s="200" t="str">
        <f>IF(AND(modelloAUTO14=$B$2,PROFoTUBdxRICH14&lt;&gt;""),IF(ALTprofOtubRICHdx14="","STD",ALTprofOtubRICHdx14),"")</f>
        <v/>
      </c>
      <c r="BH21" s="203" t="str">
        <f>IF(modelloAUTO14=$B$2,IF(PROFoTUBdxRICH14="","",IF(vernPROFoTUBlatDX14="","STD",vernPROFoTUBlatDX14)),"")</f>
        <v/>
      </c>
      <c r="BJ21" s="204" t="str">
        <f>IF(modelloAUTO14=$B$2,IF(profORIZZ14="","",pezzi14),"")</f>
        <v/>
      </c>
      <c r="BK21" s="205" t="str">
        <f>IF(modelloAUTO14=$B$2,IF(profORIZZ14="","",CODpiattoORIZZsugg14),"")</f>
        <v/>
      </c>
      <c r="BL21" s="206" t="str">
        <f>IF(modelloAUTO14=$B$2,IF(profORIZZ14="","",larghezza14*UNO+IF(PROFoTUBsxRICH14="",ZERO,VLOOKUP(PROFoTUBsxRICH14,TABprofOtubLATERALI,COLlargPROFoTUBlat,FALSE))+IF(PROFoTUBdxRICH14="",ZERO,VLOOKUP(PROFoTUBdxRICH14,TABprofOtubLATERALI,COLlargPROFoTUBlat,FALSE))),"")</f>
        <v/>
      </c>
      <c r="BN21" s="207" t="str">
        <f ca="1">IF(modelloAUTO14=$B$2,INDEX(INDIRECT("TABnCHIAVISTELLOvert"&amp;$B$2),rif_alt14,rif_larg14)*pezzi14,"")</f>
        <v/>
      </c>
      <c r="BO21"/>
      <c r="BP21" s="178" t="str">
        <f t="shared" si="4"/>
        <v/>
      </c>
      <c r="BQ21" s="208" t="str">
        <f ca="1">IF(modelloAUTO14=$B$2,INDEX(INDIRECT("TABnMANIGLIEsuperiori"&amp;$B$2),rif_alt14,rif_larg14)+INDEX(INDIRECT("TABnMANIGLIEfrontali"&amp;$B$2),rif_alt14,rif_larg14),"")</f>
        <v/>
      </c>
      <c r="BR21" s="191" t="str">
        <f>IF(modelloAUTO14=$B$2,pezzi14*DUE,"")</f>
        <v/>
      </c>
      <c r="BS21" s="209" t="str">
        <f>IF(modelloAUTO14=$B$2,BQ21*DUE,"")</f>
        <v/>
      </c>
      <c r="BT21" s="209" t="str">
        <f>IF(modelloAUTO14=$B$2,BR21*TRE,"")</f>
        <v/>
      </c>
      <c r="BU21" s="191" t="str">
        <f>IF(modelloAUTO14=$B$2,pezzi14*DUE,"")</f>
        <v/>
      </c>
      <c r="BV21" s="191" t="str">
        <f>IF(modelloAUTO14=$B$2,pezzi14*DUE,"")</f>
        <v/>
      </c>
      <c r="BW21" s="191" t="str">
        <f>IF(modelloAUTO14=$B$2,pezzi14*DUE,"")</f>
        <v/>
      </c>
      <c r="BX21" s="191" t="str">
        <f>IF(modelloAUTO14=$B$2,pezzi14*DUE,"")</f>
        <v/>
      </c>
      <c r="BY21" s="191" t="str">
        <f>IF(modelloAUTO14=$B$2,pezzi14*DUE,"")</f>
        <v/>
      </c>
      <c r="CA21" s="210" t="str">
        <f>IF(modelloAUTO14=$B$2,IF(fornPIANTcentr14="","",fornPIANTcentr14*pezzi14),"")</f>
        <v/>
      </c>
      <c r="CB21" s="210" t="str">
        <f>IF(modelloAUTO14=$B$2,IF(fornPIANTcentr14="","",CODpiantCENTRsugg14),"")</f>
        <v/>
      </c>
      <c r="CD21" s="210" t="str">
        <f>IF(modelloAUTO14=$B$2,IF(CODpiantCENTRsuggAPPOG14="","",CODpiantCENTRdiAPPOGGIOrich14),"")</f>
        <v/>
      </c>
      <c r="CE21" s="210" t="str">
        <f>IF(modelloAUTO14=$B$2,IF(CODpiantCENTRsuggAPPOG14="","",CODpiantCENTRsuggAPPOG14),"")</f>
        <v/>
      </c>
      <c r="CG21" s="273">
        <v>14</v>
      </c>
      <c r="CI21" s="211" t="str">
        <f>IF(modelloAUTO14=$B$2,altezza14*DIECI/FLOOR(VLOOKUP($B$2,tabMODELLI,COLcoefALTdogaSORMONTATAda200,FALSE),UNO)*pezzi14,"")</f>
        <v/>
      </c>
      <c r="CJ21" s="212" t="str">
        <f>IF(modelloAUTO14=$B$2,larghezza14*DIECI-VLOOKUP($B$2,tabMODELLI,COLcoeffTAGLIOdogaOPPURElastraINlarg,FALSE)-VLOOKUP(PROFlatAUTO14,TABprofLATten,COLcoeffCALOdoga,FALSE),"")</f>
        <v/>
      </c>
      <c r="CK21"/>
      <c r="CL21" s="213" t="str">
        <f>IF(modelloAUTO14=$B$2,(altezza14*DIECI/FLOOR(VLOOKUP($B$2,tabMODELLI,COLcoefALTdogaSORMONTATAda200,FALSE),CENTO)-FLOOR(altezza14*DIECI/FLOOR(VLOOKUP($B$2,tabMODELLI,COLcoefALTdogaSORMONTATAda200,FALSE),CENTO),UNO))*pezzi14,"")</f>
        <v/>
      </c>
      <c r="CM21" s="214" t="str">
        <f>IF(modelloAUTO14=$B$2,(((altezza14*DIECI-VLOOKUP($B$2,tabMODELLI,COLcoeffCALOtaglioPANNELLObarrieraMONOLITICOoASSEMBLATOInALT,FALSE))/VLOOKUP($B$2,tabMODELLI,colALTnominaleDOGAmm,FALSE)-(FLOOR(altezza14*DIECI/FLOOR(VLOOKUP($B$2,tabMODELLI,COLcoefALTdogaSORMONTATAda200,FALSE),CENTO),UNO)))*(VLOOKUP($B$2,tabMODELLI,colALTnominaleDOGAmm,FALSE))),"")</f>
        <v/>
      </c>
      <c r="CN21" s="203" t="str">
        <f>IF(modelloAUTO14=$B$2,IF(vernBarriera14="","STD",vernBarriera14),"")</f>
        <v/>
      </c>
      <c r="CO21" s="174" t="str">
        <f t="shared" si="5"/>
        <v/>
      </c>
      <c r="CP21" s="215" t="str">
        <f>IF(modelloAUTO14=$B$2,LATOcomAUTO14,"")</f>
        <v/>
      </c>
      <c r="CQ21"/>
      <c r="CR21" s="216" t="str">
        <f>IF(modelloAUTO14=$B$2,pezzi14*UNO,"")</f>
        <v/>
      </c>
      <c r="CS21" s="212" t="str">
        <f>IF(modelloAUTO14=$B$2,altezza14*DIECI+VLOOKUP($B$2,tabMODELLI,COLcoeffTAGLIOPROFILIlateraliEverticaliAttaccatiALLAbarriera,FALSE),"")</f>
        <v/>
      </c>
      <c r="CT21" s="217" t="str">
        <f>IF(modelloAUTO14=$B$2,"|90° 90°|","")</f>
        <v/>
      </c>
      <c r="CU21" s="218"/>
      <c r="CV21" s="219" t="str">
        <f>IF(modelloAUTO14=$B$2,pezzi14*DUE,"")</f>
        <v/>
      </c>
      <c r="CW21" s="220" t="str">
        <f>IF(modelloAUTO14=$B$2,larghezza14*DIECI-VLOOKUP($B$2,tabMODELLI,COLcoeffTAGLIOPROFILIlateraliEverticaliAttaccatiALLAbarriera,FALSE),"")</f>
        <v/>
      </c>
      <c r="CX21" s="217" t="str">
        <f t="shared" si="25"/>
        <v/>
      </c>
      <c r="CY21" s="221"/>
      <c r="CZ21" s="222" t="str">
        <f>IF(modelloAUTO14=$B$2,PROFlatAUTO14,"")</f>
        <v/>
      </c>
      <c r="DA21" s="223" t="str">
        <f>IF(modelloAUTO14=$B$2,pezzi14,"")</f>
        <v/>
      </c>
      <c r="DB21" s="217" t="str">
        <f>IF(modelloAUTO14=$B$2,altezza14*DIECI-VLOOKUP(PROFlatAUTO14,TABprofLATten,COLsfioroPROFtenLATrispettoALvano,FALSE),"")</f>
        <v/>
      </c>
      <c r="DC21" s="217" t="str">
        <f>IF(modelloAUTO14=$B$2,"|90° 45°/","")</f>
        <v/>
      </c>
      <c r="DD21" s="224"/>
      <c r="DE21" s="223" t="str">
        <f>IF(modelloAUTO14=$B$2,pezzi14,"")</f>
        <v/>
      </c>
      <c r="DF21" s="217" t="str">
        <f>IF(modelloAUTO14=$B$2,larghezza14*DIECI-(VLOOKUP(PROFlatAUTO14,TABprofLATten,COLsfioroPROFtenLATrispettoALvano,FALSE)*DUE),"")</f>
        <v/>
      </c>
      <c r="DG21" s="217" t="str">
        <f>IF(modelloAUTO14=$B$2,"\45° 90°|","")</f>
        <v/>
      </c>
      <c r="DH21" s="224"/>
      <c r="DI21" s="223" t="str">
        <f>IF(modelloAUTO14=$B$2,pezzi14,"")</f>
        <v/>
      </c>
      <c r="DJ21" s="217" t="str">
        <f>IF(modelloAUTO14=$B$2,altezza14*DIECI-VLOOKUP(PROFlatAUTO14,TABprofLATten,COLsfioroPROFtenLATrispettoALvano,FALSE),"")</f>
        <v/>
      </c>
      <c r="DK21" s="217" t="str">
        <f>IF(modelloAUTO14=$B$2,"\45° 45°/","")</f>
        <v/>
      </c>
      <c r="DL21" s="225"/>
      <c r="DM21" s="226" t="str">
        <f>IF(modelloAUTO14=$B$2,pezzi14,"")</f>
        <v/>
      </c>
      <c r="DN21" s="226" t="str">
        <f>IF(modelloAUTO14=$B$2,larghezza14*DIECI,"")</f>
        <v/>
      </c>
      <c r="DO21" s="227" t="str">
        <f>IF(modelloAUTO14=$B$2,"|90° 90°|","")</f>
        <v/>
      </c>
      <c r="DP21" s="221"/>
      <c r="DQ21" s="228" t="str">
        <f>IF(modelloAUTO14=$B$2,DIMprimoFOROdalPAVIMENTOperFISSAGGIOprofiloDItenutaLATERALE*DIECI,"")</f>
        <v/>
      </c>
      <c r="DR21" s="228" t="str">
        <f ca="1">IF(modelloAUTO14=$B$2,IF(VLOOKUP(altezza14,INDIRECT("tabNfissaggi"&amp;$B$2),INDIRECT("colNfiSsaggi"&amp;$B$2),TRUE)&lt;DR$6,"",(IF(VLOOKUP(altezza14,INDIRECT("tabNfissaggi"&amp;$B$2),INDIRECT("colNfiSsaggi"&amp;$B$2),FALSE)=DR$6,altezza14*DIECI-DIMprimoFOROdalPAVIMENTOperFISSAGGIOprofiloDItenutaLATERALE,DQ214+(((altezza14*DIECI-DIMprimoFOROdalPAVIMENTOperFISSAGGIOprofiloDItenutaLATERALE*DIECI*DUE))/(VLOOKUP((altezza14),INDIRECT("tabNfissaggi"&amp;$B$2),INDIRECT("colNfiSsaggi"&amp;$B$2),FALSE)-UNO))))),"")</f>
        <v/>
      </c>
      <c r="DS21" s="228" t="str">
        <f ca="1">IF(modelloAUTO14=$B$2,IF(VLOOKUP(altezza14,INDIRECT("tabNfissaggi"&amp;$B$2),INDIRECT("colNfiSsaggi"&amp;$B$2),TRUE)&lt;DS$6,"",(IF(VLOOKUP(altezza14,INDIRECT("tabNfissaggi"&amp;$B$2),INDIRECT("colNfiSsaggi"&amp;$B$2),FALSE)=DS$6,altezza14*DIECI-DIMprimoFOROdalPAVIMENTOperFISSAGGIOprofiloDItenutaLATERALE,DR214+(((altezza14*DIECI-DIMprimoFOROdalPAVIMENTOperFISSAGGIOprofiloDItenutaLATERALE*DIECI*DUE))/(VLOOKUP((altezza14),INDIRECT("tabNfissaggi"&amp;$B$2),INDIRECT("colNfiSsaggi"&amp;$B$2),FALSE)-UNO))))),"")</f>
        <v/>
      </c>
      <c r="DT21" s="228" t="str">
        <f ca="1">IF(modelloAUTO14=$B$2,IF(VLOOKUP(altezza14,INDIRECT("tabNfissaggi"&amp;$B$2),INDIRECT("colNfiSsaggi"&amp;$B$2),TRUE)&lt;DT$6,"",(IF(VLOOKUP(altezza14,INDIRECT("tabNfissaggi"&amp;$B$2),INDIRECT("colNfiSsaggi"&amp;$B$2),FALSE)=DT$6,altezza14*DIECI-DIMprimoFOROdalPAVIMENTOperFISSAGGIOprofiloDItenutaLATERALE,DS214+(((altezza14*DIECI-DIMprimoFOROdalPAVIMENTOperFISSAGGIOprofiloDItenutaLATERALE*DIECI*DUE))/(VLOOKUP((altezza14),INDIRECT("tabNfissaggi"&amp;$B$2),INDIRECT("colNfiSsaggi"&amp;$B$2),FALSE)-UNO))))),"")</f>
        <v/>
      </c>
      <c r="DU21" s="228" t="str">
        <f ca="1">IF(modelloAUTO14=$B$2,IF(VLOOKUP(altezza14,INDIRECT("tabNfissaggi"&amp;$B$2),INDIRECT("colNfiSsaggi"&amp;$B$2),TRUE)&lt;DU$6,"",(IF(VLOOKUP(altezza14,INDIRECT("tabNfissaggi"&amp;$B$2),INDIRECT("colNfiSsaggi"&amp;$B$2),FALSE)=DU$6,altezza14*DIECI-DIMprimoFOROdalPAVIMENTOperFISSAGGIOprofiloDItenutaLATERALE,DT214+(((altezza14*DIECI-DIMprimoFOROdalPAVIMENTOperFISSAGGIOprofiloDItenutaLATERALE*DIECI*DUE))/(VLOOKUP((altezza14),INDIRECT("tabNfissaggi"&amp;$B$2),INDIRECT("colNfiSsaggi"&amp;$B$2),FALSE)-UNO))))),"")</f>
        <v/>
      </c>
      <c r="DV21" s="221"/>
      <c r="DW21" s="229" t="str">
        <f>IF(modelloAUTO14=$B$2,(PRIMOforoNELLantaPARTENDOdaLBASSOclose-VLOOKUP($B$2,tabMODELLI,COLcoeffALTprofiloSogliaRimanenteSOTTOalTELAIOperimetrale,FALSE)),"")</f>
        <v/>
      </c>
      <c r="DX21" s="230" t="str">
        <f>IF(modelloAUTO14=$B$2,DW21+INTERASSSEforiANTAcernieraSAVIOmechanica,"")</f>
        <v/>
      </c>
      <c r="DY21" s="231" t="str">
        <f>IF(modelloAUTO14=$B$2,INDEX(TABforoBASSOcernieraNELLantaCONdogaCLICKRAPIDnellANTACONsavIOMECHANICA,UNO,MATCH(((CJ21)/DUE),TABforoBASSOcernieraNELLantaCONdogaCLICKRAPIDnellANTACONsavIOMECHANICA,UNO)),"")</f>
        <v/>
      </c>
      <c r="DZ21" s="232" t="str">
        <f>IF(modelloAUTO14=$B$2,DY21+INTERASSSEforiANTAcernieraSAVIOmechanica,"")</f>
        <v/>
      </c>
      <c r="EA21" s="231" t="str">
        <f>IF(modelloAUTO14=$B$2,INDEX(TABforoBASSOcernieraNELLantaCONdogaCLICKRAPIDnellANTACONsavIOMECHANICA,UNO,MATCH((CJ21-ALTEZZAcerNIERAcomMPOSTAdalle2aliMECHANICA-altezzaALAcanalinoDA35X35X2),TABforoBASSOcernieraNELLantaCONdogaCLICKRAPIDnellANTACONsavIOMECHANICA,UNO)),"")</f>
        <v/>
      </c>
      <c r="EB21" s="232" t="str">
        <f>IF(modelloAUTO14=$B$2,EA21+INTERASSSEforiANTAcernieraSAVIOmechanica,"")</f>
        <v/>
      </c>
      <c r="EC21" s="233"/>
      <c r="ED21" s="234" t="str">
        <f>IF(modelloAUTO14=$B$2,"a: "&amp;DW21+INTERASSSEforiANTAcernieraSAVIOmechanica/DUE,"")</f>
        <v/>
      </c>
      <c r="EE21" s="234" t="str">
        <f>IF(modelloAUTO14=$B$2,"a: "&amp;DY21+INTERASSSEforiANTAcernieraSAVIOmechanica/DUE,"")</f>
        <v/>
      </c>
      <c r="EF21" s="234" t="str">
        <f>IF(modelloAUTO14=$B$2,"a: "&amp;EA21+INTERASSSEforiANTAcernieraSAVIOmechanica/DUE,"")</f>
        <v/>
      </c>
      <c r="EG21"/>
      <c r="EH21" s="235" t="str">
        <f>IF(modelloAUTO14=$B$2,pezzi14,"")</f>
        <v/>
      </c>
      <c r="EI21" s="235" t="str">
        <f>IF(modelloAUTO14=$B$2,INTERASSEforoPERnottolinoDIcomandoMANIGLIAdiCHIUSURAaLEVAclose,"")</f>
        <v/>
      </c>
      <c r="EJ21" s="236" t="str">
        <f>IF(modelloAUTO14=$B$2,ALTCentroNOTTOLINOpartendoDALbassodellaDOGA,"")</f>
        <v/>
      </c>
      <c r="EK21" s="281"/>
      <c r="EL21" s="216" t="str">
        <f>IF(modelloAUTO14=$B$2,pezzi14*UNO,"")</f>
        <v/>
      </c>
      <c r="EM21" s="212" t="str">
        <f>IF(modelloAUTO14=$B$2,altezza14*DIECI+VLOOKUP($B$2,tabMODELLI,COLcoeffTAGLIOPROFILOdiAGGANCIOsistemaMODERNA,FALSE),"")</f>
        <v/>
      </c>
      <c r="EN21"/>
      <c r="EO21" s="216" t="str">
        <f>IF(modelloAUTO14=$B$2,pezzi14*UNO,"")</f>
        <v/>
      </c>
      <c r="EP21" s="212" t="str">
        <f>IF(modelloAUTO14=$B$2,altezza14*DIECI+VLOOKUP($B$2,tabMODELLI,COLcoeffTAGLIOPROFILOdiAGGANCIOsistemaMODERNA,FALSE),"")</f>
        <v/>
      </c>
      <c r="EQ21"/>
      <c r="ER21" s="216" t="str">
        <f>IF(modelloAUTO14=$B$2,pezzi14*UNO,"")</f>
        <v/>
      </c>
      <c r="ES21" s="212" t="str">
        <f>IF(modelloAUTO14=$B$2,altezza14*DIECI+VLOOKUP($B$2,tabMODELLI,COLcoeffTAGLIOPROFILIlateraliEverticaliAttaccatiALLAbarriera,FALSE),"")</f>
        <v/>
      </c>
      <c r="ET21" s="218"/>
      <c r="EU21" s="191" t="str">
        <f>IF(modelloAUTO14=$B$2,IF(PROFlatRICH14="",pezzi14*DUE*VLOOKUP($B$2,tabMODELLI,COLprofiliLATdiserie,FALSE),pezzi14*DUE),"")</f>
        <v/>
      </c>
      <c r="EV21" s="179" t="str">
        <f>IF(modelloAUTO14=$B$2,IF(PROFlatRICH14="","STD",PROFlatRICH14),"")</f>
        <v/>
      </c>
      <c r="EW21" s="275" t="str">
        <f>IF(modelloAUTO14=$B$2,IF(TIPOcopertina14="","",TIPOcopertina14),"")</f>
        <v/>
      </c>
      <c r="EX21" s="238" t="str">
        <f>IF(modelloAUTO14=$B$2,VLOOKUP($B$2,tabMODELLI,COLcoeffALTguarnINFERIOREschiacciata,FALSE)+(VLOOKUP($B$2,tabMODELLI,COLcoefALTdogaREALEda200,FALSE)+(VLOOKUP($B$2,tabMODELLI,COLcoefALTdogaSORMONTATAda200,FALSE)*(CEILING(altezza14*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21" s="218"/>
      <c r="EZ21" s="276" t="str">
        <f ca="1">IF(OR(modelloAUTO14=$B$2,modelloAUTO14=CLICK_RAPIDxPRIVATO),INDEX(INDIRECT("TABnCHIAVISTELLOvert"&amp;$B$2),rif_alt14,rif_larg14)*pezzi14,"")</f>
        <v/>
      </c>
      <c r="FA21" s="240" t="str">
        <f>IF(modelloAUTO14=$B$2,IF(AND(nCatenacci14&lt;&gt;"",profORIZZ14&lt;&gt;""),spessoreCATENACCIOverticale60X145X300,""),"")</f>
        <v/>
      </c>
      <c r="FB21" s="277" t="str">
        <f ca="1">IF(OR(nCatenacci14=0,nCatenacci14="",),"",(CJ21+QUATTRO-(IF(nCatenacci14="",ZERO,SESSANTA*(nCatenacci14/PZCLICK_RAPID14))))/((nCatenacci14/PZCLICK_RAPID14)+UNO))</f>
        <v/>
      </c>
      <c r="FD21" s="242" t="str">
        <f ca="1">IF(modelloAUTO14=$B$2,INDEX(INDIRECT("TABnMANIGLIEsuperiori"&amp;$B$2),rif_alt14,rif_larg14),"")</f>
        <v/>
      </c>
      <c r="FE21" s="243" t="str">
        <f ca="1">IF(modelloAUTO14=$B$2,(larghezza14-CATENACCIOLOorizzontaleINGOMBROclick_rapid-DUE)/INDEX(INDIRECT("TABnMANIGLIEsuperiori"&amp;$B$2),rif_alt14,rif_larg14),"")</f>
        <v/>
      </c>
      <c r="FG21" s="244" t="str">
        <f ca="1">IF(modelloAUTO14=$B$2,INDEX(INDIRECT("TABnMANIGLIEfrontali"&amp;$B$2),rif_alt14,rif_larg14),"")</f>
        <v/>
      </c>
      <c r="FH21"/>
      <c r="FI21" s="245">
        <f>((larghezza14*DIECI-COEFFlargCOMPLESSIVAdelKITcerniere_GANCIOassemblato))</f>
        <v>-261</v>
      </c>
      <c r="FJ21" s="245">
        <f t="shared" si="17"/>
        <v>19.453363192402126</v>
      </c>
      <c r="FK21" s="245">
        <f t="shared" si="18"/>
        <v>0.4001326</v>
      </c>
      <c r="FL21" s="246">
        <f>(altezza14+TREDICI/DIECI)/CENTO*(CERNIERA_TUBOLARE_MODERNA+CERNIERA_APERTA_MODERNA+UNCINO)+(altezza14/(VLOOKUP($B$2,tabMODELLI,COLcoefALTdogaSORMONTATAda200,FALSE)/DIECI)*COEFFdogaINSERITAnellaCERNIERAaertaFINOallaFINEdelGANCIO*VLOOKUP($B$2,tabMODELLI,COLpesoALKGmlDOGA,FALSE))</f>
        <v>9.6758999999999998E-2</v>
      </c>
      <c r="FM21" s="247"/>
      <c r="FN21" s="247">
        <f>altezza14/(VLOOKUP($B$2,tabMODELLI,COLcoefALTdogaSORMONTATAda200,FALSE)/DIECI)*((((larghezza14-(COEFFlargCOMPLESSIVAdelKITcerniere_GANCIOassemblato/DIECI))/CENTO)*VLOOKUP($B$2,tabMODELLI,COLpesoALKGmlDOGA,FALSE)))</f>
        <v>0</v>
      </c>
      <c r="FO21" s="247">
        <f>larghezza14/CENTO*PESOguarnORIZZmodernaKG\ML</f>
        <v>0</v>
      </c>
      <c r="FP21" s="247">
        <f>(altezza14/(VLOOKUP($B$2,tabMODELLI,COLcoefALTdogaSORMONTATAda200,FALSE)/DIECI)-UNO)*((((larghezza14-(COEFFlargCOMPLESSIVAdelKITcerniere_GANCIOassemblato/DIECI))/CENTO)*pesoALmlDOPPIAsiliconaturaINunaDOGA))</f>
        <v>0.1827</v>
      </c>
      <c r="FQ21" s="247">
        <f>(altezza14/CENTO*H_MODERNA)</f>
        <v>0</v>
      </c>
      <c r="FR21" s="248">
        <f t="shared" si="21"/>
        <v>0.33979579999999998</v>
      </c>
      <c r="FS21" s="248">
        <f t="shared" si="22"/>
        <v>-7.2599999999999998E-2</v>
      </c>
      <c r="FT21" s="249">
        <f t="shared" si="26"/>
        <v>-4.2183908045977011E-4</v>
      </c>
      <c r="FU21" s="249">
        <f t="shared" si="27"/>
        <v>0.1101</v>
      </c>
      <c r="FV21" s="249">
        <f t="shared" si="28"/>
        <v>-0.22969579999999998</v>
      </c>
      <c r="FW21" s="249">
        <f t="shared" si="23"/>
        <v>9.689466505747125E-5</v>
      </c>
      <c r="FX21" s="246">
        <f t="shared" si="29"/>
        <v>0.33979579999999998</v>
      </c>
      <c r="FY21" s="250">
        <f t="shared" si="24"/>
        <v>-824.51038266936757</v>
      </c>
      <c r="FZ21"/>
      <c r="GA21" s="251"/>
      <c r="GB21" s="251"/>
      <c r="GC21" s="251"/>
      <c r="GD21" s="251"/>
      <c r="GE21" s="251"/>
      <c r="GF21" s="251"/>
      <c r="GG21" s="251"/>
      <c r="GI21" s="252" t="str">
        <f>IF(modelloAUTO14=$B$2,IF(PROFlatRICH14="",pezzi14*UNO*VLOOKUP($B$2,tabMODELLI,COLnMANIGLIAasportabile,FALSE),pezzi14*UNO),"")</f>
        <v/>
      </c>
      <c r="GJ21" s="252" t="str">
        <f>IF(modelloAUTO14=$B$2,pezzi14*DUE,"")</f>
        <v/>
      </c>
      <c r="GK21" s="252" t="str">
        <f>IF(modelloAUTO14=$B$2,pezzi14*UNO,"")</f>
        <v/>
      </c>
      <c r="GL21" s="253" t="str">
        <f>IF(modelloAUTO14=$B$2,IF(SYSTEMantiFURTO14&lt;&gt;"",VLOOKUP($B$2,TABsistemaANTIFURTO,COLusoVITEdISERIE,FALSE),pezzi14),"")</f>
        <v/>
      </c>
      <c r="GM21" s="252" t="str">
        <f>IF(modelloAUTO14=$B$2,pezzi14*UNO,"")</f>
        <v/>
      </c>
      <c r="GN21" s="252" t="str">
        <f>IF(modelloAUTO14=$B$2,NmaniglieDItrasporto14*DUE,"")</f>
        <v/>
      </c>
      <c r="GO21" s="254" t="str">
        <f>IF(modelloAUTO14=$B$2,pezzi14*QUINDICI,"")</f>
        <v/>
      </c>
      <c r="GP21" s="254" t="str">
        <f>IF(modelloAUTO14=$B$2,pezzi14*DUE,"")</f>
        <v/>
      </c>
      <c r="GQ21" s="254" t="str">
        <f>IF(modelloAUTO14=$B$2,pezzi14*DUE,"")</f>
        <v/>
      </c>
      <c r="GR21" s="254" t="str">
        <f>IF(modelloAUTO14=$B$2,pezzi14*UNO,"")</f>
        <v/>
      </c>
      <c r="GS21" s="254" t="str">
        <f>IF(modelloAUTO14=$B$2,pezzi14*DUE,"")</f>
        <v/>
      </c>
      <c r="GT21" s="254" t="str">
        <f>IF(modelloAUTO14=$B$2,pezzi14*DUE,"")</f>
        <v/>
      </c>
      <c r="GU21" s="254" t="str">
        <f>IF(modelloAUTO14=$B$2,pezzi14*DUE,"")</f>
        <v/>
      </c>
      <c r="GV21" s="254" t="str">
        <f>IF(modelloAUTO14=$B$2,pezzi14*DUE,"")</f>
        <v/>
      </c>
      <c r="GW21" s="251"/>
      <c r="GX21" s="251"/>
      <c r="GY21" s="251"/>
      <c r="GZ21" s="251"/>
      <c r="HA21" s="251"/>
      <c r="HB21" s="251"/>
      <c r="HC21" s="251"/>
      <c r="HD21" s="251"/>
      <c r="HE21" s="251"/>
      <c r="HF21" s="251"/>
      <c r="HG21" s="251"/>
      <c r="HH21" s="251"/>
      <c r="HI21" s="251"/>
      <c r="HJ21" s="251"/>
      <c r="HK21" s="251"/>
      <c r="HL21" s="251"/>
      <c r="HN21" s="191" t="str">
        <f>IF(modelloAUTO14=$B$2,IF(PROFlatRICH14="",pezzi14*VLOOKUP($B$2,tabMODELLI,COLnGUARNorizzINFERIOREbarriera,FALSE),pezzi14),"")</f>
        <v/>
      </c>
      <c r="HO21" s="193" t="str">
        <f>IF(modelloAUTO14=$B$2,IF(VLOOKUP($B$2,tabMODELLI,COLnGUARNorizzINFERIOREbarriera,FALSE)="","",larghezza14),"")</f>
        <v/>
      </c>
      <c r="HQ21" s="191" t="str">
        <f>IF(modelloAUTO14=$B$2,IF(PROFlatRICH14="",pezzi14*DUE*VLOOKUP($B$2,tabMODELLI,COLnGUARNorizzINTERMEDIEbarriera,FALSE),pezzi14*DUE),"")</f>
        <v/>
      </c>
      <c r="HR21" s="193" t="str">
        <f>IF(modelloAUTO14=$B$2,IF(VLOOKUP($B$2,tabMODELLI,COLnGUARNorizzINTERMEDIEbarriera,FALSE)="","",larghezza14),"")</f>
        <v/>
      </c>
      <c r="HT21" s="191" t="str">
        <f>IF(modelloAUTO14=$B$2,IF(PROFlatRICH14="",pezzi14*UNO*VLOOKUP($B$2,tabMODELLI,COLnGUARNvertBARRIERA,FALSE),pezzi14*UNO),"")</f>
        <v/>
      </c>
      <c r="HU21" s="193" t="str">
        <f>IF(modelloAUTO14=$B$2,IF(VLOOKUP($B$2,tabMODELLI,COLnGUARNvertBARRIERA,FALSE)="","",altezza14),"")</f>
        <v/>
      </c>
      <c r="HV21"/>
      <c r="HW21" s="191" t="str">
        <f>IF(modelloAUTO14=$B$2,IF(PROFlatRICH14="",pezzi14*VLOOKUP($B$2,tabMODELLI,COLnTAPPIdiGIUNZIONEguarnORIZZconVERT,FALSE),pezzi14),"")</f>
        <v/>
      </c>
      <c r="HX21"/>
      <c r="HY21" s="191" t="str">
        <f>IF(modelloAUTO14=$B$2,IF(PROFlatRICH14="",pezzi14*VLOOKUP($B$2,tabMODELLI,COLnGUARNorizzPROFILOdiTENUTAlaterale,FALSE),pezzi14),"")</f>
        <v/>
      </c>
      <c r="HZ21" s="193" t="str">
        <f>IF(modelloAUTO14=$B$2,IF(VLOOKUP($B$2,tabMODELLI,COLnGUARNorizzPROFILOdiTENUTAlaterale,FALSE)="","",altezza14),"")</f>
        <v/>
      </c>
      <c r="IA21"/>
      <c r="IB21" s="191" t="str">
        <f>IF(modelloAUTO14=$B$2,IF(PROFlatRICH14="",pezzi14*VLOOKUP($B$2,tabMODELLI,COLnGUARNvertPROFILOdiTENUTAlaterale,FALSE),pezzi14),"")</f>
        <v/>
      </c>
      <c r="IC21" s="193" t="str">
        <f>IF(modelloAUTO14=$B$2,IF(VLOOKUP($B$2,tabMODELLI,COLnGUARNvertPROFILOdiTENUTAlaterale,FALSE)="","",altezza14),"")</f>
        <v/>
      </c>
      <c r="ID21"/>
      <c r="IE21" s="191" t="str">
        <f>IF(modelloAUTO14=$B$2,IF(PROFlatRICH14="",pezzi14*VLOOKUP($B$2,tabMODELLI,COLnPROFILIinNYLON,FALSE),pezzi14),"")</f>
        <v/>
      </c>
      <c r="IF21" s="193" t="str">
        <f>IF(modelloAUTO14=$B$2,IF(VLOOKUP($B$2,tabMODELLI,COLnPROFILIinNYLON,FALSE)="","",altezza14),"")</f>
        <v/>
      </c>
      <c r="IH21" s="171" t="str">
        <f>IF(modelloAUTO14=$B$2,IF(PROFoTUBsxRICH14="","",pezzi14),"")</f>
        <v/>
      </c>
      <c r="II21" s="278" t="str">
        <f>IF(modelloAUTO14=$B$2,IF(PROFoTUBsxRICH14="","",PROFoTUBsxRICH14),"")</f>
        <v/>
      </c>
      <c r="IJ21" s="257" t="str">
        <f>IF(AND(modelloAUTO14=$B$2,PROFoTUBsxRICH14&lt;&gt;""),IF(ALTprofOtubRICHsx14="","STD",ALTprofOtubRICHsx14*DIECI),"")</f>
        <v/>
      </c>
      <c r="IL21" s="201" t="str">
        <f>IF(modelloAUTO14=$B$2,IF(PROFoTUBsxRICH14="","",IF(vernPROFoTUBlatSX14="","STD",vernPROFoTUBlatSX14)),"")</f>
        <v/>
      </c>
      <c r="IN21" s="171" t="str">
        <f>IF(modelloAUTO14=$B$2,IF(PROFoTUBdxRICH14="","",pezzi14),"")</f>
        <v/>
      </c>
      <c r="IO21" s="279" t="str">
        <f>IF(modelloAUTO14=$B$2,IF(PROFoTUBdxRICH14="","",PROFoTUBdxRICH14),"")</f>
        <v/>
      </c>
      <c r="IP21" s="257" t="str">
        <f>IF(AND(modelloAUTO14=$B$2,PROFoTUBdxRICH14&lt;&gt;""),IF(ALTprofOtubRICHdx14="","STD",ALTprofOtubRICHdx14*DIECI),"")</f>
        <v/>
      </c>
      <c r="IR21" s="203" t="str">
        <f>IF(modelloAUTO14=$B$2,IF(PROFoTUBdxRICH14="","",IF(vernPROFoTUBlatDX14="","STD",vernPROFoTUBlatDX14)),"")</f>
        <v/>
      </c>
      <c r="IT21" s="204" t="str">
        <f>IF(modelloAUTO14=$B$2,IF(profORIZZ14="","",pezzi14),"")</f>
        <v/>
      </c>
      <c r="IU21" s="205" t="str">
        <f>IF(modelloAUTO14=$B$2,IF(profORIZZ14="","",CODpiattoORIZZsugg14),"")</f>
        <v/>
      </c>
      <c r="IV21" s="206" t="str">
        <f>IF(modelloAUTO14=$B$2,IF(profORIZZ14="","",larghezza14*DIECI+IF(PROFoTUBsxRICH14="",ZERO,VLOOKUP(PROFoTUBsxRICH14,TABprofOtubLATERALI,COLlargPROFoTUBlat,FALSE))+IF(PROFoTUBdxRICH14="",ZERO,VLOOKUP(PROFoTUBdxRICH14,TABprofOtubLATERALI,COLlargPROFoTUBlat,FALSE))),"")</f>
        <v/>
      </c>
      <c r="IW21"/>
      <c r="IX21" s="168">
        <v>14</v>
      </c>
      <c r="IY21" s="258" t="str">
        <f>IF(AND(modelloAUTO14=$B$2,SYSTEMantiFURTO14&lt;&gt;""),VLOOKUP($B$2,TABsistemaANTIFURTO,COLlucchetto,FALSE),"")</f>
        <v/>
      </c>
      <c r="IZ21" s="258" t="str">
        <f>IF(AND(modelloAUTO14=$B$2,SYSTEMantiFURTO14&lt;&gt;""),VLOOKUP($B$2,TABsistemaANTIFURTO,COLaccessorioANTIFURTO2,FALSE),"")</f>
        <v/>
      </c>
      <c r="JA21" s="258" t="str">
        <f>IF(AND(modelloAUTO14=$B$2,SYSTEMantiFURTO14&lt;&gt;""),VLOOKUP($B$2,TABsistemaANTIFURTO,COLaccessorioANTIFURTO,FALSE),"")</f>
        <v/>
      </c>
      <c r="JB21" s="258" t="str">
        <f>IF(AND(modelloAUTO14=$B$2,SYSTEMantiFURTO14&lt;&gt;""),VLOOKUP($B$2,TABsistemaANTIFURTO,COLviteSPECIALExANTIFURTO,FALSE),"")</f>
        <v/>
      </c>
      <c r="JC21" s="258" t="str">
        <f>IF(AND(modelloAUTO14=$B$2,SYSTEMantiFURTO14&lt;&gt;""),VLOOKUP($B$2,TABsistemaANTIFURTO,COLlavorazioneXantifurto,FALSE),"")</f>
        <v/>
      </c>
      <c r="JD21"/>
      <c r="JE21"/>
      <c r="JF21"/>
      <c r="JG21"/>
      <c r="JH21"/>
      <c r="JI21"/>
      <c r="JJ21"/>
      <c r="JK21"/>
      <c r="JL21"/>
      <c r="JM21"/>
      <c r="JN21"/>
      <c r="JO21"/>
      <c r="JP21"/>
      <c r="JQ21"/>
      <c r="JR21"/>
      <c r="JS21"/>
      <c r="JT21"/>
      <c r="JU21"/>
      <c r="JV21"/>
      <c r="JW21"/>
      <c r="JX21" s="168">
        <v>14</v>
      </c>
      <c r="JY21" s="210" t="str">
        <f>IF(modelloAUTO14=$B$2,IF(fornPIANTcentr14="","",fornPIANTcentr14*pezzi14),"")</f>
        <v/>
      </c>
      <c r="JZ21" s="210" t="str">
        <f>IF(modelloAUTO14=$B$2,IF(fornPIANTcentr14="","",CODpiantCENTRsugg14),"")</f>
        <v/>
      </c>
      <c r="KB21" s="210" t="str">
        <f>IF(modelloAUTO14=$B$2,IF(CODpiantCENTRsuggAPPOG14="","",CODpiantCENTRdiAPPOGGIOrich14),"")</f>
        <v/>
      </c>
      <c r="KC21" s="210" t="str">
        <f>IF(modelloAUTO14=$B$2,IF(CODpiantCENTRsuggAPPOG14="","",CODpiantCENTRsuggAPPOG14),"")</f>
        <v/>
      </c>
      <c r="KP21" s="168">
        <v>14</v>
      </c>
      <c r="KQ21" s="259" t="str">
        <f>IF(AND(modelloAUTO14=$B$2,VLOOKUP($B$2,tabMODELLI,COLcoeffPOSSIBILITApellicolaADESIVA,FALSE)=UNO),IF(PELLICOLA14="","",pezzi14),"")</f>
        <v/>
      </c>
      <c r="KR21" s="236" t="str">
        <f>IF(AND(modelloAUTO14=$B$2,VLOOKUP($B$2,tabMODELLI,COLcoeffPOSSIBILITApellicolaADESIVA,FALSE)=UNO),IF(PELLICOLA14="","",larghezza14*DIECI-(VLOOKUP($B$2,tabMODELLI,COLcoeffPELLICOLAadesivaLARG,FALSE))),"")</f>
        <v/>
      </c>
      <c r="KS21" s="236" t="str">
        <f>IF(AND(modelloAUTO14=$B$2,VLOOKUP($B$2,tabMODELLI,COLcoeffPOSSIBILITApellicolaADESIVA,FALSE)=UNO),IF(PELLICOLA14="","",altezza14*DIECI-(VLOOKUP($B$2,tabMODELLI,COLcoeffPELLICOLAadesivaLARG,FALSE))),"")</f>
        <v/>
      </c>
      <c r="MA21" s="168">
        <v>14</v>
      </c>
      <c r="MB21" s="260" t="str">
        <f>IF(modelloAUTO14=$B$2,stanza14,"")</f>
        <v/>
      </c>
      <c r="MC21" s="168">
        <v>14</v>
      </c>
      <c r="MD21" s="230" t="str">
        <f>IF(modelloAUTO14=$B$2,larghezza14*DIECI+4+VLOOKUP($B$2,tabMODELLI,COLcoefAUMlargBUSTApvc,FALSE)+VLOOKUP($B$2,tabMODELLI,COLcoefAUMlargXprofILIlateraliBUSTApvc,FALSE)+IF(PROFoTUBsxRICH14="",ZERO,VLOOKUP(PROFoTUBsxRICH14,TABprofOtubLATERALI,COLlargPROFoTUBlatXimballaggio,FALSE)+profELETTRODOsaldaturaPVC)+IF(PROFoTUBdxRICH14="",ZERO,VLOOKUP(PROFoTUBdxRICH14,TABprofOtubLATERALI,COLlargPROFoTUBlatXimballaggio,FALSE)+profELETTRODOsaldaturaPVC),"")</f>
        <v/>
      </c>
      <c r="ME21" s="230" t="str">
        <f>IF(modelloAUTO14=$B$2,altezza14*DIECI*DUE+VLOOKUP($B$2,tabMODELLI,COLcoefAUMaltBUSTApvc,FALSE),"")</f>
        <v/>
      </c>
      <c r="MF21" s="261"/>
      <c r="MG21" s="230" t="str">
        <f>IF(modelloAUTO14=$B$2,altezza14*DIECI+VLOOKUP($B$2,tabMODELLI,COLcoeffSALDATURAinALTbustaPVC,FALSE),"")</f>
        <v/>
      </c>
      <c r="MH21" s="230" t="str">
        <f>IF(modelloAUTO14=$B$2,VLOOKUP($B$2,tabMODELLI,COLcoeffSALDATURAinLARGperTASCAbustaPVC,FALSE),"")</f>
        <v/>
      </c>
      <c r="MI21" s="230" t="str">
        <f>IF(modelloAUTO14=$B$2,IF(PROFoTUBsxRICH14="","",VLOOKUP(PROFoTUBsxRICH14,TABprofOtubLATERALI,COLlargPROFoTUBlatXimballaggio,FALSE)),"")</f>
        <v/>
      </c>
      <c r="MJ21" s="230" t="str">
        <f>IF(modelloAUTO14=$B$2,IF(PROFoTUBdxRICH14="","",VLOOKUP(PROFoTUBdxRICH14,TABprofOtubLATERALI,COLlargPROFoTUBlatXimballaggio,FALSE)),"")</f>
        <v/>
      </c>
      <c r="ML21" s="262" t="str">
        <f>IF(modelloAUTO14=$B$2,pezzi14*DUE,"")</f>
        <v/>
      </c>
      <c r="MM21" s="263" t="str">
        <f>IF(modelloAUTO14=$B$2,larghezza14+VLOOKUP($B$2,tabMODELLI,COLcoeffAUMoCALOinLARGpolistirolo,FALSE),"")</f>
        <v/>
      </c>
      <c r="MN21" s="263" t="str">
        <f>IF(modelloAUTO14=$B$2,altezza14+VLOOKUP($B$2,tabMODELLI,COLcoeffAUMoCALOinALTpolistirolo,FALSE),"")</f>
        <v/>
      </c>
      <c r="MP21" s="264" t="str">
        <f>IF(modelloAUTO14=$B$2,IF(VLOOKUP($B$2,tabMODELLI,COLcoeffAUMoCALOinLARGprofiloAu,FALSE)="",pezzi14*DUE,pezzi14*UNO),"")</f>
        <v/>
      </c>
      <c r="MQ21" s="265" t="str">
        <f>IF(modelloAUTO14=$B$2,VLOOKUP($B$2,tabMODELLI,COLdimStdSTRISCIAdelFIANCOxLARG1polistirolo,FALSE),"")</f>
        <v/>
      </c>
      <c r="MR21" s="263" t="str">
        <f>IF(modelloAUTO14=$B$2,larghezza14+VLOOKUP($B$2,tabMODELLI,colCOEFFdellaLARGnelFIANCOpolistirolo,FALSE),"")</f>
        <v/>
      </c>
      <c r="MT21" s="262" t="str">
        <f>IF(modelloAUTO14=$B$2,IF(VLOOKUP($B$2,tabMODELLI,COLdimstdSTRISCIAdelFIANCOxALT2polistirolo,FALSE)="",pezzi14*DUE,pezzi14),"")</f>
        <v/>
      </c>
      <c r="MU21" s="265" t="str">
        <f>IF(modelloAUTO14=$B$2,VLOOKUP($B$2,tabMODELLI,COLdimstdSTRISCIAdelFIANCOxALT1polistirolo,FALSE),"")</f>
        <v/>
      </c>
      <c r="MV21" s="263" t="str">
        <f>IF(modelloAUTO14=$B$2,altezza14+VLOOKUP($B$2,tabMODELLI,colCOEFFdellaALTnelFIANCOpolistirolo,FALSE),"")</f>
        <v/>
      </c>
      <c r="MX21" s="266" t="str">
        <f>IF(modelloAUTO14=$B$2,IF(VLOOKUP($B$2,tabMODELLI,COLdimstdSTRISCIAdelFIANCOxALT2polistirolo,FALSE)="","",pezzi14*UNO),"")</f>
        <v/>
      </c>
      <c r="MY21" s="267" t="str">
        <f>IF(modelloAUTO14=$B$2,IF(VLOOKUP($B$2,tabMODELLI,COLdimstdSTRISCIAdelFIANCOxALT2polistirolo,FALSE)="","",VLOOKUP($B$2,tabMODELLI,COLdimstdSTRISCIAdelFIANCOxALT2polistirolo,FALSE)),"")</f>
        <v/>
      </c>
      <c r="MZ21" s="263" t="str">
        <f>IF(modelloAUTO14=$B$2,altezza14+VLOOKUP($B$2,tabMODELLI,colCOEFFdellaALTnelFIANCOpolistirolo,FALSE),"")</f>
        <v/>
      </c>
      <c r="NB21" s="266" t="str">
        <f>IF(modelloAUTO14=$B$2,IF(VLOOKUP($B$2,tabMODELLI,COLcoeffAUMoCALOinLARGprofiloAu,FALSE)="","",pezzi14*UNO),"")</f>
        <v/>
      </c>
      <c r="NC21" s="216" t="str">
        <f>IF(modelloAUTO14=$B$2,IF(VLOOKUP($B$2,tabMODELLI,COLcoeffAUMoCALOinLARGprofiloAu,FALSE)="","",larghezza14+VLOOKUP($B$2,tabMODELLI,COLcoeffAUMoCALOinLARGprofiloAu,FALSE)),"")</f>
        <v/>
      </c>
      <c r="ND21" s="191" t="str">
        <f>IF(modelloAUTO14=$B$2,IF(VLOOKUP($B$2,tabMODELLI,COLcoeffAUMoCALOinLARGprofiloAu,FALSE)="","",VLOOKUP($B$2,tabMODELLI,COLdimstdSTRISCIAdelFIANCOxALT1polistirolo,FALSE)),"")</f>
        <v/>
      </c>
      <c r="NI21" s="168">
        <v>14</v>
      </c>
      <c r="NJ21" s="171" t="str">
        <f>IF(pezzi14="","",pezzi14)</f>
        <v/>
      </c>
      <c r="NK21" s="170" t="str">
        <f>IF(modelloAUTO14="","",modelloAUTO14)</f>
        <v/>
      </c>
      <c r="NL21" s="172" t="str">
        <f>IF(larghezza14="","",LARGortogonalitaADEGUATA14)</f>
        <v/>
      </c>
      <c r="NM21" s="173" t="str">
        <f>IF(altezza14="","",altezza14)</f>
        <v/>
      </c>
      <c r="NO21" s="189" t="str">
        <f>IF(PesoTEORICOparatia14="","",PesoTEORICOparatia14)</f>
        <v/>
      </c>
      <c r="NR21"/>
      <c r="NS21"/>
      <c r="NT21"/>
      <c r="NU21"/>
      <c r="NV21"/>
      <c r="NW21"/>
      <c r="NX21"/>
      <c r="NY21"/>
      <c r="NZ21"/>
      <c r="OA21"/>
      <c r="OB21"/>
      <c r="OC21"/>
      <c r="OD21"/>
      <c r="OE21"/>
    </row>
    <row r="22" spans="1:404" s="150" customFormat="1" ht="38" thickBot="1">
      <c r="A22" s="168">
        <v>15</v>
      </c>
      <c r="B22" s="169" t="str">
        <f>IF(stanza9="","",stanza9)</f>
        <v/>
      </c>
      <c r="C22" s="170" t="str">
        <f>IF(modelloAUTO15="","",modelloAUTO15)</f>
        <v/>
      </c>
      <c r="D22" s="171" t="str">
        <f>IF(pezzi15="","",pezzi15)</f>
        <v/>
      </c>
      <c r="E22" s="172" t="str">
        <f>IF(larghezza15="","",LARGortogonalitaADEGUATA15)</f>
        <v/>
      </c>
      <c r="F22" s="173" t="str">
        <f>IF(altezza15="","",altezza15)</f>
        <v/>
      </c>
      <c r="G22" s="174" t="str">
        <f t="shared" si="0"/>
        <v/>
      </c>
      <c r="H22" s="175" t="str">
        <f>IF(LATOcomAUTO15="","",LATOcomAUTO15)</f>
        <v/>
      </c>
      <c r="I22" s="176" t="str">
        <f>IF(modelloAUTO15="","",IF(vernBarriera15="","",vernBarriera15))</f>
        <v/>
      </c>
      <c r="J22" s="177" t="str">
        <f>IF(modelloAUTO15=$B$2,IF(PELLICOLA15="","",pezzi15),"")</f>
        <v/>
      </c>
      <c r="K22" s="178" t="str">
        <f t="shared" si="1"/>
        <v/>
      </c>
      <c r="M22" s="179" t="str">
        <f>IF(modelloAUTO15=$B$2,IF(PROFlatAUTO15="ESCLUSI","",IF(PROFlatRICH15="","STD",PROFlatRICH15)),"")</f>
        <v/>
      </c>
      <c r="N22" s="180" t="str">
        <f>IF(AND(modelloAUTO15=$B$2,COPERTINAauto15&lt;&gt;""),TIPOcopertina15,"")</f>
        <v/>
      </c>
      <c r="O22" s="181" t="str">
        <f>IF(AND(modelloAUTO15=$B$2,PROFlatAUTO15&lt;&gt;"ESCLUSI"),IF(AND(COPERTINAauto15&lt;&gt;"",ALTprofLATrich15=""),"STD",ALTprofLATrich15*DIECI),"")</f>
        <v/>
      </c>
      <c r="P22" s="176" t="str">
        <f>IF(modelloAUTO15="","",IF(vernPROFlatTEN15="","",vernPROFlatTEN15))</f>
        <v/>
      </c>
      <c r="R22" s="176" t="str">
        <f>IF(PROFoTUBsxRICH15="","",PROFoTUBsxRICH15)</f>
        <v/>
      </c>
      <c r="S22" s="182"/>
      <c r="T22" s="176" t="str">
        <f>IF(modelloAUTO15="","",IF(PROFoTUBdxRICH15="","",PROFoTUBdxRICH15))</f>
        <v/>
      </c>
      <c r="U22" s="182"/>
      <c r="V22" s="183" t="str">
        <f>IF(modelloAUTO15="","",IF(PROFoTUBsxRICH15="","",IF(ALTprofOtubRICHsx15="","SX: STD","SX: "&amp;ALTprofOtubRICHsx15&amp;" - "))&amp;IF(PROFoTUBdxRICH15="","",IF(ALTprofOtubRICHdx15="","  DX: STD","DX :"&amp;ALTprofOtubRICHdx15)))</f>
        <v/>
      </c>
      <c r="W22" s="184" t="str">
        <f>IF(modello15="","",IF(vernPROFoTUBlatSX15="","","SX: "&amp;vernPROFoTUBlatSX15&amp;" - ")&amp;IF(vernPROFoTUBlatDX15="",""," DX: "&amp;vernPROFoTUBlatDX15))</f>
        <v/>
      </c>
      <c r="Y22" s="185" t="str">
        <f>IF(modelloAUTO15="","",IF(OR(larghezza15="",profORIZZ15=""),"",CODpiattoORIZZsugg15))</f>
        <v/>
      </c>
      <c r="Z22" s="186" t="str">
        <f>IF(modelloAUTO15="","",IF(profORIZZ15="","",larghezza15+IF(PROFoTUBsxRICH15="",0,VLOOKUP(PROFoTUBsxRICH15,TABprofOtubLATERALI,COLlargPROFoTUBlat,FALSE))+IF(PROFoTUBdxRICH15="",0,VLOOKUP(PROFoTUBdxRICH15,TABprofOtubLATERALI,COLlargPROFoTUBlat,FALSE))))</f>
        <v/>
      </c>
      <c r="AB22" s="187" t="str">
        <f>IF(modelloAUTO15="","",IF(CODpiantCENTRsugg15="","","N° "&amp;fornPIANTcentr15&amp;"-"&amp;IF(CODpiantCENTRsugg15=0,"ERRORE",CODpiantCENTRsugg15)))</f>
        <v/>
      </c>
      <c r="AC22" s="187" t="str">
        <f>IF(modelloAUTO15="","",IF(CODpiantCENTRsuggAPPOG15="","","N° "&amp;CODpiantCENTRdiAPPOGGIOrich15&amp;"-"&amp;IF(CODpiantCENTRsuggAPPOG15=0,"ERRORE",CODpiantCENTRsuggAPPOG15)))</f>
        <v/>
      </c>
      <c r="AE22" s="188" t="str">
        <f>IF(modelloAUTO15="","",IF(note_cliente15="","",note_cliente15))</f>
        <v/>
      </c>
      <c r="AF22" s="189" t="str">
        <f>IF(PesoTEORICOparatia15="","",PesoTEORICOparatia15)</f>
        <v/>
      </c>
      <c r="AG22" s="190">
        <v>15</v>
      </c>
      <c r="AI22" s="191" t="str">
        <f>IF(modelloAUTO15=$B$2,pezzi15*UNO,"")</f>
        <v/>
      </c>
      <c r="AJ22" s="192" t="str">
        <f>IF(modelloAUTO15=$B$2,larghezza15,"")</f>
        <v/>
      </c>
      <c r="AK22" s="193" t="str">
        <f>IF(modelloAUTO15=$B$2,altezza15,"")</f>
        <v/>
      </c>
      <c r="AL22" s="174" t="str">
        <f t="shared" si="2"/>
        <v/>
      </c>
      <c r="AM22" s="173" t="str">
        <f t="shared" si="3"/>
        <v>DX (di serie)</v>
      </c>
      <c r="AN22" s="194"/>
      <c r="AO22"/>
      <c r="AP22" s="195" t="str">
        <f>IF(modelloAUTO15=$B$2,IF(PROFlatRICH15="",pezzi15*DUE*VLOOKUP($B$2,tabMODELLI,COLprofiliLATdiserie,FALSE),pezzi15*DUE),"")</f>
        <v/>
      </c>
      <c r="AQ22" s="179" t="str">
        <f>IF(modelloAUTO15=$B$2,IF(PROFlatAUTO15="ESCLUSI","",IF(PROFlatRICH15="","STD",PROFlatRICH15)),"")</f>
        <v/>
      </c>
      <c r="AR22" s="196" t="str">
        <f>IF(AND(modelloAUTO15=$B$2,PROFlatAUTO15&lt;&gt;"ESCLUSI"),IF(ALTprofLATrich15="","STD",ALTprofLATrich15*DIECI),"")</f>
        <v/>
      </c>
      <c r="AT22" s="272" t="str">
        <f>IF(modelloAUTO15=$B$2,IF(TIPOcopertina15="","",TIPOcopertina15),"")</f>
        <v/>
      </c>
      <c r="AV22" s="198" t="str">
        <f>IF(modelloAUTO15=$B$2,IF(vernBarriera15="","STD",vernBarriera15),"")</f>
        <v/>
      </c>
      <c r="AX22" s="171" t="str">
        <f>IF(modelloAUTO15=$B$2,IF(PROFoTUBsxRICH15="","",pezzi15),"")</f>
        <v/>
      </c>
      <c r="AY22" s="278" t="str">
        <f>IF(modelloAUTO15=$B$2,IF(PROFoTUBsxRICH15="","",PROFoTUBsxRICH15),"")</f>
        <v/>
      </c>
      <c r="AZ22" s="200" t="str">
        <f>IF(AND(modelloAUTO15=$B$2,PROFoTUBsxRICH15&lt;&gt;""),IF(ALTprofOtubRICHsx15="","STD",ALTprofOtubRICHsx15),"")</f>
        <v/>
      </c>
      <c r="BB22" s="201" t="str">
        <f>IF(modelloAUTO15=$B$2,IF(PROFoTUBsxRICH15="","",IF(vernPROFoTUBlatSX15="","STD",vernPROFoTUBlatSX15)),"")</f>
        <v/>
      </c>
      <c r="BD22" s="171" t="str">
        <f>IF(modelloAUTO15=$B$2,IF(PROFoTUBdxRICH15="","",pezzi15),"")</f>
        <v/>
      </c>
      <c r="BE22" s="279" t="str">
        <f>IF(modelloAUTO15=$B$2,IF(PROFoTUBdxRICH15="","",PROFoTUBdxRICH15),"")</f>
        <v/>
      </c>
      <c r="BF22" s="200" t="str">
        <f>IF(AND(modelloAUTO15=$B$2,PROFoTUBdxRICH15&lt;&gt;""),IF(ALTprofOtubRICHdx15="","STD",ALTprofOtubRICHdx15),"")</f>
        <v/>
      </c>
      <c r="BH22" s="203" t="str">
        <f>IF(modelloAUTO15=$B$2,IF(PROFoTUBdxRICH15="","",IF(vernPROFoTUBlatDX15="","STD",vernPROFoTUBlatDX15)),"")</f>
        <v/>
      </c>
      <c r="BJ22" s="204" t="str">
        <f>IF(modelloAUTO15=$B$2,IF(profORIZZ15="","",pezzi15),"")</f>
        <v/>
      </c>
      <c r="BK22" s="205" t="str">
        <f>IF(modelloAUTO15=$B$2,IF(profORIZZ15="","",CODpiattoORIZZsugg15),"")</f>
        <v/>
      </c>
      <c r="BL22" s="206" t="str">
        <f>IF(modelloAUTO15=$B$2,IF(profORIZZ15="","",larghezza15*UNO+IF(PROFoTUBsxRICH15="",ZERO,VLOOKUP(PROFoTUBsxRICH15,TABprofOtubLATERALI,COLlargPROFoTUBlat,FALSE))+IF(PROFoTUBdxRICH15="",ZERO,VLOOKUP(PROFoTUBdxRICH15,TABprofOtubLATERALI,COLlargPROFoTUBlat,FALSE))),"")</f>
        <v/>
      </c>
      <c r="BN22" s="207" t="str">
        <f ca="1">IF(modelloAUTO15=$B$2,INDEX(INDIRECT("TABnCHIAVISTELLOvert"&amp;$B$2),rif_alt15,rif_larg15)*pezzi15,"")</f>
        <v/>
      </c>
      <c r="BO22"/>
      <c r="BP22" s="178" t="str">
        <f t="shared" si="4"/>
        <v/>
      </c>
      <c r="BQ22" s="208" t="str">
        <f ca="1">IF(modelloAUTO15=$B$2,INDEX(INDIRECT("TABnMANIGLIEsuperiori"&amp;$B$2),rif_alt15,rif_larg15)+INDEX(INDIRECT("TABnMANIGLIEfrontali"&amp;$B$2),rif_alt15,rif_larg15),"")</f>
        <v/>
      </c>
      <c r="BR22" s="191" t="str">
        <f>IF(modelloAUTO15=$B$2,pezzi15*DUE,"")</f>
        <v/>
      </c>
      <c r="BS22" s="209" t="str">
        <f>IF(modelloAUTO15=$B$2,BQ22*DUE,"")</f>
        <v/>
      </c>
      <c r="BT22" s="209" t="str">
        <f>IF(modelloAUTO15=$B$2,BR22*TRE,"")</f>
        <v/>
      </c>
      <c r="BU22" s="191" t="str">
        <f>IF(modelloAUTO15=$B$2,pezzi15*DUE,"")</f>
        <v/>
      </c>
      <c r="BV22" s="191" t="str">
        <f>IF(modelloAUTO15=$B$2,pezzi15*DUE,"")</f>
        <v/>
      </c>
      <c r="BW22" s="191" t="str">
        <f>IF(modelloAUTO15=$B$2,pezzi15*DUE,"")</f>
        <v/>
      </c>
      <c r="BX22" s="191" t="str">
        <f>IF(modelloAUTO15=$B$2,pezzi15*DUE,"")</f>
        <v/>
      </c>
      <c r="BY22" s="191" t="str">
        <f>IF(modelloAUTO15=$B$2,pezzi15*DUE,"")</f>
        <v/>
      </c>
      <c r="CA22" s="282" t="str">
        <f>IF(modelloAUTO15=$B$2,IF(fornPIANTcentr15="","",fornPIANTcentr15*pezzi15),"")</f>
        <v/>
      </c>
      <c r="CB22" s="282" t="str">
        <f>IF(modelloAUTO15=$B$2,IF(fornPIANTcentr15="","",CODpiantCENTRsugg15),"")</f>
        <v/>
      </c>
      <c r="CD22" s="210" t="str">
        <f>IF(modelloAUTO15=$B$2,IF(CODpiantCENTRsuggAPPOG15="","",CODpiantCENTRdiAPPOGGIOrich15),"")</f>
        <v/>
      </c>
      <c r="CE22" s="210" t="str">
        <f>IF(modelloAUTO15=$B$2,IF(CODpiantCENTRsuggAPPOG15="","",CODpiantCENTRsuggAPPOG15),"")</f>
        <v/>
      </c>
      <c r="CG22" s="273">
        <v>15</v>
      </c>
      <c r="CI22" s="211" t="str">
        <f>IF(modelloAUTO15=$B$2,altezza15*DIECI/FLOOR(VLOOKUP($B$2,tabMODELLI,COLcoefALTdogaSORMONTATAda200,FALSE),UNO)*pezzi15,"")</f>
        <v/>
      </c>
      <c r="CJ22" s="212" t="str">
        <f>IF(modelloAUTO15=$B$2,larghezza15*DIECI-VLOOKUP($B$2,tabMODELLI,COLcoeffTAGLIOdogaOPPURElastraINlarg,FALSE)-VLOOKUP(PROFlatAUTO15,TABprofLATten,COLcoeffCALOdoga,FALSE),"")</f>
        <v/>
      </c>
      <c r="CK22"/>
      <c r="CL22" s="213" t="str">
        <f>IF(modelloAUTO15=$B$2,(altezza15*DIECI/FLOOR(VLOOKUP($B$2,tabMODELLI,COLcoefALTdogaSORMONTATAda200,FALSE),CENTO)-FLOOR(altezza15*DIECI/FLOOR(VLOOKUP($B$2,tabMODELLI,COLcoefALTdogaSORMONTATAda200,FALSE),CENTO),UNO))*pezzi15,"")</f>
        <v/>
      </c>
      <c r="CM22" s="214" t="str">
        <f>IF(modelloAUTO15=$B$2,(((altezza15*DIECI-VLOOKUP($B$2,tabMODELLI,COLcoeffCALOtaglioPANNELLObarrieraMONOLITICOoASSEMBLATOInALT,FALSE))/VLOOKUP($B$2,tabMODELLI,colALTnominaleDOGAmm,FALSE)-(FLOOR(altezza15*DIECI/FLOOR(VLOOKUP($B$2,tabMODELLI,COLcoefALTdogaSORMONTATAda200,FALSE),CENTO),UNO)))*(VLOOKUP($B$2,tabMODELLI,colALTnominaleDOGAmm,FALSE))),"")</f>
        <v/>
      </c>
      <c r="CN22" s="203" t="str">
        <f>IF(modelloAUTO15=$B$2,IF(vernBarriera15="","STD",vernBarriera15),"")</f>
        <v/>
      </c>
      <c r="CO22" s="174" t="str">
        <f t="shared" si="5"/>
        <v/>
      </c>
      <c r="CP22" s="215" t="str">
        <f>IF(modelloAUTO15=$B$2,LATOcomAUTO15,"")</f>
        <v/>
      </c>
      <c r="CQ22"/>
      <c r="CR22" s="216" t="str">
        <f>IF(modelloAUTO15=$B$2,pezzi15*UNO,"")</f>
        <v/>
      </c>
      <c r="CS22" s="212" t="str">
        <f>IF(modelloAUTO15=$B$2,altezza15*DIECI+VLOOKUP($B$2,tabMODELLI,COLcoeffTAGLIOPROFILIlateraliEverticaliAttaccatiALLAbarriera,FALSE),"")</f>
        <v/>
      </c>
      <c r="CT22" s="217" t="str">
        <f>IF(modelloAUTO15=$B$2,"|90° 90°|","")</f>
        <v/>
      </c>
      <c r="CU22" s="218"/>
      <c r="CV22" s="219" t="str">
        <f>IF(modelloAUTO15=$B$2,pezzi15*DUE,"")</f>
        <v/>
      </c>
      <c r="CW22" s="220" t="str">
        <f>IF(modelloAUTO15=$B$2,larghezza15*DIECI-VLOOKUP($B$2,tabMODELLI,COLcoeffTAGLIOPROFILIlateraliEverticaliAttaccatiALLAbarriera,FALSE),"")</f>
        <v/>
      </c>
      <c r="CX22" s="217" t="str">
        <f t="shared" si="25"/>
        <v/>
      </c>
      <c r="CY22" s="221"/>
      <c r="CZ22" s="222" t="str">
        <f>IF(modelloAUTO15=$B$2,PROFlatAUTO15,"")</f>
        <v/>
      </c>
      <c r="DA22" s="223" t="str">
        <f>IF(modelloAUTO15=$B$2,pezzi15,"")</f>
        <v/>
      </c>
      <c r="DB22" s="217" t="str">
        <f>IF(modelloAUTO15=$B$2,altezza15*DIECI-VLOOKUP(PROFlatAUTO15,TABprofLATten,COLsfioroPROFtenLATrispettoALvano,FALSE),"")</f>
        <v/>
      </c>
      <c r="DC22" s="217" t="str">
        <f>IF(modelloAUTO15=$B$2,"|90° 45°/","")</f>
        <v/>
      </c>
      <c r="DD22" s="224"/>
      <c r="DE22" s="223" t="str">
        <f>IF(modelloAUTO15=$B$2,pezzi15,"")</f>
        <v/>
      </c>
      <c r="DF22" s="217" t="str">
        <f>IF(modelloAUTO15=$B$2,larghezza15*DIECI-(VLOOKUP(PROFlatAUTO15,TABprofLATten,COLsfioroPROFtenLATrispettoALvano,FALSE)*DUE),"")</f>
        <v/>
      </c>
      <c r="DG22" s="217" t="str">
        <f>IF(modelloAUTO15=$B$2,"\45° 90°|","")</f>
        <v/>
      </c>
      <c r="DH22" s="224"/>
      <c r="DI22" s="223" t="str">
        <f>IF(modelloAUTO15=$B$2,pezzi15,"")</f>
        <v/>
      </c>
      <c r="DJ22" s="217" t="str">
        <f>IF(modelloAUTO15=$B$2,altezza15*DIECI-VLOOKUP(PROFlatAUTO15,TABprofLATten,COLsfioroPROFtenLATrispettoALvano,FALSE),"")</f>
        <v/>
      </c>
      <c r="DK22" s="217" t="str">
        <f>IF(modelloAUTO15=$B$2,"\45° 45°/","")</f>
        <v/>
      </c>
      <c r="DL22" s="225"/>
      <c r="DM22" s="226" t="str">
        <f>IF(modelloAUTO15=$B$2,pezzi15,"")</f>
        <v/>
      </c>
      <c r="DN22" s="226" t="str">
        <f>IF(modelloAUTO15=$B$2,larghezza15*DIECI,"")</f>
        <v/>
      </c>
      <c r="DO22" s="227" t="str">
        <f>IF(modelloAUTO15=$B$2,"|90° 90°|","")</f>
        <v/>
      </c>
      <c r="DP22" s="221"/>
      <c r="DQ22" s="228" t="str">
        <f>IF(modelloAUTO15=$B$2,DIMprimoFOROdalPAVIMENTOperFISSAGGIOprofiloDItenutaLATERALE*DIECI,"")</f>
        <v/>
      </c>
      <c r="DR22" s="228" t="str">
        <f ca="1">IF(modelloAUTO15=$B$2,IF(VLOOKUP(altezza15,INDIRECT("tabNfissaggi"&amp;$B$2),INDIRECT("colNfiSsaggi"&amp;$B$2),TRUE)&lt;DR$6,"",(IF(VLOOKUP(altezza15,INDIRECT("tabNfissaggi"&amp;$B$2),INDIRECT("colNfiSsaggi"&amp;$B$2),FALSE)=DR$6,altezza15*DIECI-DIMprimoFOROdalPAVIMENTOperFISSAGGIOprofiloDItenutaLATERALE,DQ22+(((altezza15*DIECI-DIMprimoFOROdalPAVIMENTOperFISSAGGIOprofiloDItenutaLATERALE*DIECI*DUE))/(VLOOKUP((altezza15),INDIRECT("tabNfissaggi"&amp;$B$2),INDIRECT("colNfiSsaggi"&amp;$B$2),FALSE)-UNO))))),"")</f>
        <v/>
      </c>
      <c r="DS22" s="228" t="str">
        <f ca="1">IF(modelloAUTO15=$B$2,IF(VLOOKUP(altezza15,INDIRECT("tabNfissaggi"&amp;$B$2),INDIRECT("colNfiSsaggi"&amp;$B$2),TRUE)&lt;DS$6,"",(IF(VLOOKUP(altezza15,INDIRECT("tabNfissaggi"&amp;$B$2),INDIRECT("colNfiSsaggi"&amp;$B$2),FALSE)=DS$6,altezza15*DIECI-DIMprimoFOROdalPAVIMENTOperFISSAGGIOprofiloDItenutaLATERALE,DR22+(((altezza15*DIECI-DIMprimoFOROdalPAVIMENTOperFISSAGGIOprofiloDItenutaLATERALE*DIECI*DUE))/(VLOOKUP((altezza15),INDIRECT("tabNfissaggi"&amp;$B$2),INDIRECT("colNfiSsaggi"&amp;$B$2),FALSE)-UNO))))),"")</f>
        <v/>
      </c>
      <c r="DT22" s="228" t="str">
        <f ca="1">IF(modelloAUTO15=$B$2,IF(VLOOKUP(altezza15,INDIRECT("tabNfissaggi"&amp;$B$2),INDIRECT("colNfiSsaggi"&amp;$B$2),TRUE)&lt;DT$6,"",(IF(VLOOKUP(altezza15,INDIRECT("tabNfissaggi"&amp;$B$2),INDIRECT("colNfiSsaggi"&amp;$B$2),FALSE)=DT$6,altezza15*DIECI-DIMprimoFOROdalPAVIMENTOperFISSAGGIOprofiloDItenutaLATERALE,DS22+(((altezza15*DIECI-DIMprimoFOROdalPAVIMENTOperFISSAGGIOprofiloDItenutaLATERALE*DIECI*DUE))/(VLOOKUP((altezza15),INDIRECT("tabNfissaggi"&amp;$B$2),INDIRECT("colNfiSsaggi"&amp;$B$2),FALSE)-UNO))))),"")</f>
        <v/>
      </c>
      <c r="DU22" s="228" t="str">
        <f ca="1">IF(modelloAUTO15=$B$2,IF(VLOOKUP(altezza15,INDIRECT("tabNfissaggi"&amp;$B$2),INDIRECT("colNfiSsaggi"&amp;$B$2),TRUE)&lt;DU$6,"",(IF(VLOOKUP(altezza15,INDIRECT("tabNfissaggi"&amp;$B$2),INDIRECT("colNfiSsaggi"&amp;$B$2),FALSE)=DU$6,altezza15*DIECI-DIMprimoFOROdalPAVIMENTOperFISSAGGIOprofiloDItenutaLATERALE,DT22+(((altezza15*DIECI-DIMprimoFOROdalPAVIMENTOperFISSAGGIOprofiloDItenutaLATERALE*DIECI*DUE))/(VLOOKUP((altezza15),INDIRECT("tabNfissaggi"&amp;$B$2),INDIRECT("colNfiSsaggi"&amp;$B$2),FALSE)-UNO))))),"")</f>
        <v/>
      </c>
      <c r="DV22" s="221"/>
      <c r="DW22" s="229" t="str">
        <f>IF(modelloAUTO15=$B$2,(PRIMOforoNELLantaPARTENDOdaLBASSOclose-VLOOKUP($B$2,tabMODELLI,COLcoeffALTprofiloSogliaRimanenteSOTTOalTELAIOperimetrale,FALSE)),"")</f>
        <v/>
      </c>
      <c r="DX22" s="230" t="str">
        <f>IF(modelloAUTO15=$B$2,DW22+INTERASSSEforiANTAcernieraSAVIOmechanica,"")</f>
        <v/>
      </c>
      <c r="DY22" s="231" t="str">
        <f>IF(modelloAUTO15=$B$2,INDEX(TABforoBASSOcernieraNELLantaCONdogaCLICKRAPIDnellANTACONsavIOMECHANICA,UNO,MATCH(((CJ22)/DUE),TABforoBASSOcernieraNELLantaCONdogaCLICKRAPIDnellANTACONsavIOMECHANICA,UNO)),"")</f>
        <v/>
      </c>
      <c r="DZ22" s="232" t="str">
        <f>IF(modelloAUTO15=$B$2,DY22+INTERASSSEforiANTAcernieraSAVIOmechanica,"")</f>
        <v/>
      </c>
      <c r="EA22" s="231" t="str">
        <f>IF(modelloAUTO15=$B$2,INDEX(TABforoBASSOcernieraNELLantaCONdogaCLICKRAPIDnellANTACONsavIOMECHANICA,UNO,MATCH((CJ22-ALTEZZAcerNIERAcomMPOSTAdalle2aliMECHANICA-altezzaALAcanalinoDA35X35X2),TABforoBASSOcernieraNELLantaCONdogaCLICKRAPIDnellANTACONsavIOMECHANICA,UNO)),"")</f>
        <v/>
      </c>
      <c r="EB22" s="232" t="str">
        <f>IF(modelloAUTO15=$B$2,EA22+INTERASSSEforiANTAcernieraSAVIOmechanica,"")</f>
        <v/>
      </c>
      <c r="EC22" s="233"/>
      <c r="ED22" s="234" t="str">
        <f>IF(modelloAUTO15=$B$2,"a: "&amp;DW22+INTERASSSEforiANTAcernieraSAVIOmechanica/DUE,"")</f>
        <v/>
      </c>
      <c r="EE22" s="234" t="str">
        <f>IF(modelloAUTO15=$B$2,"a: "&amp;DY22+INTERASSSEforiANTAcernieraSAVIOmechanica/DUE,"")</f>
        <v/>
      </c>
      <c r="EF22" s="234" t="str">
        <f>IF(modelloAUTO15=$B$2,"a: "&amp;EA22+INTERASSSEforiANTAcernieraSAVIOmechanica/DUE,"")</f>
        <v/>
      </c>
      <c r="EG22"/>
      <c r="EH22" s="235" t="str">
        <f>IF(modelloAUTO15=$B$2,pezzi15,"")</f>
        <v/>
      </c>
      <c r="EI22" s="235" t="str">
        <f>IF(modelloAUTO15=$B$2,INTERASSEforoPERnottolinoDIcomandoMANIGLIAdiCHIUSURAaLEVAclose,"")</f>
        <v/>
      </c>
      <c r="EJ22" s="236" t="str">
        <f>IF(modelloAUTO15=$B$2,ALTCentroNOTTOLINOpartendoDALbassodellaDOGA,"")</f>
        <v/>
      </c>
      <c r="EK22" s="281"/>
      <c r="EL22" s="216" t="str">
        <f>IF(modelloAUTO15=$B$2,pezzi15*UNO,"")</f>
        <v/>
      </c>
      <c r="EM22" s="212" t="str">
        <f>IF(modelloAUTO15=$B$2,altezza15*DIECI+VLOOKUP($B$2,tabMODELLI,COLcoeffTAGLIOPROFILOdiAGGANCIOsistemaMODERNA,FALSE),"")</f>
        <v/>
      </c>
      <c r="EN22"/>
      <c r="EO22" s="216" t="str">
        <f>IF(modelloAUTO15=$B$2,pezzi15*UNO,"")</f>
        <v/>
      </c>
      <c r="EP22" s="212" t="str">
        <f>IF(modelloAUTO15=$B$2,altezza15*DIECI+VLOOKUP($B$2,tabMODELLI,COLcoeffTAGLIOPROFILOdiAGGANCIOsistemaMODERNA,FALSE),"")</f>
        <v/>
      </c>
      <c r="EQ22"/>
      <c r="ER22" s="216" t="str">
        <f>IF(modelloAUTO15=$B$2,pezzi15*UNO,"")</f>
        <v/>
      </c>
      <c r="ES22" s="212" t="str">
        <f>IF(modelloAUTO15=$B$2,altezza15*DIECI+VLOOKUP($B$2,tabMODELLI,COLcoeffTAGLIOPROFILIlateraliEverticaliAttaccatiALLAbarriera,FALSE),"")</f>
        <v/>
      </c>
      <c r="ET22" s="218"/>
      <c r="EU22" s="191" t="str">
        <f>IF(modelloAUTO15=$B$2,IF(PROFlatRICH15="",pezzi15*DUE*VLOOKUP($B$2,tabMODELLI,COLprofiliLATdiserie,FALSE),pezzi15*DUE),"")</f>
        <v/>
      </c>
      <c r="EV22" s="179" t="str">
        <f>IF(modelloAUTO15=$B$2,IF(PROFlatRICH15="","STD",PROFlatRICH15),"")</f>
        <v/>
      </c>
      <c r="EW22" s="275" t="str">
        <f>IF(modelloAUTO15=$B$2,IF(TIPOcopertina15="","",TIPOcopertina15),"")</f>
        <v/>
      </c>
      <c r="EX22" s="238" t="str">
        <f>IF(modelloAUTO15=$B$2,VLOOKUP($B$2,tabMODELLI,COLcoeffALTguarnINFERIOREschiacciata,FALSE)+(VLOOKUP($B$2,tabMODELLI,COLcoefALTdogaREALEda200,FALSE)+(VLOOKUP($B$2,tabMODELLI,COLcoefALTdogaSORMONTATAda200,FALSE)*(CEILING(altezza15*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22" s="218"/>
      <c r="EZ22" s="276" t="str">
        <f ca="1">IF(OR(modelloAUTO15=$B$2,modelloAUTO15=CLICK_RAPIDxPRIVATO),INDEX(INDIRECT("TABnCHIAVISTELLOvert"&amp;$B$2),rif_alt15,rif_larg15)*pezzi15,"")</f>
        <v/>
      </c>
      <c r="FA22" s="240" t="str">
        <f>IF(modelloAUTO15=$B$2,IF(AND(nCatenacci15&lt;&gt;"",profORIZZ15&lt;&gt;""),spessoreCATENACCIOverticale60X155X300,""),"")</f>
        <v/>
      </c>
      <c r="FB22" s="277" t="str">
        <f ca="1">IF(OR(nCatenacci15=0,nCatenacci15="",),"",(CJ22+QUATTRO-(IF(nCatenacci15="",ZERO,SESSANTA*(nCatenacci15/PZCLICK_RAPID15))))/((nCatenacci15/PZCLICK_RAPID15)+UNO))</f>
        <v/>
      </c>
      <c r="FD22" s="242" t="str">
        <f ca="1">IF(modelloAUTO15=$B$2,INDEX(INDIRECT("TABnMANIGLIEsuperiori"&amp;$B$2),rif_alt15,rif_larg15),"")</f>
        <v/>
      </c>
      <c r="FE22" s="243" t="str">
        <f ca="1">IF(modelloAUTO15=$B$2,(larghezza15-CATENACCIOLOorizzontaleINGOMBROclick_rapid-DUE)/INDEX(INDIRECT("TABnMANIGLIEsuperiori"&amp;$B$2),rif_alt15,rif_larg15),"")</f>
        <v/>
      </c>
      <c r="FG22" s="244" t="str">
        <f ca="1">IF(modelloAUTO15=$B$2,INDEX(INDIRECT("TABnMANIGLIEfrontali"&amp;$B$2),rif_alt15,rif_larg15),"")</f>
        <v/>
      </c>
      <c r="FH22"/>
      <c r="FI22" s="245">
        <f>((larghezza15*DIECI-COEFFlargCOMPLESSIVAdelKITcerniere_GANCIOassemblato))</f>
        <v>-261</v>
      </c>
      <c r="FJ22" s="245">
        <f t="shared" si="17"/>
        <v>19.453363192402126</v>
      </c>
      <c r="FK22" s="245">
        <f t="shared" si="18"/>
        <v>0.4001326</v>
      </c>
      <c r="FL22" s="246">
        <f>(altezza15+TREDICI/DIECI)/CENTO*(CERNIERA_TUBOLARE_MODERNA+CERNIERA_APERTA_MODERNA+UNCINO)+(altezza15/(VLOOKUP($B$2,tabMODELLI,COLcoefALTdogaSORMONTATAda200,FALSE)/DIECI)*COEFFdogaINSERITAnellaCERNIERAaertaFINOallaFINEdelGANCIO*VLOOKUP($B$2,tabMODELLI,COLpesoALKGmlDOGA,FALSE))</f>
        <v>9.6758999999999998E-2</v>
      </c>
      <c r="FM22" s="247"/>
      <c r="FN22" s="247">
        <f>altezza15/(VLOOKUP($B$2,tabMODELLI,COLcoefALTdogaSORMONTATAda200,FALSE)/DIECI)*((((larghezza15-(COEFFlargCOMPLESSIVAdelKITcerniere_GANCIOassemblato/DIECI))/CENTO)*VLOOKUP($B$2,tabMODELLI,COLpesoALKGmlDOGA,FALSE)))</f>
        <v>0</v>
      </c>
      <c r="FO22" s="247">
        <f>larghezza15/CENTO*PESOguarnORIZZmodernaKG\ML</f>
        <v>0</v>
      </c>
      <c r="FP22" s="247">
        <f>(altezza15/(VLOOKUP($B$2,tabMODELLI,COLcoefALTdogaSORMONTATAda200,FALSE)/DIECI)-UNO)*((((larghezza15-(COEFFlargCOMPLESSIVAdelKITcerniere_GANCIOassemblato/DIECI))/CENTO)*pesoALmlDOPPIAsiliconaturaINunaDOGA))</f>
        <v>0.1827</v>
      </c>
      <c r="FQ22" s="247">
        <f>(altezza15/CENTO*H_MODERNA)</f>
        <v>0</v>
      </c>
      <c r="FR22" s="248">
        <f t="shared" si="21"/>
        <v>0.33979579999999998</v>
      </c>
      <c r="FS22" s="248">
        <f t="shared" si="22"/>
        <v>-7.2599999999999998E-2</v>
      </c>
      <c r="FT22" s="249">
        <f t="shared" si="26"/>
        <v>-4.2183908045977011E-4</v>
      </c>
      <c r="FU22" s="249">
        <f t="shared" si="27"/>
        <v>0.1101</v>
      </c>
      <c r="FV22" s="249">
        <f t="shared" si="28"/>
        <v>-0.22969579999999998</v>
      </c>
      <c r="FW22" s="249">
        <f t="shared" si="23"/>
        <v>9.689466505747125E-5</v>
      </c>
      <c r="FX22" s="246">
        <f t="shared" si="29"/>
        <v>0.33979579999999998</v>
      </c>
      <c r="FY22" s="250">
        <f t="shared" si="24"/>
        <v>-824.51038266936757</v>
      </c>
      <c r="FZ22"/>
      <c r="GA22" s="251"/>
      <c r="GB22" s="251"/>
      <c r="GC22" s="251"/>
      <c r="GD22" s="251"/>
      <c r="GE22" s="251"/>
      <c r="GF22" s="251"/>
      <c r="GG22" s="251"/>
      <c r="GI22" s="252" t="str">
        <f>IF(modelloAUTO15=$B$2,IF(PROFlatRICH15="",pezzi15*UNO*VLOOKUP($B$2,tabMODELLI,COLnMANIGLIAasportabile,FALSE),pezzi15*UNO),"")</f>
        <v/>
      </c>
      <c r="GJ22" s="252" t="str">
        <f>IF(modelloAUTO15=$B$2,pezzi15*DUE,"")</f>
        <v/>
      </c>
      <c r="GK22" s="252" t="str">
        <f>IF(modelloAUTO15=$B$2,pezzi15*UNO,"")</f>
        <v/>
      </c>
      <c r="GL22" s="253" t="str">
        <f>IF(modelloAUTO15=$B$2,IF(SYSTEMantiFURTO15&lt;&gt;"",VLOOKUP($B$2,TABsistemaANTIFURTO,COLusoVITEdISERIE,FALSE),pezzi15),"")</f>
        <v/>
      </c>
      <c r="GM22" s="252" t="str">
        <f>IF(modelloAUTO15=$B$2,pezzi15*UNO,"")</f>
        <v/>
      </c>
      <c r="GN22" s="252" t="str">
        <f>IF(modelloAUTO15=$B$2,NmaniglieDItrasporto15*DUE,"")</f>
        <v/>
      </c>
      <c r="GO22" s="254" t="str">
        <f>IF(modelloAUTO15=$B$2,pezzi15*QUINDICI,"")</f>
        <v/>
      </c>
      <c r="GP22" s="254" t="str">
        <f>IF(modelloAUTO15=$B$2,pezzi15*DUE,"")</f>
        <v/>
      </c>
      <c r="GQ22" s="254" t="str">
        <f>IF(modelloAUTO15=$B$2,pezzi15*DUE,"")</f>
        <v/>
      </c>
      <c r="GR22" s="254" t="str">
        <f>IF(modelloAUTO15=$B$2,pezzi15*UNO,"")</f>
        <v/>
      </c>
      <c r="GS22" s="254" t="str">
        <f>IF(modelloAUTO15=$B$2,pezzi15*DUE,"")</f>
        <v/>
      </c>
      <c r="GT22" s="254" t="str">
        <f>IF(modelloAUTO15=$B$2,pezzi15*DUE,"")</f>
        <v/>
      </c>
      <c r="GU22" s="254" t="str">
        <f>IF(modelloAUTO15=$B$2,pezzi15*DUE,"")</f>
        <v/>
      </c>
      <c r="GV22" s="254" t="str">
        <f>IF(modelloAUTO15=$B$2,pezzi15*DUE,"")</f>
        <v/>
      </c>
      <c r="GW22" s="251"/>
      <c r="GX22" s="251"/>
      <c r="GY22" s="251"/>
      <c r="GZ22" s="251"/>
      <c r="HA22" s="251"/>
      <c r="HB22" s="251"/>
      <c r="HC22" s="251"/>
      <c r="HD22" s="251"/>
      <c r="HE22" s="251"/>
      <c r="HF22" s="251"/>
      <c r="HG22" s="251"/>
      <c r="HH22" s="251"/>
      <c r="HI22" s="251"/>
      <c r="HJ22" s="251"/>
      <c r="HK22" s="251"/>
      <c r="HL22" s="251"/>
      <c r="HN22" s="191" t="str">
        <f>IF(modelloAUTO15=$B$2,IF(PROFlatRICH15="",pezzi15*VLOOKUP($B$2,tabMODELLI,COLnGUARNorizzINFERIOREbarriera,FALSE),pezzi15),"")</f>
        <v/>
      </c>
      <c r="HO22" s="193" t="str">
        <f>IF(modelloAUTO15=$B$2,IF(VLOOKUP($B$2,tabMODELLI,COLnGUARNorizzINFERIOREbarriera,FALSE)="","",larghezza15),"")</f>
        <v/>
      </c>
      <c r="HQ22" s="191" t="str">
        <f>IF(modelloAUTO15=$B$2,IF(PROFlatRICH15="",pezzi15*DUE*VLOOKUP($B$2,tabMODELLI,COLnGUARNorizzINTERMEDIEbarriera,FALSE),pezzi15*DUE),"")</f>
        <v/>
      </c>
      <c r="HR22" s="193" t="str">
        <f>IF(modelloAUTO15=$B$2,IF(VLOOKUP($B$2,tabMODELLI,COLnGUARNorizzINTERMEDIEbarriera,FALSE)="","",larghezza15),"")</f>
        <v/>
      </c>
      <c r="HT22" s="191" t="str">
        <f>IF(modelloAUTO15=$B$2,IF(PROFlatRICH15="",pezzi15*UNO*VLOOKUP($B$2,tabMODELLI,COLnGUARNvertBARRIERA,FALSE),pezzi15*UNO),"")</f>
        <v/>
      </c>
      <c r="HU22" s="193" t="str">
        <f>IF(modelloAUTO15=$B$2,IF(VLOOKUP($B$2,tabMODELLI,COLnGUARNvertBARRIERA,FALSE)="","",altezza15),"")</f>
        <v/>
      </c>
      <c r="HV22"/>
      <c r="HW22" s="191" t="str">
        <f>IF(modelloAUTO15=$B$2,IF(PROFlatRICH15="",pezzi15*VLOOKUP($B$2,tabMODELLI,COLnTAPPIdiGIUNZIONEguarnORIZZconVERT,FALSE),pezzi15),"")</f>
        <v/>
      </c>
      <c r="HX22"/>
      <c r="HY22" s="191" t="str">
        <f>IF(modelloAUTO15=$B$2,IF(PROFlatRICH15="",pezzi15*VLOOKUP($B$2,tabMODELLI,COLnGUARNorizzPROFILOdiTENUTAlaterale,FALSE),pezzi15),"")</f>
        <v/>
      </c>
      <c r="HZ22" s="193" t="str">
        <f>IF(modelloAUTO15=$B$2,IF(VLOOKUP($B$2,tabMODELLI,COLnGUARNorizzPROFILOdiTENUTAlaterale,FALSE)="","",altezza15),"")</f>
        <v/>
      </c>
      <c r="IA22"/>
      <c r="IB22" s="191" t="str">
        <f>IF(modelloAUTO15=$B$2,IF(PROFlatRICH15="",pezzi15*VLOOKUP($B$2,tabMODELLI,COLnGUARNvertPROFILOdiTENUTAlaterale,FALSE),pezzi15),"")</f>
        <v/>
      </c>
      <c r="IC22" s="193" t="str">
        <f>IF(modelloAUTO15=$B$2,IF(VLOOKUP($B$2,tabMODELLI,COLnGUARNvertPROFILOdiTENUTAlaterale,FALSE)="","",altezza15),"")</f>
        <v/>
      </c>
      <c r="ID22"/>
      <c r="IE22" s="191" t="str">
        <f>IF(modelloAUTO15=$B$2,IF(PROFlatRICH15="",pezzi15*VLOOKUP($B$2,tabMODELLI,COLnPROFILIinNYLON,FALSE),pezzi15),"")</f>
        <v/>
      </c>
      <c r="IF22" s="193" t="str">
        <f>IF(modelloAUTO15=$B$2,IF(VLOOKUP($B$2,tabMODELLI,COLnPROFILIinNYLON,FALSE)="","",altezza15),"")</f>
        <v/>
      </c>
      <c r="IH22" s="171" t="str">
        <f>IF(modelloAUTO15=$B$2,IF(PROFoTUBsxRICH15="","",pezzi15),"")</f>
        <v/>
      </c>
      <c r="II22" s="278" t="str">
        <f>IF(modelloAUTO15=$B$2,IF(PROFoTUBsxRICH15="","",PROFoTUBsxRICH15),"")</f>
        <v/>
      </c>
      <c r="IJ22" s="257" t="str">
        <f>IF(AND(modelloAUTO15=$B$2,PROFoTUBsxRICH15&lt;&gt;""),IF(ALTprofOtubRICHsx15="","STD",ALTprofOtubRICHsx15*DIECI),"")</f>
        <v/>
      </c>
      <c r="IL22" s="201" t="str">
        <f>IF(modelloAUTO15=$B$2,IF(PROFoTUBsxRICH15="","",IF(vernPROFoTUBlatSX15="","STD",vernPROFoTUBlatSX15)),"")</f>
        <v/>
      </c>
      <c r="IN22" s="171" t="str">
        <f>IF(modelloAUTO15=$B$2,IF(PROFoTUBdxRICH15="","",pezzi15),"")</f>
        <v/>
      </c>
      <c r="IO22" s="279" t="str">
        <f>IF(modelloAUTO15=$B$2,IF(PROFoTUBdxRICH15="","",PROFoTUBdxRICH15),"")</f>
        <v/>
      </c>
      <c r="IP22" s="257" t="str">
        <f>IF(AND(modelloAUTO15=$B$2,PROFoTUBdxRICH15&lt;&gt;""),IF(ALTprofOtubRICHdx15="","STD",ALTprofOtubRICHdx15*DIECI),"")</f>
        <v/>
      </c>
      <c r="IR22" s="203" t="str">
        <f>IF(modelloAUTO15=$B$2,IF(PROFoTUBdxRICH15="","",IF(vernPROFoTUBlatDX15="","STD",vernPROFoTUBlatDX15)),"")</f>
        <v/>
      </c>
      <c r="IT22" s="204" t="str">
        <f>IF(modelloAUTO15=$B$2,IF(profORIZZ15="","",pezzi15),"")</f>
        <v/>
      </c>
      <c r="IU22" s="205" t="str">
        <f>IF(modelloAUTO15=$B$2,IF(profORIZZ15="","",CODpiattoORIZZsugg15),"")</f>
        <v/>
      </c>
      <c r="IV22" s="206" t="str">
        <f>IF(modelloAUTO15=$B$2,IF(profORIZZ15="","",larghezza15*DIECI+IF(PROFoTUBsxRICH15="",ZERO,VLOOKUP(PROFoTUBsxRICH15,TABprofOtubLATERALI,COLlargPROFoTUBlat,FALSE))+IF(PROFoTUBdxRICH15="",ZERO,VLOOKUP(PROFoTUBdxRICH15,TABprofOtubLATERALI,COLlargPROFoTUBlat,FALSE))),"")</f>
        <v/>
      </c>
      <c r="IW22"/>
      <c r="IX22" s="168">
        <v>15</v>
      </c>
      <c r="IY22" s="258" t="str">
        <f>IF(AND(modelloAUTO15=$B$2,SYSTEMantiFURTO15&lt;&gt;""),VLOOKUP($B$2,TABsistemaANTIFURTO,COLlucchetto,FALSE),"")</f>
        <v/>
      </c>
      <c r="IZ22" s="258" t="str">
        <f>IF(AND(modelloAUTO15=$B$2,SYSTEMantiFURTO15&lt;&gt;""),VLOOKUP($B$2,TABsistemaANTIFURTO,COLaccessorioANTIFURTO2,FALSE),"")</f>
        <v/>
      </c>
      <c r="JA22" s="258" t="str">
        <f>IF(AND(modelloAUTO15=$B$2,SYSTEMantiFURTO15&lt;&gt;""),VLOOKUP($B$2,TABsistemaANTIFURTO,COLaccessorioANTIFURTO,FALSE),"")</f>
        <v/>
      </c>
      <c r="JB22" s="258" t="str">
        <f>IF(AND(modelloAUTO15=$B$2,SYSTEMantiFURTO15&lt;&gt;""),VLOOKUP($B$2,TABsistemaANTIFURTO,COLviteSPECIALExANTIFURTO,FALSE),"")</f>
        <v/>
      </c>
      <c r="JC22" s="258" t="str">
        <f>IF(AND(modelloAUTO15=$B$2,SYSTEMantiFURTO15&lt;&gt;""),VLOOKUP($B$2,TABsistemaANTIFURTO,COLlavorazioneXantifurto,FALSE),"")</f>
        <v/>
      </c>
      <c r="JD22"/>
      <c r="JE22"/>
      <c r="JF22"/>
      <c r="JG22"/>
      <c r="JH22"/>
      <c r="JI22"/>
      <c r="JJ22"/>
      <c r="JK22"/>
      <c r="JL22"/>
      <c r="JM22"/>
      <c r="JN22"/>
      <c r="JO22"/>
      <c r="JP22"/>
      <c r="JQ22"/>
      <c r="JR22"/>
      <c r="JS22"/>
      <c r="JT22"/>
      <c r="JU22"/>
      <c r="JV22"/>
      <c r="JW22"/>
      <c r="JX22" s="168">
        <v>15</v>
      </c>
      <c r="JY22" s="282" t="str">
        <f>IF(modelloAUTO15=$B$2,IF(fornPIANTcentr15="","",fornPIANTcentr15*pezzi15),"")</f>
        <v/>
      </c>
      <c r="JZ22" s="282" t="str">
        <f>IF(modelloAUTO15=$B$2,IF(fornPIANTcentr15="","",CODpiantCENTRsugg15),"")</f>
        <v/>
      </c>
      <c r="KB22" s="210" t="str">
        <f>IF(modelloAUTO15=$B$2,IF(CODpiantCENTRsuggAPPOG15="","",CODpiantCENTRdiAPPOGGIOrich15),"")</f>
        <v/>
      </c>
      <c r="KC22" s="210" t="str">
        <f>IF(modelloAUTO15=$B$2,IF(CODpiantCENTRsuggAPPOG15="","",CODpiantCENTRsuggAPPOG15),"")</f>
        <v/>
      </c>
      <c r="KP22" s="168">
        <v>15</v>
      </c>
      <c r="KQ22" s="259" t="str">
        <f>IF(AND(modelloAUTO15=$B$2,VLOOKUP($B$2,tabMODELLI,COLcoeffPOSSIBILITApellicolaADESIVA,FALSE)=UNO),IF(PELLICOLA15="","",pezzi15),"")</f>
        <v/>
      </c>
      <c r="KR22" s="236" t="str">
        <f>IF(AND(modelloAUTO15=$B$2,VLOOKUP($B$2,tabMODELLI,COLcoeffPOSSIBILITApellicolaADESIVA,FALSE)=UNO),IF(PELLICOLA15="","",larghezza15*DIECI-(VLOOKUP($B$2,tabMODELLI,COLcoeffPELLICOLAadesivaLARG,FALSE))),"")</f>
        <v/>
      </c>
      <c r="KS22" s="236" t="str">
        <f>IF(AND(modelloAUTO15=$B$2,VLOOKUP($B$2,tabMODELLI,COLcoeffPOSSIBILITApellicolaADESIVA,FALSE)=UNO),IF(PELLICOLA15="","",altezza15*DIECI-(VLOOKUP($B$2,tabMODELLI,COLcoeffPELLICOLAadesivaLARG,FALSE))),"")</f>
        <v/>
      </c>
      <c r="MA22" s="168">
        <v>15</v>
      </c>
      <c r="MB22" s="260" t="str">
        <f>IF(modelloAUTO15=$B$2,stanza15,"")</f>
        <v/>
      </c>
      <c r="MC22" s="168">
        <v>15</v>
      </c>
      <c r="MD22" s="230" t="str">
        <f>IF(modelloAUTO15=$B$2,larghezza15*DIECI+4+VLOOKUP($B$2,tabMODELLI,COLcoefAUMlargBUSTApvc,FALSE)+VLOOKUP($B$2,tabMODELLI,COLcoefAUMlargXprofILIlateraliBUSTApvc,FALSE)+IF(PROFoTUBsxRICH15="",ZERO,VLOOKUP(PROFoTUBsxRICH15,TABprofOtubLATERALI,COLlargPROFoTUBlatXimballaggio,FALSE)+profELETTRODOsaldaturaPVC)+IF(PROFoTUBdxRICH15="",ZERO,VLOOKUP(PROFoTUBdxRICH15,TABprofOtubLATERALI,COLlargPROFoTUBlatXimballaggio,FALSE)+profELETTRODOsaldaturaPVC),"")</f>
        <v/>
      </c>
      <c r="ME22" s="230" t="str">
        <f>IF(modelloAUTO15=$B$2,altezza15*DIECI*DUE+VLOOKUP($B$2,tabMODELLI,COLcoefAUMaltBUSTApvc,FALSE),"")</f>
        <v/>
      </c>
      <c r="MF22" s="261"/>
      <c r="MG22" s="230" t="str">
        <f>IF(modelloAUTO15=$B$2,altezza15*DIECI+VLOOKUP($B$2,tabMODELLI,COLcoeffSALDATURAinALTbustaPVC,FALSE),"")</f>
        <v/>
      </c>
      <c r="MH22" s="230" t="str">
        <f>IF(modelloAUTO15=$B$2,VLOOKUP($B$2,tabMODELLI,COLcoeffSALDATURAinLARGperTASCAbustaPVC,FALSE),"")</f>
        <v/>
      </c>
      <c r="MI22" s="230" t="str">
        <f>IF(modelloAUTO15=$B$2,IF(PROFoTUBsxRICH15="","",VLOOKUP(PROFoTUBsxRICH15,TABprofOtubLATERALI,COLlargPROFoTUBlatXimballaggio,FALSE)),"")</f>
        <v/>
      </c>
      <c r="MJ22" s="230" t="str">
        <f>IF(modelloAUTO15=$B$2,IF(PROFoTUBdxRICH15="","",VLOOKUP(PROFoTUBdxRICH15,TABprofOtubLATERALI,COLlargPROFoTUBlatXimballaggio,FALSE)),"")</f>
        <v/>
      </c>
      <c r="ML22" s="262" t="str">
        <f>IF(modelloAUTO15=$B$2,pezzi15*DUE,"")</f>
        <v/>
      </c>
      <c r="MM22" s="263" t="str">
        <f>IF(modelloAUTO15=$B$2,larghezza15+VLOOKUP($B$2,tabMODELLI,COLcoeffAUMoCALOinLARGpolistirolo,FALSE),"")</f>
        <v/>
      </c>
      <c r="MN22" s="263" t="str">
        <f>IF(modelloAUTO15=$B$2,altezza15+VLOOKUP($B$2,tabMODELLI,COLcoeffAUMoCALOinALTpolistirolo,FALSE),"")</f>
        <v/>
      </c>
      <c r="MP22" s="264" t="str">
        <f>IF(modelloAUTO15=$B$2,IF(VLOOKUP($B$2,tabMODELLI,COLcoeffAUMoCALOinLARGprofiloAu,FALSE)="",pezzi15*DUE,pezzi15*UNO),"")</f>
        <v/>
      </c>
      <c r="MQ22" s="265" t="str">
        <f>IF(modelloAUTO15=$B$2,VLOOKUP($B$2,tabMODELLI,COLdimStdSTRISCIAdelFIANCOxLARG1polistirolo,FALSE),"")</f>
        <v/>
      </c>
      <c r="MR22" s="263" t="str">
        <f>IF(modelloAUTO15=$B$2,larghezza15+VLOOKUP($B$2,tabMODELLI,colCOEFFdellaLARGnelFIANCOpolistirolo,FALSE),"")</f>
        <v/>
      </c>
      <c r="MT22" s="262" t="str">
        <f>IF(modelloAUTO15=$B$2,IF(VLOOKUP($B$2,tabMODELLI,COLdimstdSTRISCIAdelFIANCOxALT2polistirolo,FALSE)="",pezzi15*DUE,pezzi15),"")</f>
        <v/>
      </c>
      <c r="MU22" s="265" t="str">
        <f>IF(modelloAUTO15=$B$2,VLOOKUP($B$2,tabMODELLI,COLdimstdSTRISCIAdelFIANCOxALT1polistirolo,FALSE),"")</f>
        <v/>
      </c>
      <c r="MV22" s="263" t="str">
        <f>IF(modelloAUTO15=$B$2,altezza15+VLOOKUP($B$2,tabMODELLI,colCOEFFdellaALTnelFIANCOpolistirolo,FALSE),"")</f>
        <v/>
      </c>
      <c r="MX22" s="266" t="str">
        <f>IF(modelloAUTO15=$B$2,IF(VLOOKUP($B$2,tabMODELLI,COLdimstdSTRISCIAdelFIANCOxALT2polistirolo,FALSE)="","",pezzi15*UNO),"")</f>
        <v/>
      </c>
      <c r="MY22" s="267" t="str">
        <f>IF(modelloAUTO15=$B$2,IF(VLOOKUP($B$2,tabMODELLI,COLdimstdSTRISCIAdelFIANCOxALT2polistirolo,FALSE)="","",VLOOKUP($B$2,tabMODELLI,COLdimstdSTRISCIAdelFIANCOxALT2polistirolo,FALSE)),"")</f>
        <v/>
      </c>
      <c r="MZ22" s="263" t="str">
        <f>IF(modelloAUTO15=$B$2,altezza15+VLOOKUP($B$2,tabMODELLI,colCOEFFdellaALTnelFIANCOpolistirolo,FALSE),"")</f>
        <v/>
      </c>
      <c r="NB22" s="266" t="str">
        <f>IF(modelloAUTO15=$B$2,IF(VLOOKUP($B$2,tabMODELLI,COLcoeffAUMoCALOinLARGprofiloAu,FALSE)="","",pezzi15*UNO),"")</f>
        <v/>
      </c>
      <c r="NC22" s="216" t="str">
        <f>IF(modelloAUTO15=$B$2,IF(VLOOKUP($B$2,tabMODELLI,COLcoeffAUMoCALOinLARGprofiloAu,FALSE)="","",larghezza15+VLOOKUP($B$2,tabMODELLI,COLcoeffAUMoCALOinLARGprofiloAu,FALSE)),"")</f>
        <v/>
      </c>
      <c r="ND22" s="191" t="str">
        <f>IF(modelloAUTO15=$B$2,IF(VLOOKUP($B$2,tabMODELLI,COLcoeffAUMoCALOinLARGprofiloAu,FALSE)="","",VLOOKUP($B$2,tabMODELLI,COLdimstdSTRISCIAdelFIANCOxALT1polistirolo,FALSE)),"")</f>
        <v/>
      </c>
      <c r="NI22" s="168">
        <v>15</v>
      </c>
      <c r="NJ22" s="171" t="str">
        <f>IF(pezzi15="","",pezzi15)</f>
        <v/>
      </c>
      <c r="NK22" s="170" t="str">
        <f>IF(modelloAUTO15="","",modelloAUTO15)</f>
        <v/>
      </c>
      <c r="NL22" s="172" t="str">
        <f>IF(larghezza15="","",LARGortogonalitaADEGUATA15)</f>
        <v/>
      </c>
      <c r="NM22" s="173" t="str">
        <f>IF(altezza15="","",altezza15)</f>
        <v/>
      </c>
      <c r="NO22" s="189" t="str">
        <f>IF(PesoTEORICOparatia15="","",PesoTEORICOparatia15)</f>
        <v/>
      </c>
      <c r="NR22"/>
      <c r="NS22"/>
      <c r="NT22"/>
      <c r="NU22"/>
      <c r="NV22"/>
      <c r="NW22"/>
      <c r="NX22"/>
      <c r="NY22"/>
      <c r="NZ22"/>
      <c r="OA22"/>
      <c r="OB22"/>
      <c r="OC22"/>
      <c r="OD22"/>
      <c r="OE22"/>
    </row>
    <row r="23" spans="1:404" s="150" customFormat="1" ht="38" thickBot="1">
      <c r="A23" s="168">
        <v>16</v>
      </c>
      <c r="B23" s="169" t="str">
        <f>IF(stanza9="","",stanza9)</f>
        <v/>
      </c>
      <c r="C23" s="170" t="str">
        <f>IF(modelloAUTO16="","",modelloAUTO16)</f>
        <v/>
      </c>
      <c r="D23" s="171" t="str">
        <f>IF(pezzi16="","",pezzi16)</f>
        <v/>
      </c>
      <c r="E23" s="172" t="str">
        <f>IF(larghezza16="","",LARGortogonalitaADEGUATA16)</f>
        <v/>
      </c>
      <c r="F23" s="173" t="str">
        <f>IF(altezza16="","",altezza16)</f>
        <v/>
      </c>
      <c r="G23" s="174" t="str">
        <f t="shared" si="0"/>
        <v/>
      </c>
      <c r="H23" s="175" t="str">
        <f>IF(LATOcomAUTO16="","",LATOcomAUTO16)</f>
        <v/>
      </c>
      <c r="I23" s="176" t="str">
        <f>IF(modelloAUTO16="","",IF(vernBarriera16="","",vernBarriera16))</f>
        <v/>
      </c>
      <c r="J23" s="177" t="str">
        <f>IF(modelloAUTO16=$B$2,IF(PELLICOLA16="","",pezzi16),"")</f>
        <v/>
      </c>
      <c r="K23" s="283" t="str">
        <f t="shared" si="1"/>
        <v/>
      </c>
      <c r="M23" s="179" t="str">
        <f>IF(modelloAUTO16=$B$2,IF(PROFlatAUTO16="ESCLUSI","",IF(PROFlatRICH16="","STD",PROFlatRICH16)),"")</f>
        <v/>
      </c>
      <c r="N23" s="180" t="str">
        <f>IF(AND(modelloAUTO16=$B$2,COPERTINAauto16&lt;&gt;""),TIPOcopertina16,"")</f>
        <v/>
      </c>
      <c r="O23" s="181" t="str">
        <f>IF(AND(modelloAUTO16=$B$2,PROFlatAUTO16&lt;&gt;"ESCLUSI"),IF(AND(COPERTINAauto16&lt;&gt;"",ALTprofLATrich16=""),"STD",ALTprofLATrich16*DIECI),"")</f>
        <v/>
      </c>
      <c r="P23" s="176" t="str">
        <f>IF(modelloAUTO16="","",IF(vernPROFlatTEN16="","",vernPROFlatTEN16))</f>
        <v/>
      </c>
      <c r="R23" s="176" t="str">
        <f>IF(PROFoTUBsxRICH16="","",PROFoTUBsxRICH16)</f>
        <v/>
      </c>
      <c r="S23" s="182"/>
      <c r="T23" s="176" t="str">
        <f>IF(modelloAUTO16="","",IF(PROFoTUBdxRICH16="","",PROFoTUBdxRICH16))</f>
        <v/>
      </c>
      <c r="U23" s="182"/>
      <c r="V23" s="183" t="str">
        <f>IF(modelloAUTO16="","",IF(PROFoTUBsxRICH16="","",IF(ALTprofOtubRICHsx16="","SX: STD","SX: "&amp;ALTprofOtubRICHsx16&amp;" - "))&amp;IF(PROFoTUBdxRICH16="","",IF(ALTprofOtubRICHdx16="","  DX: STD","DX :"&amp;ALTprofOtubRICHdx16)))</f>
        <v/>
      </c>
      <c r="W23" s="184" t="str">
        <f>IF(modello16="","",IF(vernPROFoTUBlatSX16="","","SX: "&amp;vernPROFoTUBlatSX16&amp;" - ")&amp;IF(vernPROFoTUBlatDX16="",""," DX: "&amp;vernPROFoTUBlatDX16))</f>
        <v/>
      </c>
      <c r="Y23" s="185" t="str">
        <f>IF(modelloAUTO16="","",IF(OR(larghezza16="",profORIZZ16=""),"",CODpiattoORIZZsugg16))</f>
        <v/>
      </c>
      <c r="Z23" s="186" t="str">
        <f>IF(modelloAUTO16="","",IF(profORIZZ16="","",larghezza16+IF(PROFoTUBsxRICH16="",0,VLOOKUP(PROFoTUBsxRICH16,TABprofOtubLATERALI,COLlargPROFoTUBlat,FALSE))+IF(PROFoTUBdxRICH16="",0,VLOOKUP(PROFoTUBdxRICH16,TABprofOtubLATERALI,COLlargPROFoTUBlat,FALSE))))</f>
        <v/>
      </c>
      <c r="AB23" s="187" t="str">
        <f>IF(modelloAUTO16="","",IF(CODpiantCENTRsugg16="","","N° "&amp;fornPIANTcentr16&amp;"-"&amp;IF(CODpiantCENTRsugg16=0,"ERRORE",CODpiantCENTRsugg16)))</f>
        <v/>
      </c>
      <c r="AC23" s="187" t="str">
        <f>IF(modelloAUTO16="","",IF(CODpiantCENTRsuggAPPOG16="","","N° "&amp;CODpiantCENTRdiAPPOGGIOrich16&amp;"-"&amp;IF(CODpiantCENTRsuggAPPOG16=0,"ERRORE",CODpiantCENTRsuggAPPOG16)))</f>
        <v/>
      </c>
      <c r="AE23" s="188" t="str">
        <f>IF(modelloAUTO16="","",IF(note_cliente16="","",note_cliente16))</f>
        <v/>
      </c>
      <c r="AF23" s="189" t="str">
        <f>IF(PesoTEORICOparatia16="","",PesoTEORICOparatia16)</f>
        <v/>
      </c>
      <c r="AG23" s="190">
        <v>16</v>
      </c>
      <c r="AI23" s="284" t="str">
        <f>IF(modelloAUTO16=$B$2,pezzi16*UNO,"")</f>
        <v/>
      </c>
      <c r="AJ23" s="285" t="str">
        <f>IF(modelloAUTO16=$B$2,larghezza16,"")</f>
        <v/>
      </c>
      <c r="AK23" s="286" t="str">
        <f>IF(modelloAUTO16=$B$2,altezza16,"")</f>
        <v/>
      </c>
      <c r="AL23" s="174" t="str">
        <f t="shared" si="2"/>
        <v/>
      </c>
      <c r="AM23" s="173" t="str">
        <f t="shared" si="3"/>
        <v>DX (di serie)</v>
      </c>
      <c r="AN23" s="194"/>
      <c r="AO23"/>
      <c r="AP23" s="287" t="str">
        <f>IF(modelloAUTO16=$B$2,IF(PROFlatRICH16="",pezzi16*DUE*VLOOKUP($B$2,tabMODELLI,COLprofiliLATdiserie,FALSE),pezzi16*DUE),"")</f>
        <v/>
      </c>
      <c r="AQ23" s="179" t="str">
        <f>IF(modelloAUTO16=$B$2,IF(PROFlatAUTO16="ESCLUSI","",IF(PROFlatRICH16="","STD",PROFlatRICH16)),"")</f>
        <v/>
      </c>
      <c r="AR23" s="196" t="str">
        <f>IF(AND(modelloAUTO16=$B$2,PROFlatAUTO16&lt;&gt;"ESCLUSI"),IF(ALTprofLATrich16="","STD",ALTprofLATrich16*DIECI),"")</f>
        <v/>
      </c>
      <c r="AS23" s="288"/>
      <c r="AT23" s="289" t="str">
        <f>IF(modelloAUTO16=$B$2,IF(TIPOcopertina16="","",TIPOcopertina16),"")</f>
        <v/>
      </c>
      <c r="AU23" s="288"/>
      <c r="AV23" s="290" t="str">
        <f>IF(modelloAUTO16=$B$2,IF(vernBarriera16="","STD",vernBarriera16),"")</f>
        <v/>
      </c>
      <c r="AX23" s="171" t="str">
        <f>IF(modelloAUTO16=$B$2,IF(PROFoTUBsxRICH16="","",pezzi16),"")</f>
        <v/>
      </c>
      <c r="AY23" s="278"/>
      <c r="AZ23" s="291" t="str">
        <f>IF(AND(modelloAUTO16=$B$2,PROFoTUBsxRICH16&lt;&gt;""),IF(ALTprofOtubRICHsx16="","STD",ALTprofOtubRICHsx16),"")</f>
        <v/>
      </c>
      <c r="BA23" s="288"/>
      <c r="BB23" s="292" t="str">
        <f>IF(modelloAUTO16=$B$2,IF(PROFoTUBsxRICH16="","",IF(vernPROFoTUBlatSX16="","STD",vernPROFoTUBlatSX16)),"")</f>
        <v/>
      </c>
      <c r="BD23" s="171" t="str">
        <f>IF(modelloAUTO16=$B$2,IF(PROFoTUBdxRICH16="","",pezzi16),"")</f>
        <v/>
      </c>
      <c r="BE23" s="279" t="str">
        <f>IF(modelloAUTO16=$B$2,IF(PROFoTUBdxRICH16="","",PROFoTUBdxRICH16),"")</f>
        <v/>
      </c>
      <c r="BF23" s="291" t="str">
        <f>IF(AND(modelloAUTO16=$B$2,PROFoTUBdxRICH16&lt;&gt;""),IF(ALTprofOtubRICHdx16="","STD",ALTprofOtubRICHdx16),"")</f>
        <v/>
      </c>
      <c r="BG23" s="288"/>
      <c r="BH23" s="293" t="str">
        <f>IF(modelloAUTO16=$B$2,IF(PROFoTUBdxRICH16="","",IF(vernPROFoTUBlatDX16="","STD",vernPROFoTUBlatDX16)),"")</f>
        <v/>
      </c>
      <c r="BJ23" s="204" t="str">
        <f>IF(modelloAUTO16=$B$2,IF(profORIZZ16="","",pezzi16),"")</f>
        <v/>
      </c>
      <c r="BK23" s="205" t="str">
        <f>IF(modelloAUTO16=$B$2,IF(profORIZZ16="","",CODpiattoORIZZsugg16),"")</f>
        <v/>
      </c>
      <c r="BL23" s="206" t="str">
        <f>IF(modelloAUTO16=$B$2,IF(profORIZZ16="","",larghezza16*UNO+IF(PROFoTUBsxRICH16="",ZERO,VLOOKUP(PROFoTUBsxRICH16,TABprofOtubLATERALI,COLlargPROFoTUBlat,FALSE))+IF(PROFoTUBdxRICH16="",ZERO,VLOOKUP(PROFoTUBdxRICH16,TABprofOtubLATERALI,COLlargPROFoTUBlat,FALSE))),"")</f>
        <v/>
      </c>
      <c r="BN23" s="207" t="str">
        <f ca="1">IF(modelloAUTO16=$B$2,INDEX(INDIRECT("TABnCHIAVISTELLOvert"&amp;$B$2),rif_alt16,rif_larg16)*pezzi16,"")</f>
        <v/>
      </c>
      <c r="BO23"/>
      <c r="BP23" s="283" t="str">
        <f t="shared" si="4"/>
        <v/>
      </c>
      <c r="BQ23" s="208" t="str">
        <f ca="1">IF(modelloAUTO16=$B$2,INDEX(INDIRECT("TABnMANIGLIEsuperiori"&amp;$B$2),rif_alt16,rif_larg16)+INDEX(INDIRECT("TABnMANIGLIEfrontali"&amp;$B$2),rif_alt16,rif_larg16),"")</f>
        <v/>
      </c>
      <c r="BR23" s="191" t="str">
        <f>IF(modelloAUTO16=$B$2,pezzi16*DUE,"")</f>
        <v/>
      </c>
      <c r="BS23" s="209" t="str">
        <f>IF(modelloAUTO16=$B$2,BQ23*DUE,"")</f>
        <v/>
      </c>
      <c r="BT23" s="209" t="str">
        <f>IF(modelloAUTO16=$B$2,BR23*TRE,"")</f>
        <v/>
      </c>
      <c r="BU23" s="191" t="str">
        <f>IF(modelloAUTO16=$B$2,pezzi16*DUE,"")</f>
        <v/>
      </c>
      <c r="BV23" s="191" t="str">
        <f>IF(modelloAUTO16=$B$2,pezzi16*DUE,"")</f>
        <v/>
      </c>
      <c r="BW23" s="191" t="str">
        <f>IF(modelloAUTO16=$B$2,pezzi16*DUE,"")</f>
        <v/>
      </c>
      <c r="BX23" s="191" t="str">
        <f>IF(modelloAUTO16=$B$2,pezzi16*DUE,"")</f>
        <v/>
      </c>
      <c r="BY23" s="191" t="str">
        <f>IF(modelloAUTO16=$B$2,pezzi16*DUE,"")</f>
        <v/>
      </c>
      <c r="CA23" s="282" t="str">
        <f>IF(modelloAUTO16=$B$2,IF(fornPIANTcentr16="","",fornPIANTcentr16*pezzi16),"")</f>
        <v/>
      </c>
      <c r="CB23" s="282" t="str">
        <f>IF(modelloAUTO16=$B$2,IF(fornPIANTcentr16="","",CODpiantCENTRsugg16),"")</f>
        <v/>
      </c>
      <c r="CD23" s="282" t="str">
        <f>IF(modelloAUTO16=$B$2,IF(CODpiantCENTRsuggAPPOG16="","",CODpiantCENTRdiAPPOGGIOrich16),"")</f>
        <v/>
      </c>
      <c r="CE23" s="282" t="str">
        <f>IF(modelloAUTO16=$B$2,IF(CODpiantCENTRsuggAPPOG16="","",CODpiantCENTRsuggAPPOG16),"")</f>
        <v/>
      </c>
      <c r="CG23" s="294">
        <v>16</v>
      </c>
      <c r="CI23" s="295" t="str">
        <f>IF(modelloAUTO16=$B$2,altezza16*DIECI/FLOOR(VLOOKUP($B$2,tabMODELLI,COLcoefALTdogaSORMONTATAda200,FALSE),UNO)*pezzi16,"")</f>
        <v/>
      </c>
      <c r="CJ23" s="296" t="str">
        <f>IF(modelloAUTO16=$B$2,larghezza16*DIECI-VLOOKUP($B$2,tabMODELLI,COLcoeffTAGLIOdogaOPPURElastraINlarg,FALSE)-VLOOKUP(PROFlatAUTO16,TABprofLATten,COLcoeffCALOdoga,FALSE),"")</f>
        <v/>
      </c>
      <c r="CK23"/>
      <c r="CL23" s="213" t="str">
        <f>IF(modelloAUTO16=$B$2,(altezza16*DIECI/FLOOR(VLOOKUP($B$2,tabMODELLI,COLcoefALTdogaSORMONTATAda200,FALSE),CENTO)-FLOOR(altezza16*DIECI/FLOOR(VLOOKUP($B$2,tabMODELLI,COLcoefALTdogaSORMONTATAda200,FALSE),CENTO),UNO))*pezzi16,"")</f>
        <v/>
      </c>
      <c r="CM23" s="214" t="str">
        <f>IF(modelloAUTO16=$B$2,(((altezza16*DIECI-VLOOKUP($B$2,tabMODELLI,COLcoeffCALOtaglioPANNELLObarrieraMONOLITICOoASSEMBLATOInALT,FALSE))/VLOOKUP($B$2,tabMODELLI,colALTnominaleDOGAmm,FALSE)-(FLOOR(altezza16*DIECI/FLOOR(VLOOKUP($B$2,tabMODELLI,COLcoefALTdogaSORMONTATAda200,FALSE),CENTO),UNO)))*(VLOOKUP($B$2,tabMODELLI,colALTnominaleDOGAmm,FALSE))),"")</f>
        <v/>
      </c>
      <c r="CN23" s="293" t="str">
        <f>IF(modelloAUTO16=$B$2,IF(vernBarriera16="","STD",vernBarriera16),"")</f>
        <v/>
      </c>
      <c r="CO23" s="174" t="str">
        <f t="shared" si="5"/>
        <v/>
      </c>
      <c r="CP23" s="215" t="str">
        <f>IF(modelloAUTO16=$B$2,LATOcomAUTO16,"")</f>
        <v/>
      </c>
      <c r="CQ23"/>
      <c r="CR23" s="297" t="str">
        <f>IF(modelloAUTO16=$B$2,pezzi16*UNO,"")</f>
        <v/>
      </c>
      <c r="CS23" s="296" t="str">
        <f>IF(modelloAUTO16=$B$2,altezza16*DIECI+VLOOKUP($B$2,tabMODELLI,COLcoeffTAGLIOPROFILIlateraliEverticaliAttaccatiALLAbarriera,FALSE),"")</f>
        <v/>
      </c>
      <c r="CT23" s="217" t="str">
        <f>IF(modelloAUTO16=$B$2,"|90° 90°|","")</f>
        <v/>
      </c>
      <c r="CU23" s="218"/>
      <c r="CV23" s="298" t="str">
        <f>IF(modelloAUTO16=$B$2,pezzi16*DUE,"")</f>
        <v/>
      </c>
      <c r="CW23" s="220" t="str">
        <f>IF(modelloAUTO16=$B$2,larghezza16*DIECI-VLOOKUP($B$2,tabMODELLI,COLcoeffTAGLIOPROFILIlateraliEverticaliAttaccatiALLAbarriera,FALSE),"")</f>
        <v/>
      </c>
      <c r="CX23" s="217" t="str">
        <f t="shared" si="25"/>
        <v/>
      </c>
      <c r="CY23" s="221"/>
      <c r="CZ23" s="222" t="str">
        <f>IF(modelloAUTO16=$B$2,PROFlatAUTO16,"")</f>
        <v/>
      </c>
      <c r="DA23" s="223" t="str">
        <f>IF(modelloAUTO16=$B$2,pezzi16,"")</f>
        <v/>
      </c>
      <c r="DB23" s="217" t="str">
        <f>IF(modelloAUTO16=$B$2,altezza16*DIECI-VLOOKUP(PROFlatAUTO16,TABprofLATten,COLsfioroPROFtenLATrispettoALvano,FALSE),"")</f>
        <v/>
      </c>
      <c r="DC23" s="217" t="str">
        <f>IF(modelloAUTO16=$B$2,"|90° 45°/","")</f>
        <v/>
      </c>
      <c r="DD23" s="224"/>
      <c r="DE23" s="223" t="str">
        <f>IF(modelloAUTO16=$B$2,pezzi16,"")</f>
        <v/>
      </c>
      <c r="DF23" s="217" t="str">
        <f>IF(modelloAUTO16=$B$2,larghezza16*DIECI-(VLOOKUP(PROFlatAUTO16,TABprofLATten,COLsfioroPROFtenLATrispettoALvano,FALSE)*DUE),"")</f>
        <v/>
      </c>
      <c r="DG23" s="217" t="str">
        <f>IF(modelloAUTO16=$B$2,"\45° 90°|","")</f>
        <v/>
      </c>
      <c r="DH23" s="224"/>
      <c r="DI23" s="223" t="str">
        <f>IF(modelloAUTO16=$B$2,pezzi16,"")</f>
        <v/>
      </c>
      <c r="DJ23" s="217" t="str">
        <f>IF(modelloAUTO16=$B$2,altezza16*DIECI-VLOOKUP(PROFlatAUTO16,TABprofLATten,COLsfioroPROFtenLATrispettoALvano,FALSE),"")</f>
        <v/>
      </c>
      <c r="DK23" s="217" t="str">
        <f>IF(modelloAUTO16=$B$2,"\45° 45°/","")</f>
        <v/>
      </c>
      <c r="DL23" s="225"/>
      <c r="DM23" s="226" t="str">
        <f>IF(modelloAUTO16=$B$2,pezzi16,"")</f>
        <v/>
      </c>
      <c r="DN23" s="226" t="str">
        <f>IF(modelloAUTO16=$B$2,larghezza16*DIECI,"")</f>
        <v/>
      </c>
      <c r="DO23" s="227" t="str">
        <f>IF(modelloAUTO16=$B$2,"|90° 90°|","")</f>
        <v/>
      </c>
      <c r="DP23" s="221"/>
      <c r="DQ23" s="228" t="str">
        <f>IF(modelloAUTO16=$B$2,DIMprimoFOROdalPAVIMENTOperFISSAGGIOprofiloDItenutaLATERALE*DIECI,"")</f>
        <v/>
      </c>
      <c r="DR23" s="228" t="str">
        <f ca="1">IF(modelloAUTO16=$B$2,IF(VLOOKUP(altezza16,INDIRECT("tabNfissaggi"&amp;$B$2),INDIRECT("colNfiSsaggi"&amp;$B$2),TRUE)&lt;DR$6,"",(IF(VLOOKUP(altezza16,INDIRECT("tabNfissaggi"&amp;$B$2),INDIRECT("colNfiSsaggi"&amp;$B$2),FALSE)=DR$6,altezza16*DIECI-DIMprimoFOROdalPAVIMENTOperFISSAGGIOprofiloDItenutaLATERALE,DQ23+(((altezza16*DIECI-DIMprimoFOROdalPAVIMENTOperFISSAGGIOprofiloDItenutaLATERALE*DIECI*DUE))/(VLOOKUP((altezza16),INDIRECT("tabNfissaggi"&amp;$B$2),INDIRECT("colNfiSsaggi"&amp;$B$2),FALSE)-UNO))))),"")</f>
        <v/>
      </c>
      <c r="DS23" s="228" t="str">
        <f ca="1">IF(modelloAUTO16=$B$2,IF(VLOOKUP(altezza16,INDIRECT("tabNfissaggi"&amp;$B$2),INDIRECT("colNfiSsaggi"&amp;$B$2),TRUE)&lt;DS$6,"",(IF(VLOOKUP(altezza16,INDIRECT("tabNfissaggi"&amp;$B$2),INDIRECT("colNfiSsaggi"&amp;$B$2),FALSE)=DS$6,altezza16*DIECI-DIMprimoFOROdalPAVIMENTOperFISSAGGIOprofiloDItenutaLATERALE,DR23+(((altezza16*DIECI-DIMprimoFOROdalPAVIMENTOperFISSAGGIOprofiloDItenutaLATERALE*DIECI*DUE))/(VLOOKUP((altezza16),INDIRECT("tabNfissaggi"&amp;$B$2),INDIRECT("colNfiSsaggi"&amp;$B$2),FALSE)-UNO))))),"")</f>
        <v/>
      </c>
      <c r="DT23" s="228" t="str">
        <f ca="1">IF(modelloAUTO16=$B$2,IF(VLOOKUP(altezza16,INDIRECT("tabNfissaggi"&amp;$B$2),INDIRECT("colNfiSsaggi"&amp;$B$2),TRUE)&lt;DT$6,"",(IF(VLOOKUP(altezza16,INDIRECT("tabNfissaggi"&amp;$B$2),INDIRECT("colNfiSsaggi"&amp;$B$2),FALSE)=DT$6,altezza16*DIECI-DIMprimoFOROdalPAVIMENTOperFISSAGGIOprofiloDItenutaLATERALE,DS23+(((altezza16*DIECI-DIMprimoFOROdalPAVIMENTOperFISSAGGIOprofiloDItenutaLATERALE*DIECI*DUE))/(VLOOKUP((altezza16),INDIRECT("tabNfissaggi"&amp;$B$2),INDIRECT("colNfiSsaggi"&amp;$B$2),FALSE)-UNO))))),"")</f>
        <v/>
      </c>
      <c r="DU23" s="228" t="str">
        <f ca="1">IF(modelloAUTO16=$B$2,IF(VLOOKUP(altezza16,INDIRECT("tabNfissaggi"&amp;$B$2),INDIRECT("colNfiSsaggi"&amp;$B$2),TRUE)&lt;DU$6,"",(IF(VLOOKUP(altezza16,INDIRECT("tabNfissaggi"&amp;$B$2),INDIRECT("colNfiSsaggi"&amp;$B$2),FALSE)=DU$6,altezza16*DIECI-DIMprimoFOROdalPAVIMENTOperFISSAGGIOprofiloDItenutaLATERALE,DT23+(((altezza16*DIECI-DIMprimoFOROdalPAVIMENTOperFISSAGGIOprofiloDItenutaLATERALE*DIECI*DUE))/(VLOOKUP((altezza16),INDIRECT("tabNfissaggi"&amp;$B$2),INDIRECT("colNfiSsaggi"&amp;$B$2),FALSE)-UNO))))),"")</f>
        <v/>
      </c>
      <c r="DV23" s="221"/>
      <c r="DW23" s="229" t="str">
        <f>IF(modelloAUTO16=$B$2,(PRIMOforoNELLantaPARTENDOdaLBASSOclose-VLOOKUP($B$2,tabMODELLI,COLcoeffALTprofiloSogliaRimanenteSOTTOalTELAIOperimetrale,FALSE)),"")</f>
        <v/>
      </c>
      <c r="DX23" s="230" t="str">
        <f>IF(modelloAUTO16=$B$2,DW23+INTERASSSEforiANTAcernieraSAVIOmechanica,"")</f>
        <v/>
      </c>
      <c r="DY23" s="231" t="str">
        <f>IF(modelloAUTO16=$B$2,INDEX(TABforoBASSOcernieraNELLantaCONdogaCLICKRAPIDnellANTACONsavIOMECHANICA,UNO,MATCH(((CJ23)/DUE),TABforoBASSOcernieraNELLantaCONdogaCLICKRAPIDnellANTACONsavIOMECHANICA,UNO)),"")</f>
        <v/>
      </c>
      <c r="DZ23" s="232" t="str">
        <f>IF(modelloAUTO16=$B$2,DY23+INTERASSSEforiANTAcernieraSAVIOmechanica,"")</f>
        <v/>
      </c>
      <c r="EA23" s="231" t="str">
        <f>IF(modelloAUTO16=$B$2,INDEX(TABforoBASSOcernieraNELLantaCONdogaCLICKRAPIDnellANTACONsavIOMECHANICA,UNO,MATCH((CJ23-ALTEZZAcerNIERAcomMPOSTAdalle2aliMECHANICA-altezzaALAcanalinoDA35X35X2),TABforoBASSOcernieraNELLantaCONdogaCLICKRAPIDnellANTACONsavIOMECHANICA,UNO)),"")</f>
        <v/>
      </c>
      <c r="EB23" s="232" t="str">
        <f>IF(modelloAUTO16=$B$2,EA23+INTERASSSEforiANTAcernieraSAVIOmechanica,"")</f>
        <v/>
      </c>
      <c r="EC23" s="233"/>
      <c r="ED23" s="234" t="str">
        <f>IF(modelloAUTO16=$B$2,"a: "&amp;DW23+INTERASSSEforiANTAcernieraSAVIOmechanica/DUE,"")</f>
        <v/>
      </c>
      <c r="EE23" s="234" t="str">
        <f>IF(modelloAUTO16=$B$2,"a: "&amp;DY23+INTERASSSEforiANTAcernieraSAVIOmechanica/DUE,"")</f>
        <v/>
      </c>
      <c r="EF23" s="234" t="str">
        <f>IF(modelloAUTO16=$B$2,"a: "&amp;EA23+INTERASSSEforiANTAcernieraSAVIOmechanica/DUE,"")</f>
        <v/>
      </c>
      <c r="EG23"/>
      <c r="EH23" s="235" t="str">
        <f>IF(modelloAUTO16=$B$2,pezzi16,"")</f>
        <v/>
      </c>
      <c r="EI23" s="235" t="str">
        <f>IF(modelloAUTO16=$B$2,INTERASSEforoPERnottolinoDIcomandoMANIGLIAdiCHIUSURAaLEVAclose,"")</f>
        <v/>
      </c>
      <c r="EJ23" s="236" t="str">
        <f>IF(modelloAUTO16=$B$2,ALTCentroNOTTOLINOpartendoDALbassodellaDOGA,"")</f>
        <v/>
      </c>
      <c r="EK23" s="281"/>
      <c r="EL23" s="297" t="str">
        <f>IF(modelloAUTO16=$B$2,pezzi16*UNO,"")</f>
        <v/>
      </c>
      <c r="EM23" s="296" t="str">
        <f>IF(modelloAUTO16=$B$2,altezza16*DIECI+VLOOKUP($B$2,tabMODELLI,COLcoeffTAGLIOPROFILOdiAGGANCIOsistemaMODERNA,FALSE),"")</f>
        <v/>
      </c>
      <c r="EN23" s="299"/>
      <c r="EO23" s="297" t="str">
        <f>IF(modelloAUTO16=$B$2,pezzi16*UNO,"")</f>
        <v/>
      </c>
      <c r="EP23" s="296" t="str">
        <f>IF(modelloAUTO16=$B$2,altezza16*DIECI+VLOOKUP($B$2,tabMODELLI,COLcoeffTAGLIOPROFILOdiAGGANCIOsistemaMODERNA,FALSE),"")</f>
        <v/>
      </c>
      <c r="EQ23" s="299"/>
      <c r="ER23" s="297" t="str">
        <f>IF(modelloAUTO16=$B$2,pezzi16*UNO,"")</f>
        <v/>
      </c>
      <c r="ES23" s="296" t="str">
        <f>IF(modelloAUTO16=$B$2,altezza16*DIECI+VLOOKUP($B$2,tabMODELLI,COLcoeffTAGLIOPROFILIlateraliEverticaliAttaccatiALLAbarriera,FALSE),"")</f>
        <v/>
      </c>
      <c r="ET23" s="218"/>
      <c r="EU23" s="284" t="str">
        <f>IF(modelloAUTO16=$B$2,IF(PROFlatRICH16="",pezzi16*DUE*VLOOKUP($B$2,tabMODELLI,COLprofiliLATdiserie,FALSE),pezzi16*DUE),"")</f>
        <v/>
      </c>
      <c r="EV23" s="300" t="str">
        <f>IF(modelloAUTO16=$B$2,IF(PROFlatRICH16="","STD",PROFlatRICH16),"")</f>
        <v/>
      </c>
      <c r="EW23" s="301" t="str">
        <f>IF(modelloAUTO16=$B$2,IF(TIPOcopertina16="","",TIPOcopertina16),"")</f>
        <v/>
      </c>
      <c r="EX23" s="302" t="str">
        <f>IF(modelloAUTO16=$B$2,VLOOKUP($B$2,tabMODELLI,COLcoeffALTguarnINFERIOREschiacciata,FALSE)+(VLOOKUP($B$2,tabMODELLI,COLcoefALTdogaREALEda200,FALSE)+(VLOOKUP($B$2,tabMODELLI,COLcoefALTdogaSORMONTATAda200,FALSE)*(CEILING(altezza16*DIECI/CEILING(VLOOKUP($B$2,tabMODELLI,COLcoefALTdogaSORMONTATAda200,FALSE),UNO),UNO)-UNO))+VLOOKUP($B$2,tabMODELLI,COLcoeffSPESSUREdelPROFILOtraPRESSOREeDOGAalta,FALSE)+((VLOOKUP($B$2,tabMODELLI,COLcoeffSPESSOREdelPRESSOREsottoALmorsetto,FALSE)+VLOOKUP($B$2,tabMODELLI,COLcoeffALTmorsetto,FALSE)))+(VLOOKUP($B$2,tabMODELLI,COLcoeffBULLONEsenzaMORSETTOeSENZAcoeffFILETTOciecoPERincassoPOMOLOoDADOcieco,FALSE)-VLOOKUP($B$2,tabMODELLI,colCOEFFaltPERmorsettoDItraversoQUANDOinTENSIONE,FALSE))),"")</f>
        <v/>
      </c>
      <c r="EY23" s="218"/>
      <c r="EZ23" s="303" t="str">
        <f ca="1">IF(OR(modelloAUTO16=$B$2,modelloAUTO16=CLICK_RAPIDxPRIVATO),INDEX(INDIRECT("TABnCHIAVISTELLOvert"&amp;$B$2),rif_alt16,rif_larg16)*pezzi16,"")</f>
        <v/>
      </c>
      <c r="FA23" s="240" t="str">
        <f>IF(modelloAUTO16=$B$2,IF(AND(nCatenacci16&lt;&gt;"",profORIZZ16&lt;&gt;""),spessoreCATENACCIOverticale60X165X300,""),"")</f>
        <v/>
      </c>
      <c r="FB23" s="304" t="str">
        <f ca="1">IF(OR(nCatenacci16=0,nCatenacci16="",),"",(CJ23+QUATTRO-(IF(nCatenacci16="",ZERO,SESSANTA*(nCatenacci16/PZCLICK_RAPID16))))/((nCatenacci16/PZCLICK_RAPID16)+UNO))</f>
        <v/>
      </c>
      <c r="FD23" s="305" t="str">
        <f ca="1">IF(modelloAUTO16=$B$2,INDEX(INDIRECT("TABnMANIGLIEsuperiori"&amp;$B$2),rif_alt16,rif_larg16),"")</f>
        <v/>
      </c>
      <c r="FE23" s="306" t="str">
        <f ca="1">IF(modelloAUTO16=$B$2,(larghezza16-CATENACCIOLOorizzontaleINGOMBROclick_rapid-DUE)/INDEX(INDIRECT("TABnMANIGLIEsuperiori"&amp;$B$2),rif_alt16,rif_larg16),"")</f>
        <v/>
      </c>
      <c r="FF23" s="288"/>
      <c r="FG23" s="307" t="str">
        <f ca="1">IF(modelloAUTO16=$B$2,INDEX(INDIRECT("TABnMANIGLIEfrontali"&amp;$B$2),rif_alt16,rif_larg16),"")</f>
        <v/>
      </c>
      <c r="FH23"/>
      <c r="FI23" s="245">
        <f>((larghezza16*DIECI-COEFFlargCOMPLESSIVAdelKITcerniere_GANCIOassemblato))</f>
        <v>-261</v>
      </c>
      <c r="FJ23" s="245">
        <f t="shared" si="17"/>
        <v>19.453363192402126</v>
      </c>
      <c r="FK23" s="245">
        <f t="shared" si="18"/>
        <v>0.4001326</v>
      </c>
      <c r="FL23" s="246">
        <f>(altezza16+TREDICI/DIECI)/CENTO*(CERNIERA_TUBOLARE_MODERNA+CERNIERA_APERTA_MODERNA+UNCINO)+(altezza16/(VLOOKUP($B$2,tabMODELLI,COLcoefALTdogaSORMONTATAda200,FALSE)/DIECI)*COEFFdogaINSERITAnellaCERNIERAaertaFINOallaFINEdelGANCIO*VLOOKUP($B$2,tabMODELLI,COLpesoALKGmlDOGA,FALSE))</f>
        <v>9.6758999999999998E-2</v>
      </c>
      <c r="FM23" s="247"/>
      <c r="FN23" s="247">
        <f>altezza16/(VLOOKUP($B$2,tabMODELLI,COLcoefALTdogaSORMONTATAda200,FALSE)/DIECI)*((((larghezza16-(COEFFlargCOMPLESSIVAdelKITcerniere_GANCIOassemblato/DIECI))/CENTO)*VLOOKUP($B$2,tabMODELLI,COLpesoALKGmlDOGA,FALSE)))</f>
        <v>0</v>
      </c>
      <c r="FO23" s="247">
        <f>larghezza16/CENTO*PESOguarnORIZZmodernaKG\ML</f>
        <v>0</v>
      </c>
      <c r="FP23" s="247">
        <f>(altezza16/(VLOOKUP($B$2,tabMODELLI,COLcoefALTdogaSORMONTATAda200,FALSE)/DIECI)-UNO)*((((larghezza16-(COEFFlargCOMPLESSIVAdelKITcerniere_GANCIOassemblato/DIECI))/CENTO)*pesoALmlDOPPIAsiliconaturaINunaDOGA))</f>
        <v>0.1827</v>
      </c>
      <c r="FQ23" s="247">
        <f>(altezza16/CENTO*H_MODERNA)</f>
        <v>0</v>
      </c>
      <c r="FR23" s="248">
        <f t="shared" si="21"/>
        <v>0.33979579999999998</v>
      </c>
      <c r="FS23" s="248">
        <f t="shared" si="22"/>
        <v>-7.2599999999999998E-2</v>
      </c>
      <c r="FT23" s="249">
        <f t="shared" si="26"/>
        <v>-4.2183908045977011E-4</v>
      </c>
      <c r="FU23" s="249">
        <f t="shared" si="27"/>
        <v>0.1101</v>
      </c>
      <c r="FV23" s="249">
        <f t="shared" si="28"/>
        <v>-0.22969579999999998</v>
      </c>
      <c r="FW23" s="249">
        <f t="shared" si="23"/>
        <v>9.689466505747125E-5</v>
      </c>
      <c r="FX23" s="246">
        <f t="shared" si="29"/>
        <v>0.33979579999999998</v>
      </c>
      <c r="FY23" s="250">
        <f t="shared" si="24"/>
        <v>-824.51038266936757</v>
      </c>
      <c r="FZ23"/>
      <c r="GA23" s="251"/>
      <c r="GB23" s="251"/>
      <c r="GC23" s="251"/>
      <c r="GD23" s="251"/>
      <c r="GE23" s="251"/>
      <c r="GF23" s="251"/>
      <c r="GG23" s="251"/>
      <c r="GI23" s="308" t="str">
        <f>IF(modelloAUTO16=$B$2,IF(PROFlatRICH16="",pezzi16*UNO*VLOOKUP($B$2,tabMODELLI,COLnMANIGLIAasportabile,FALSE),pezzi16*UNO),"")</f>
        <v/>
      </c>
      <c r="GJ23" s="308" t="str">
        <f>IF(modelloAUTO16=$B$2,pezzi16*DUE,"")</f>
        <v/>
      </c>
      <c r="GK23" s="308" t="str">
        <f>IF(modelloAUTO16=$B$2,pezzi16*UNO,"")</f>
        <v/>
      </c>
      <c r="GL23" s="253" t="str">
        <f>IF(modelloAUTO16=$B$2,IF(SYSTEMantiFURTO16&lt;&gt;"",VLOOKUP($B$2,TABsistemaANTIFURTO,COLusoVITEdISERIE,FALSE),pezzi16),"")</f>
        <v/>
      </c>
      <c r="GM23" s="308" t="str">
        <f>IF(modelloAUTO16=$B$2,pezzi16*UNO,"")</f>
        <v/>
      </c>
      <c r="GN23" s="252" t="str">
        <f>IF(modelloAUTO16=$B$2,NmaniglieDItrasporto16*DUE,"")</f>
        <v/>
      </c>
      <c r="GO23" s="309" t="str">
        <f>IF(modelloAUTO16=$B$2,pezzi16*QUINDICI,"")</f>
        <v/>
      </c>
      <c r="GP23" s="309" t="str">
        <f>IF(modelloAUTO16=$B$2,pezzi16*DUE,"")</f>
        <v/>
      </c>
      <c r="GQ23" s="309" t="str">
        <f>IF(modelloAUTO16=$B$2,pezzi16*DUE,"")</f>
        <v/>
      </c>
      <c r="GR23" s="309" t="str">
        <f>IF(modelloAUTO16=$B$2,pezzi16*UNO,"")</f>
        <v/>
      </c>
      <c r="GS23" s="309" t="str">
        <f>IF(modelloAUTO16=$B$2,pezzi16*DUE,"")</f>
        <v/>
      </c>
      <c r="GT23" s="309" t="str">
        <f>IF(modelloAUTO16=$B$2,pezzi16*DUE,"")</f>
        <v/>
      </c>
      <c r="GU23" s="309" t="str">
        <f>IF(modelloAUTO16=$B$2,pezzi16*DUE,"")</f>
        <v/>
      </c>
      <c r="GV23" s="309" t="str">
        <f>IF(modelloAUTO16=$B$2,pezzi16*DUE,"")</f>
        <v/>
      </c>
      <c r="GW23" s="251"/>
      <c r="GX23" s="251"/>
      <c r="GY23" s="251"/>
      <c r="GZ23" s="251"/>
      <c r="HA23" s="251"/>
      <c r="HB23" s="251"/>
      <c r="HC23" s="251"/>
      <c r="HD23" s="251"/>
      <c r="HE23" s="251"/>
      <c r="HF23" s="251"/>
      <c r="HG23" s="251"/>
      <c r="HH23" s="251"/>
      <c r="HI23" s="251"/>
      <c r="HJ23" s="251"/>
      <c r="HK23" s="251"/>
      <c r="HL23" s="251"/>
      <c r="HN23" s="284" t="str">
        <f>IF(modelloAUTO16=$B$2,IF(PROFlatRICH16="",pezzi16*VLOOKUP($B$2,tabMODELLI,COLnGUARNorizzINFERIOREbarriera,FALSE),pezzi16),"")</f>
        <v/>
      </c>
      <c r="HO23" s="286" t="str">
        <f>IF(modelloAUTO16=$B$2,IF(VLOOKUP($B$2,tabMODELLI,COLnGUARNorizzINFERIOREbarriera,FALSE)="","",larghezza16),"")</f>
        <v/>
      </c>
      <c r="HP23" s="288"/>
      <c r="HQ23" s="284" t="str">
        <f>IF(modelloAUTO16=$B$2,IF(PROFlatRICH16="",pezzi16*DUE*VLOOKUP($B$2,tabMODELLI,COLnGUARNorizzINTERMEDIEbarriera,FALSE),pezzi16*DUE),"")</f>
        <v/>
      </c>
      <c r="HR23" s="286" t="str">
        <f>IF(modelloAUTO16=$B$2,IF(VLOOKUP($B$2,tabMODELLI,COLnGUARNorizzINTERMEDIEbarriera,FALSE)="","",larghezza16),"")</f>
        <v/>
      </c>
      <c r="HS23" s="288"/>
      <c r="HT23" s="284" t="str">
        <f>IF(modelloAUTO16=$B$2,IF(PROFlatRICH16="",pezzi16*UNO*VLOOKUP($B$2,tabMODELLI,COLnGUARNvertBARRIERA,FALSE),pezzi16*UNO),"")</f>
        <v/>
      </c>
      <c r="HU23" s="286" t="str">
        <f>IF(modelloAUTO16=$B$2,IF(VLOOKUP($B$2,tabMODELLI,COLnGUARNvertBARRIERA,FALSE)="","",altezza16),"")</f>
        <v/>
      </c>
      <c r="HV23" s="299"/>
      <c r="HW23" s="284" t="str">
        <f>IF(modelloAUTO16=$B$2,IF(PROFlatRICH16="",pezzi16*VLOOKUP($B$2,tabMODELLI,COLnTAPPIdiGIUNZIONEguarnORIZZconVERT,FALSE),pezzi16),"")</f>
        <v/>
      </c>
      <c r="HX23" s="299"/>
      <c r="HY23" s="284" t="str">
        <f>IF(modelloAUTO16=$B$2,IF(PROFlatRICH16="",pezzi16*VLOOKUP($B$2,tabMODELLI,COLnGUARNorizzPROFILOdiTENUTAlaterale,FALSE),pezzi16),"")</f>
        <v/>
      </c>
      <c r="HZ23" s="286" t="str">
        <f>IF(modelloAUTO16=$B$2,IF(VLOOKUP($B$2,tabMODELLI,COLnGUARNorizzPROFILOdiTENUTAlaterale,FALSE)="","",altezza16),"")</f>
        <v/>
      </c>
      <c r="IA23" s="299"/>
      <c r="IB23" s="284" t="str">
        <f>IF(modelloAUTO16=$B$2,IF(PROFlatRICH16="",pezzi16*VLOOKUP($B$2,tabMODELLI,COLnGUARNvertPROFILOdiTENUTAlaterale,FALSE),pezzi16),"")</f>
        <v/>
      </c>
      <c r="IC23" s="286" t="str">
        <f>IF(modelloAUTO16=$B$2,IF(VLOOKUP($B$2,tabMODELLI,COLnGUARNvertPROFILOdiTENUTAlaterale,FALSE)="","",altezza16),"")</f>
        <v/>
      </c>
      <c r="ID23" s="299"/>
      <c r="IE23" s="284" t="str">
        <f>IF(modelloAUTO16=$B$2,IF(PROFlatRICH16="",pezzi16*VLOOKUP($B$2,tabMODELLI,COLnPROFILIinNYLON,FALSE),pezzi16),"")</f>
        <v/>
      </c>
      <c r="IF23" s="286" t="str">
        <f>IF(modelloAUTO16=$B$2,IF(VLOOKUP($B$2,tabMODELLI,COLnPROFILIinNYLON,FALSE)="","",altezza16),"")</f>
        <v/>
      </c>
      <c r="IH23" s="171" t="str">
        <f>IF(modelloAUTO16=$B$2,IF(PROFoTUBsxRICH16="","",pezzi16),"")</f>
        <v/>
      </c>
      <c r="II23" s="278"/>
      <c r="IJ23" s="257" t="str">
        <f>IF(AND(modelloAUTO16=$B$2,PROFoTUBsxRICH16&lt;&gt;""),IF(ALTprofOtubRICHsx16="","STD",ALTprofOtubRICHsx16*DIECI),"")</f>
        <v/>
      </c>
      <c r="IK23" s="288"/>
      <c r="IL23" s="292" t="str">
        <f>IF(modelloAUTO16=$B$2,IF(PROFoTUBsxRICH16="","",IF(vernPROFoTUBlatSX16="","STD",vernPROFoTUBlatSX16)),"")</f>
        <v/>
      </c>
      <c r="IN23" s="171" t="str">
        <f>IF(modelloAUTO16=$B$2,IF(PROFoTUBdxRICH16="","",pezzi16),"")</f>
        <v/>
      </c>
      <c r="IO23" s="279" t="str">
        <f>IF(modelloAUTO16=$B$2,IF(PROFoTUBdxRICH16="","",PROFoTUBdxRICH16),"")</f>
        <v/>
      </c>
      <c r="IP23" s="257" t="str">
        <f>IF(AND(modelloAUTO16=$B$2,PROFoTUBdxRICH16&lt;&gt;""),IF(ALTprofOtubRICHdx16="","STD",ALTprofOtubRICHdx16*DIECI),"")</f>
        <v/>
      </c>
      <c r="IQ23" s="288"/>
      <c r="IR23" s="293" t="str">
        <f>IF(modelloAUTO16=$B$2,IF(PROFoTUBdxRICH16="","",IF(vernPROFoTUBlatDX16="","STD",vernPROFoTUBlatDX16)),"")</f>
        <v/>
      </c>
      <c r="IT23" s="204" t="str">
        <f>IF(modelloAUTO16=$B$2,IF(profORIZZ16="","",pezzi16),"")</f>
        <v/>
      </c>
      <c r="IU23" s="205" t="str">
        <f>IF(modelloAUTO16=$B$2,IF(profORIZZ16="","",CODpiattoORIZZsugg16),"")</f>
        <v/>
      </c>
      <c r="IV23" s="206" t="str">
        <f>IF(modelloAUTO16=$B$2,IF(profORIZZ16="","",larghezza16*DIECI+IF(PROFoTUBsxRICH16="",ZERO,VLOOKUP(PROFoTUBsxRICH16,TABprofOtubLATERALI,COLlargPROFoTUBlat,FALSE))+IF(PROFoTUBdxRICH16="",ZERO,VLOOKUP(PROFoTUBdxRICH16,TABprofOtubLATERALI,COLlargPROFoTUBlat,FALSE))),"")</f>
        <v/>
      </c>
      <c r="IW23"/>
      <c r="IX23" s="168">
        <v>16</v>
      </c>
      <c r="IY23" s="258" t="str">
        <f>IF(AND(modelloAUTO16=$B$2,SYSTEMantiFURTO16&lt;&gt;""),VLOOKUP($B$2,TABsistemaANTIFURTO,COLlucchetto,FALSE),"")</f>
        <v/>
      </c>
      <c r="IZ23" s="258" t="str">
        <f>IF(AND(modelloAUTO16=$B$2,SYSTEMantiFURTO16&lt;&gt;""),VLOOKUP($B$2,TABsistemaANTIFURTO,COLaccessorioANTIFURTO2,FALSE),"")</f>
        <v/>
      </c>
      <c r="JA23" s="258" t="str">
        <f>IF(AND(modelloAUTO16=$B$2,SYSTEMantiFURTO16&lt;&gt;""),VLOOKUP($B$2,TABsistemaANTIFURTO,COLaccessorioANTIFURTO,FALSE),"")</f>
        <v/>
      </c>
      <c r="JB23" s="258" t="str">
        <f>IF(AND(modelloAUTO16=$B$2,SYSTEMantiFURTO16&lt;&gt;""),VLOOKUP($B$2,TABsistemaANTIFURTO,COLviteSPECIALExANTIFURTO,FALSE),"")</f>
        <v/>
      </c>
      <c r="JC23" s="258" t="str">
        <f>IF(AND(modelloAUTO16=$B$2,SYSTEMantiFURTO16&lt;&gt;""),VLOOKUP($B$2,TABsistemaANTIFURTO,COLlavorazioneXantifurto,FALSE),"")</f>
        <v/>
      </c>
      <c r="JD23"/>
      <c r="JE23"/>
      <c r="JF23"/>
      <c r="JG23"/>
      <c r="JH23"/>
      <c r="JI23"/>
      <c r="JJ23"/>
      <c r="JK23"/>
      <c r="JL23"/>
      <c r="JM23"/>
      <c r="JN23"/>
      <c r="JO23"/>
      <c r="JP23"/>
      <c r="JQ23"/>
      <c r="JR23"/>
      <c r="JS23"/>
      <c r="JT23"/>
      <c r="JU23"/>
      <c r="JV23"/>
      <c r="JW23"/>
      <c r="JX23" s="168">
        <v>16</v>
      </c>
      <c r="JY23" s="282" t="str">
        <f>IF(modelloAUTO16=$B$2,IF(fornPIANTcentr16="","",fornPIANTcentr16*pezzi16),"")</f>
        <v/>
      </c>
      <c r="JZ23" s="282" t="str">
        <f>IF(modelloAUTO16=$B$2,IF(fornPIANTcentr16="","",CODpiantCENTRsugg16),"")</f>
        <v/>
      </c>
      <c r="KB23" s="282" t="str">
        <f>IF(modelloAUTO16=$B$2,IF(CODpiantCENTRsuggAPPOG16="","",CODpiantCENTRdiAPPOGGIOrich16),"")</f>
        <v/>
      </c>
      <c r="KC23" s="282" t="str">
        <f>IF(modelloAUTO16=$B$2,IF(CODpiantCENTRsuggAPPOG16="","",CODpiantCENTRsuggAPPOG16),"")</f>
        <v/>
      </c>
      <c r="KP23" s="168">
        <v>16</v>
      </c>
      <c r="KQ23" s="259" t="str">
        <f>IF(AND(modelloAUTO16=$B$2,VLOOKUP($B$2,tabMODELLI,COLcoeffPOSSIBILITApellicolaADESIVA,FALSE)=UNO),IF(PELLICOLA16="","",pezzi16),"")</f>
        <v/>
      </c>
      <c r="KR23" s="236" t="str">
        <f>IF(AND(modelloAUTO16=$B$2,VLOOKUP($B$2,tabMODELLI,COLcoeffPOSSIBILITApellicolaADESIVA,FALSE)=UNO),IF(PELLICOLA16="","",larghezza16*DIECI-(VLOOKUP($B$2,tabMODELLI,COLcoeffPELLICOLAadesivaLARG,FALSE))),"")</f>
        <v/>
      </c>
      <c r="KS23" s="236" t="str">
        <f>IF(AND(modelloAUTO16=$B$2,VLOOKUP($B$2,tabMODELLI,COLcoeffPOSSIBILITApellicolaADESIVA,FALSE)=UNO),IF(PELLICOLA16="","",altezza16*DIECI-(VLOOKUP($B$2,tabMODELLI,COLcoeffPELLICOLAadesivaLARG,FALSE))),"")</f>
        <v/>
      </c>
      <c r="MA23" s="168">
        <v>16</v>
      </c>
      <c r="MB23" s="260" t="str">
        <f>IF(modelloAUTO16=$B$2,stanza16,"")</f>
        <v/>
      </c>
      <c r="MC23" s="168">
        <v>16</v>
      </c>
      <c r="MD23" s="230" t="str">
        <f>IF(modelloAUTO16=$B$2,larghezza16*DIECI+4+VLOOKUP($B$2,tabMODELLI,COLcoefAUMlargBUSTApvc,FALSE)+VLOOKUP($B$2,tabMODELLI,COLcoefAUMlargXprofILIlateraliBUSTApvc,FALSE)+IF(PROFoTUBsxRICH16="",ZERO,VLOOKUP(PROFoTUBsxRICH16,TABprofOtubLATERALI,COLlargPROFoTUBlatXimballaggio,FALSE)+profELETTRODOsaldaturaPVC)+IF(PROFoTUBdxRICH16="",ZERO,VLOOKUP(PROFoTUBdxRICH16,TABprofOtubLATERALI,COLlargPROFoTUBlatXimballaggio,FALSE)+profELETTRODOsaldaturaPVC),"")</f>
        <v/>
      </c>
      <c r="ME23" s="230" t="str">
        <f>IF(modelloAUTO16=$B$2,altezza16*DIECI*DUE+VLOOKUP($B$2,tabMODELLI,COLcoefAUMaltBUSTApvc,FALSE),"")</f>
        <v/>
      </c>
      <c r="MF23" s="261"/>
      <c r="MG23" s="230" t="str">
        <f>IF(modelloAUTO16=$B$2,altezza16*DIECI+VLOOKUP($B$2,tabMODELLI,COLcoeffSALDATURAinALTbustaPVC,FALSE),"")</f>
        <v/>
      </c>
      <c r="MH23" s="230" t="str">
        <f>IF(modelloAUTO16=$B$2,VLOOKUP($B$2,tabMODELLI,COLcoeffSALDATURAinLARGperTASCAbustaPVC,FALSE),"")</f>
        <v/>
      </c>
      <c r="MI23" s="230" t="str">
        <f>IF(modelloAUTO16=$B$2,IF(PROFoTUBsxRICH16="","",VLOOKUP(PROFoTUBsxRICH16,TABprofOtubLATERALI,COLlargPROFoTUBlatXimballaggio,FALSE)),"")</f>
        <v/>
      </c>
      <c r="MJ23" s="230" t="str">
        <f>IF(modelloAUTO16=$B$2,IF(PROFoTUBdxRICH16="","",VLOOKUP(PROFoTUBdxRICH16,TABprofOtubLATERALI,COLlargPROFoTUBlatXimballaggio,FALSE)),"")</f>
        <v/>
      </c>
      <c r="ML23" s="262" t="str">
        <f>IF(modelloAUTO16=$B$2,pezzi16*DUE,"")</f>
        <v/>
      </c>
      <c r="MM23" s="263" t="str">
        <f>IF(modelloAUTO16=$B$2,larghezza16+VLOOKUP($B$2,tabMODELLI,COLcoeffAUMoCALOinLARGpolistirolo,FALSE),"")</f>
        <v/>
      </c>
      <c r="MN23" s="263" t="str">
        <f>IF(modelloAUTO16=$B$2,altezza16+VLOOKUP($B$2,tabMODELLI,COLcoeffAUMoCALOinALTpolistirolo,FALSE),"")</f>
        <v/>
      </c>
      <c r="MP23" s="264" t="str">
        <f>IF(modelloAUTO16=$B$2,IF(VLOOKUP($B$2,tabMODELLI,COLcoeffAUMoCALOinLARGprofiloAu,FALSE)="",pezzi16*DUE,pezzi16*UNO),"")</f>
        <v/>
      </c>
      <c r="MQ23" s="310" t="str">
        <f>IF(modelloAUTO16=$B$2,VLOOKUP($B$2,tabMODELLI,COLdimStdSTRISCIAdelFIANCOxLARG1polistirolo,FALSE),"")</f>
        <v/>
      </c>
      <c r="MR23" s="311" t="str">
        <f>IF(modelloAUTO16=$B$2,larghezza16+VLOOKUP($B$2,tabMODELLI,colCOEFFdellaLARGnelFIANCOpolistirolo,FALSE),"")</f>
        <v/>
      </c>
      <c r="MT23" s="312" t="str">
        <f>IF(modelloAUTO16=$B$2,IF(VLOOKUP($B$2,tabMODELLI,COLdimstdSTRISCIAdelFIANCOxALT2polistirolo,FALSE)="",pezzi16*DUE,pezzi16),"")</f>
        <v/>
      </c>
      <c r="MU23" s="310" t="str">
        <f>IF(modelloAUTO16=$B$2,VLOOKUP($B$2,tabMODELLI,COLdimstdSTRISCIAdelFIANCOxALT1polistirolo,FALSE),"")</f>
        <v/>
      </c>
      <c r="MV23" s="311" t="str">
        <f>IF(modelloAUTO16=$B$2,altezza16+VLOOKUP($B$2,tabMODELLI,colCOEFFdellaALTnelFIANCOpolistirolo,FALSE),"")</f>
        <v/>
      </c>
      <c r="MX23" s="313" t="str">
        <f>IF(modelloAUTO16=$B$2,IF(VLOOKUP($B$2,tabMODELLI,COLdimstdSTRISCIAdelFIANCOxALT2polistirolo,FALSE)="","",pezzi16*UNO),"")</f>
        <v/>
      </c>
      <c r="MY23" s="314" t="str">
        <f>IF(modelloAUTO16=$B$2,IF(VLOOKUP($B$2,tabMODELLI,COLdimstdSTRISCIAdelFIANCOxALT2polistirolo,FALSE)="","",VLOOKUP($B$2,tabMODELLI,COLdimstdSTRISCIAdelFIANCOxALT2polistirolo,FALSE)),"")</f>
        <v/>
      </c>
      <c r="MZ23" s="311" t="str">
        <f>IF(modelloAUTO16=$B$2,altezza16+VLOOKUP($B$2,tabMODELLI,colCOEFFdellaALTnelFIANCOpolistirolo,FALSE),"")</f>
        <v/>
      </c>
      <c r="NB23" s="266" t="str">
        <f>IF(modelloAUTO16=$B$2,IF(VLOOKUP($B$2,tabMODELLI,COLcoeffAUMoCALOinLARGprofiloAu,FALSE)="","",pezzi16*UNO),"")</f>
        <v/>
      </c>
      <c r="NC23" s="216" t="str">
        <f>IF(modelloAUTO16=$B$2,IF(VLOOKUP($B$2,tabMODELLI,COLcoeffAUMoCALOinLARGprofiloAu,FALSE)="","",larghezza16+VLOOKUP($B$2,tabMODELLI,COLcoeffAUMoCALOinLARGprofiloAu,FALSE)),"")</f>
        <v/>
      </c>
      <c r="ND23" s="191" t="str">
        <f>IF(modelloAUTO16=$B$2,IF(VLOOKUP($B$2,tabMODELLI,COLcoeffAUMoCALOinLARGprofiloAu,FALSE)="","",VLOOKUP($B$2,tabMODELLI,COLdimstdSTRISCIAdelFIANCOxALT1polistirolo,FALSE)),"")</f>
        <v/>
      </c>
      <c r="NI23" s="168">
        <v>16</v>
      </c>
      <c r="NJ23" s="171" t="str">
        <f>IF(pezzi16="","",pezzi16)</f>
        <v/>
      </c>
      <c r="NK23" s="170" t="str">
        <f>IF(modelloAUTO16="","",modelloAUTO16)</f>
        <v/>
      </c>
      <c r="NL23" s="172" t="str">
        <f>IF(larghezza16="","",LARGortogonalitaADEGUATA16)</f>
        <v/>
      </c>
      <c r="NM23" s="173" t="str">
        <f>IF(altezza16="","",altezza16)</f>
        <v/>
      </c>
      <c r="NO23" s="189" t="str">
        <f>IF(PesoTEORICOparatia16="","",PesoTEORICOparatia16)</f>
        <v/>
      </c>
      <c r="NR23"/>
      <c r="NS23"/>
      <c r="NT23"/>
      <c r="NU23"/>
      <c r="NV23"/>
      <c r="NW23"/>
      <c r="NX23"/>
      <c r="NY23"/>
      <c r="NZ23"/>
      <c r="OA23"/>
      <c r="OB23"/>
      <c r="OC23"/>
      <c r="OD23"/>
      <c r="OE23"/>
    </row>
    <row r="24" spans="1:404" s="150" customFormat="1" ht="36" thickBot="1">
      <c r="AF24" s="315">
        <f>SUM(AF8:AF23)</f>
        <v>37.970000000000006</v>
      </c>
      <c r="AG24" s="150" t="s">
        <v>175</v>
      </c>
      <c r="AI24" s="259">
        <f>IF(SUM(AI8:AI23)=ZERO,"",SUM(AI8:AI23))</f>
        <v>1</v>
      </c>
      <c r="AJ24" s="154"/>
      <c r="AO24"/>
      <c r="AP24" s="259" t="str">
        <f>IF(SUM(AP8:AP23)=ZERO,"",SUM(AP8:AP23))</f>
        <v/>
      </c>
      <c r="AX24" s="259" t="str">
        <f>IF(SUM(AX8:AX23)=ZERO,"",SUM(AX8:AX23))</f>
        <v/>
      </c>
      <c r="BD24" s="259" t="str">
        <f>IF(SUM(BD8:BD23)=ZERO,"",SUM(BD8:BD23))</f>
        <v/>
      </c>
      <c r="BJ24" s="259" t="str">
        <f>IF(SUM(BJ8:BJ23)=ZERO,"",SUM(BJ8:BJ23))</f>
        <v/>
      </c>
      <c r="BO24"/>
      <c r="BP24" s="259" t="str">
        <f t="shared" ref="BP24:BY24" si="30">IF(SUM(BP8:BP23)=ZERO,"",SUM(BP8:BP23))</f>
        <v/>
      </c>
      <c r="BQ24" s="259" t="e">
        <f t="shared" ca="1" si="30"/>
        <v>#REF!</v>
      </c>
      <c r="BR24" s="259">
        <f t="shared" si="30"/>
        <v>2</v>
      </c>
      <c r="BS24" s="259" t="e">
        <f t="shared" ca="1" si="30"/>
        <v>#REF!</v>
      </c>
      <c r="BT24" s="259">
        <f t="shared" si="30"/>
        <v>6</v>
      </c>
      <c r="BU24" s="259">
        <f t="shared" si="30"/>
        <v>2</v>
      </c>
      <c r="BV24" s="259">
        <f t="shared" si="30"/>
        <v>2</v>
      </c>
      <c r="BW24" s="259">
        <f t="shared" si="30"/>
        <v>2</v>
      </c>
      <c r="BX24" s="259">
        <f t="shared" si="30"/>
        <v>2</v>
      </c>
      <c r="BY24" s="259">
        <f t="shared" si="30"/>
        <v>2</v>
      </c>
      <c r="CA24" s="259" t="str">
        <f>IF(SUM(CA8:CA23)=ZERO,"",SUM(CA8:CA23))</f>
        <v/>
      </c>
      <c r="CD24" s="259" t="str">
        <f ca="1">IF(SUM(CD8:CD23)=ZERO,"",SUM(CD8:CD23))</f>
        <v/>
      </c>
      <c r="CG24" s="150" t="s">
        <v>176</v>
      </c>
      <c r="CI24" s="259">
        <f>IF(SUM(CI8:CI23)=ZERO,"",SUM(CI8:CI23))</f>
        <v>4</v>
      </c>
      <c r="CK24"/>
      <c r="CL24" s="316">
        <f>SUM(CL8:CL16)</f>
        <v>0</v>
      </c>
      <c r="CM24" s="317"/>
      <c r="CQ24"/>
      <c r="DL24"/>
      <c r="EK24" s="281"/>
      <c r="EL24"/>
      <c r="EM24" s="281"/>
      <c r="EN24"/>
      <c r="EQ24"/>
      <c r="FH24"/>
      <c r="FI24"/>
      <c r="FJ24"/>
      <c r="FK24"/>
      <c r="FL24"/>
      <c r="FM24"/>
      <c r="FN24"/>
      <c r="FO24"/>
      <c r="FP24"/>
      <c r="FQ24"/>
      <c r="FR24"/>
      <c r="FS24"/>
      <c r="FT24"/>
      <c r="FU24"/>
      <c r="FV24"/>
      <c r="FW24"/>
      <c r="FX24"/>
      <c r="FY24"/>
      <c r="FZ24"/>
      <c r="GA24"/>
      <c r="GB24"/>
      <c r="GI24" s="318">
        <f>SUM(GI8:GI16)</f>
        <v>1</v>
      </c>
      <c r="GJ24" s="318">
        <f t="shared" ref="GJ24:GK24" si="31">SUM(GJ8:GJ16)</f>
        <v>2</v>
      </c>
      <c r="GK24" s="318">
        <f t="shared" si="31"/>
        <v>1</v>
      </c>
      <c r="GL24" s="318">
        <f>SUM(GL8:GL16)</f>
        <v>1</v>
      </c>
      <c r="GM24" s="318">
        <f>SUM(GM8:GM16)</f>
        <v>1</v>
      </c>
      <c r="GN24" s="318">
        <f ca="1">SUM(GN8:GN16)</f>
        <v>2</v>
      </c>
      <c r="GO24" s="318">
        <f t="shared" ref="GO24:GV24" si="32">IF(SUM(GO8:GO16)="","",SUM(GO8:GO16))</f>
        <v>15</v>
      </c>
      <c r="GP24" s="318">
        <f t="shared" si="32"/>
        <v>2</v>
      </c>
      <c r="GQ24" s="318">
        <f t="shared" si="32"/>
        <v>2</v>
      </c>
      <c r="GR24" s="318">
        <f t="shared" si="32"/>
        <v>1</v>
      </c>
      <c r="GS24" s="318">
        <f t="shared" si="32"/>
        <v>2</v>
      </c>
      <c r="GT24" s="318">
        <f t="shared" si="32"/>
        <v>2</v>
      </c>
      <c r="GU24" s="318">
        <f t="shared" si="32"/>
        <v>2</v>
      </c>
      <c r="GV24" s="318">
        <f t="shared" si="32"/>
        <v>2</v>
      </c>
      <c r="GW24" s="167"/>
      <c r="GX24" s="167"/>
      <c r="GY24" s="167"/>
      <c r="GZ24" s="167"/>
      <c r="HA24" s="167"/>
      <c r="HB24" s="167"/>
      <c r="HC24" s="167"/>
      <c r="HD24" s="167"/>
      <c r="HE24" s="167"/>
      <c r="HF24" s="167"/>
      <c r="HG24" s="167"/>
      <c r="HH24" s="167"/>
      <c r="HI24" s="167"/>
      <c r="HJ24" s="167"/>
      <c r="HK24" s="167"/>
      <c r="HL24" s="167"/>
      <c r="HN24" s="150" t="s">
        <v>177</v>
      </c>
      <c r="HO24" s="318">
        <f>(SUM(HO8:HO16)*DUE)/CENTO</f>
        <v>2</v>
      </c>
      <c r="HQ24" s="150" t="s">
        <v>177</v>
      </c>
      <c r="HR24" s="318">
        <f>(SUM(HR8:HR16)*DUE)/CENTO</f>
        <v>0</v>
      </c>
      <c r="HT24" s="150" t="s">
        <v>177</v>
      </c>
      <c r="HU24" s="318">
        <f>SUM(HU8:HU16)/CENTO</f>
        <v>0.8</v>
      </c>
      <c r="HV24"/>
      <c r="HW24" s="318">
        <f>SUM(HW8:HW16)</f>
        <v>0</v>
      </c>
      <c r="HX24"/>
      <c r="HY24" s="150" t="s">
        <v>177</v>
      </c>
      <c r="HZ24" s="318">
        <f>SUM(HZ8:HZ16)/CENTO</f>
        <v>0</v>
      </c>
      <c r="IA24"/>
      <c r="IB24" s="150" t="s">
        <v>177</v>
      </c>
      <c r="IC24" s="318">
        <f>SUM(IC8:IC16)/CENTO</f>
        <v>0</v>
      </c>
      <c r="ID24"/>
      <c r="IE24" s="150" t="s">
        <v>177</v>
      </c>
      <c r="IF24" s="318">
        <f>SUM(IF8:IF16)/CENTO</f>
        <v>0</v>
      </c>
      <c r="IG24"/>
      <c r="IH24" s="319">
        <f>SUM(IH8:IH23)</f>
        <v>0</v>
      </c>
      <c r="IN24" s="319">
        <f>SUM(IN8:IN23)</f>
        <v>0</v>
      </c>
      <c r="IW24"/>
      <c r="IX24"/>
      <c r="JD24"/>
      <c r="JE24"/>
      <c r="JF24"/>
      <c r="JG24"/>
      <c r="JH24"/>
      <c r="JI24"/>
      <c r="JJ24"/>
      <c r="JK24"/>
      <c r="JL24"/>
      <c r="JM24"/>
      <c r="JN24"/>
      <c r="JO24"/>
      <c r="JP24"/>
      <c r="JQ24"/>
      <c r="JR24"/>
      <c r="JS24"/>
      <c r="JT24"/>
      <c r="JU24"/>
      <c r="JV24"/>
      <c r="JW24"/>
      <c r="KQ24" s="318">
        <f>SUM(KQ8:KQ23)</f>
        <v>0</v>
      </c>
      <c r="KR24" s="150" t="s">
        <v>178</v>
      </c>
      <c r="KZ24"/>
      <c r="LA24" s="51"/>
      <c r="LB24"/>
      <c r="LC24"/>
      <c r="LD24"/>
      <c r="LE24"/>
      <c r="LF24"/>
      <c r="LG24"/>
      <c r="LH24"/>
      <c r="LI24"/>
      <c r="LJ24"/>
      <c r="LK24"/>
      <c r="LL24"/>
      <c r="LM24"/>
      <c r="LN24"/>
      <c r="LO24"/>
      <c r="LP24"/>
      <c r="LQ24"/>
      <c r="LR24"/>
      <c r="LS24"/>
      <c r="LT24"/>
      <c r="LU24"/>
      <c r="LV24"/>
      <c r="LW24"/>
      <c r="LX24"/>
      <c r="LY24"/>
      <c r="LZ24"/>
      <c r="MM24" s="320"/>
      <c r="MN24" s="320"/>
      <c r="MP24" s="320"/>
      <c r="NN24" s="150" t="s">
        <v>179</v>
      </c>
      <c r="NO24" s="315">
        <f>SUM(NO8:NO23)</f>
        <v>37.970000000000006</v>
      </c>
      <c r="NR24"/>
      <c r="NS24"/>
      <c r="NT24"/>
      <c r="NU24"/>
      <c r="NV24"/>
      <c r="NW24"/>
      <c r="NX24"/>
      <c r="NY24"/>
      <c r="NZ24"/>
      <c r="OA24"/>
      <c r="OB24"/>
      <c r="OC24"/>
      <c r="OD24"/>
      <c r="OE24"/>
      <c r="OM24" s="321"/>
      <c r="ON24" s="322"/>
    </row>
    <row r="25" spans="1:404" ht="34" thickBot="1">
      <c r="C25" s="150" t="s">
        <v>180</v>
      </c>
      <c r="D25" s="150"/>
      <c r="E25" s="150"/>
      <c r="F25" s="150"/>
      <c r="G25" s="150"/>
      <c r="H25" s="150"/>
      <c r="I25" s="150"/>
      <c r="J25" s="150"/>
      <c r="K25" s="150"/>
      <c r="L25" s="150"/>
      <c r="M25" s="150"/>
      <c r="N25" s="150"/>
      <c r="AL25" s="150"/>
      <c r="AM25" s="150"/>
      <c r="AN25" s="150"/>
      <c r="CJ25" s="323"/>
      <c r="CO25" s="150"/>
      <c r="CP25" s="150"/>
      <c r="CR25" s="324" t="s">
        <v>181</v>
      </c>
      <c r="EV25" s="159" t="s">
        <v>182</v>
      </c>
      <c r="MF25" s="320" t="s">
        <v>183</v>
      </c>
      <c r="NG25" s="325"/>
      <c r="NI25" s="326" t="s">
        <v>184</v>
      </c>
      <c r="NJ25" s="327">
        <f>SUMIF(NJ8:NJ16,"&gt;0")</f>
        <v>4</v>
      </c>
    </row>
    <row r="26" spans="1:404" ht="46" thickBot="1">
      <c r="C26" s="328" t="s">
        <v>185</v>
      </c>
      <c r="D26" s="329" t="s">
        <v>186</v>
      </c>
      <c r="E26" s="330"/>
      <c r="F26" s="331"/>
      <c r="G26" s="331"/>
      <c r="H26" s="331"/>
      <c r="I26" s="328" t="s">
        <v>187</v>
      </c>
      <c r="J26" s="328" t="s">
        <v>188</v>
      </c>
      <c r="K26" s="329"/>
      <c r="L26" s="329" t="s">
        <v>189</v>
      </c>
      <c r="M26" s="331"/>
      <c r="N26" s="328" t="s">
        <v>190</v>
      </c>
      <c r="T26" s="328" t="s">
        <v>191</v>
      </c>
      <c r="U26" s="328" t="s">
        <v>192</v>
      </c>
      <c r="V26" s="328" t="s">
        <v>193</v>
      </c>
      <c r="W26" s="328" t="s">
        <v>189</v>
      </c>
      <c r="AB26" s="332" t="s">
        <v>194</v>
      </c>
      <c r="AC26" s="332"/>
      <c r="AD26" s="333"/>
      <c r="AE26" s="333"/>
      <c r="AL26" s="331"/>
      <c r="AM26" s="331"/>
      <c r="AP26" s="334"/>
      <c r="AQ26" s="335" t="s">
        <v>195</v>
      </c>
      <c r="AR26" s="319" t="str">
        <f>IF(nota_tubolare="","",nota_tubolare)</f>
        <v/>
      </c>
      <c r="AT26" s="334"/>
      <c r="AV26" s="334"/>
      <c r="AY26" s="334"/>
      <c r="AZ26" s="334"/>
      <c r="BB26" s="334"/>
      <c r="BC26" s="334"/>
      <c r="BD26" s="334"/>
      <c r="CO26" s="331"/>
      <c r="CP26" s="331"/>
      <c r="IH26" s="334"/>
      <c r="II26" s="335" t="s">
        <v>195</v>
      </c>
      <c r="IJ26" s="319" t="str">
        <f>IF(nota_tubolare="","",nota_tubolare)</f>
        <v/>
      </c>
      <c r="KR26" s="51" t="s">
        <v>196</v>
      </c>
      <c r="MA26" s="4" t="s">
        <v>197</v>
      </c>
      <c r="ME26" s="336" t="s">
        <v>198</v>
      </c>
      <c r="MG26" s="150"/>
      <c r="MH26" s="337">
        <f>MH8</f>
        <v>0</v>
      </c>
      <c r="MI26" s="338" t="str">
        <f>MI8</f>
        <v/>
      </c>
      <c r="MJ26" s="338" t="str">
        <f>MJ8</f>
        <v/>
      </c>
      <c r="NG26" s="325"/>
      <c r="NK26" s="268"/>
      <c r="NL26" s="321" t="s">
        <v>199</v>
      </c>
      <c r="NM26" s="339">
        <f>COSTOcorriere</f>
        <v>0</v>
      </c>
      <c r="NN26" s="268"/>
      <c r="NO26" s="268"/>
      <c r="NP26" s="268"/>
    </row>
    <row r="27" spans="1:404" ht="45">
      <c r="C27" s="328" t="s">
        <v>200</v>
      </c>
      <c r="D27" s="329" t="s">
        <v>201</v>
      </c>
      <c r="E27" s="330"/>
      <c r="F27" s="331"/>
      <c r="G27" s="331"/>
      <c r="H27" s="331"/>
      <c r="I27" s="328" t="s">
        <v>202</v>
      </c>
      <c r="J27" s="328" t="s">
        <v>203</v>
      </c>
      <c r="K27" s="329"/>
      <c r="L27" s="329" t="s">
        <v>189</v>
      </c>
      <c r="M27" s="331"/>
      <c r="N27" s="328" t="s">
        <v>204</v>
      </c>
      <c r="T27" s="328" t="s">
        <v>26</v>
      </c>
      <c r="U27" s="328"/>
      <c r="V27" s="328"/>
      <c r="W27" s="328"/>
      <c r="AB27" s="340" t="s">
        <v>205</v>
      </c>
      <c r="AC27" s="340"/>
      <c r="AE27" s="341"/>
      <c r="AG27" s="342" t="s">
        <v>206</v>
      </c>
      <c r="AH27" s="342"/>
      <c r="AI27" s="343">
        <f>AI24</f>
        <v>1</v>
      </c>
      <c r="AJ27" s="344" t="s">
        <v>207</v>
      </c>
      <c r="AK27" s="343">
        <f>'[1]IMMISSIONE DATI'!G80</f>
        <v>4</v>
      </c>
      <c r="AL27" s="331"/>
      <c r="AM27" s="331"/>
      <c r="CO27" s="331"/>
      <c r="CP27" s="331"/>
      <c r="ME27" s="345"/>
      <c r="MG27" s="346"/>
      <c r="MH27" s="347"/>
      <c r="MI27" s="347"/>
      <c r="MJ27" s="347"/>
      <c r="NG27" s="325"/>
    </row>
    <row r="28" spans="1:404" ht="36" thickBot="1">
      <c r="C28" s="328" t="s">
        <v>208</v>
      </c>
      <c r="D28" s="329" t="s">
        <v>209</v>
      </c>
      <c r="E28" s="330"/>
      <c r="F28" s="331"/>
      <c r="G28" s="331"/>
      <c r="H28" s="331"/>
      <c r="I28" s="328"/>
      <c r="J28" s="328"/>
      <c r="K28" s="329"/>
      <c r="L28" s="329"/>
      <c r="M28" s="331"/>
      <c r="N28" s="328"/>
      <c r="T28" s="328" t="s">
        <v>210</v>
      </c>
      <c r="U28" s="328"/>
      <c r="V28" s="328"/>
      <c r="W28" s="328"/>
      <c r="AB28" s="348" t="s">
        <v>211</v>
      </c>
      <c r="AC28" s="348"/>
      <c r="AE28" s="349"/>
      <c r="AL28" s="331"/>
      <c r="AM28" s="331"/>
      <c r="CO28" s="331"/>
      <c r="CP28" s="331"/>
      <c r="JX28" s="14"/>
      <c r="JY28" s="14"/>
      <c r="JZ28" s="14"/>
      <c r="KA28" s="14"/>
      <c r="KB28" s="14"/>
      <c r="KC28" s="14"/>
      <c r="KP28" s="14"/>
      <c r="KQ28" s="14"/>
      <c r="KR28" s="14"/>
      <c r="KS28" s="14"/>
      <c r="MA28" s="14"/>
      <c r="MB28" s="14"/>
      <c r="MC28" s="14"/>
      <c r="MD28" s="14"/>
      <c r="ME28" s="350"/>
      <c r="MF28" s="14"/>
      <c r="MG28" s="14"/>
      <c r="MH28" s="14"/>
      <c r="MI28" s="14"/>
      <c r="MJ28" s="14"/>
      <c r="ML28" s="14"/>
      <c r="MM28" s="14"/>
      <c r="MN28" s="14"/>
      <c r="MO28" s="14"/>
      <c r="MP28" s="14"/>
      <c r="MQ28" s="14"/>
      <c r="MR28" s="14"/>
      <c r="MS28" s="14"/>
      <c r="MT28" s="14"/>
      <c r="MU28" s="14"/>
      <c r="MV28" s="14"/>
      <c r="MW28" s="14"/>
      <c r="MX28" s="14"/>
      <c r="MY28" s="14"/>
      <c r="MZ28" s="14"/>
      <c r="NA28" s="14"/>
      <c r="NB28" s="14"/>
      <c r="NC28" s="14"/>
      <c r="ND28" s="14"/>
    </row>
    <row r="29" spans="1:404" ht="89" thickBot="1">
      <c r="C29" s="328" t="s">
        <v>212</v>
      </c>
      <c r="D29" s="329"/>
      <c r="E29" s="330"/>
      <c r="F29" s="331"/>
      <c r="G29" s="331"/>
      <c r="H29" s="331"/>
      <c r="I29" s="328"/>
      <c r="J29" s="328"/>
      <c r="K29" s="329"/>
      <c r="L29" s="329"/>
      <c r="M29" s="331"/>
      <c r="N29" s="328"/>
      <c r="T29" s="328" t="s">
        <v>213</v>
      </c>
      <c r="U29" s="328"/>
      <c r="V29" s="328"/>
      <c r="W29" s="328"/>
      <c r="AB29" s="348" t="s">
        <v>214</v>
      </c>
      <c r="AC29" s="348"/>
      <c r="AE29" s="349"/>
      <c r="AL29" s="331"/>
      <c r="AM29" s="331"/>
      <c r="AQ29" s="351" t="s">
        <v>215</v>
      </c>
      <c r="CO29" s="331"/>
      <c r="CP29" s="331"/>
      <c r="ME29" s="352"/>
      <c r="MF29" s="157" t="s">
        <v>216</v>
      </c>
      <c r="MG29" s="157"/>
      <c r="MH29" s="353"/>
      <c r="MI29" s="354"/>
      <c r="MJ29" s="353"/>
      <c r="NI29" s="32" t="s">
        <v>217</v>
      </c>
      <c r="NM29" s="355" t="s">
        <v>218</v>
      </c>
      <c r="NO29" s="355" t="s">
        <v>219</v>
      </c>
    </row>
    <row r="30" spans="1:404" ht="69" customHeight="1" thickBot="1">
      <c r="C30" s="328" t="s">
        <v>220</v>
      </c>
      <c r="D30" s="329"/>
      <c r="E30" s="330"/>
      <c r="F30" s="331"/>
      <c r="G30" s="331"/>
      <c r="H30" s="331"/>
      <c r="I30" s="328"/>
      <c r="J30" s="328"/>
      <c r="K30" s="329"/>
      <c r="L30" s="329"/>
      <c r="M30" s="331"/>
      <c r="N30" s="328"/>
      <c r="T30" s="328" t="s">
        <v>43</v>
      </c>
      <c r="U30" s="328"/>
      <c r="V30" s="328"/>
      <c r="W30" s="328"/>
      <c r="AB30" s="348" t="s">
        <v>221</v>
      </c>
      <c r="AC30" s="348"/>
      <c r="AE30" s="349"/>
      <c r="AL30" s="331"/>
      <c r="AM30" s="331"/>
      <c r="CO30" s="331"/>
      <c r="CP30" s="331"/>
      <c r="ME30" s="356"/>
      <c r="MF30" s="150"/>
      <c r="MG30" s="150"/>
      <c r="MH30" s="357" t="s">
        <v>222</v>
      </c>
      <c r="MI30" s="357" t="s">
        <v>223</v>
      </c>
      <c r="MJ30" s="357" t="s">
        <v>224</v>
      </c>
      <c r="NO30" s="358"/>
    </row>
    <row r="31" spans="1:404" ht="35">
      <c r="C31" s="328" t="s">
        <v>225</v>
      </c>
      <c r="D31" s="329"/>
      <c r="E31" s="330"/>
      <c r="F31" s="331"/>
      <c r="G31" s="331"/>
      <c r="H31" s="331"/>
      <c r="I31" s="328"/>
      <c r="J31" s="328"/>
      <c r="K31" s="329"/>
      <c r="L31" s="329"/>
      <c r="M31" s="331"/>
      <c r="N31" s="328"/>
      <c r="T31" s="328" t="s">
        <v>226</v>
      </c>
      <c r="U31" s="328"/>
      <c r="V31" s="328"/>
      <c r="W31" s="328"/>
      <c r="AL31" s="331"/>
      <c r="AM31" s="331"/>
      <c r="CO31" s="331"/>
      <c r="CP31" s="331"/>
      <c r="LX31" s="359">
        <f>MG8</f>
        <v>930</v>
      </c>
      <c r="LY31" s="360"/>
      <c r="LZ31" s="150" t="s">
        <v>26</v>
      </c>
      <c r="MA31" s="150"/>
      <c r="MB31" s="361"/>
      <c r="MC31" s="361"/>
      <c r="MD31" s="361"/>
      <c r="NC31" s="362"/>
      <c r="ND31" s="363" t="s">
        <v>227</v>
      </c>
      <c r="NE31" s="56"/>
      <c r="NF31" s="364"/>
      <c r="NG31" s="363" t="s">
        <v>228</v>
      </c>
      <c r="NH31" s="56"/>
      <c r="NI31" s="364"/>
    </row>
    <row r="32" spans="1:404" ht="31" thickBot="1">
      <c r="C32" s="349"/>
      <c r="D32" s="352"/>
      <c r="E32" s="330"/>
      <c r="F32" s="331"/>
      <c r="G32" s="331"/>
      <c r="H32" s="331"/>
      <c r="I32" s="349"/>
      <c r="J32" s="349"/>
      <c r="K32" s="352"/>
      <c r="L32" s="352"/>
      <c r="M32" s="331"/>
      <c r="N32" s="349"/>
      <c r="AL32" s="331"/>
      <c r="AM32" s="331"/>
      <c r="CM32" s="331"/>
      <c r="CN32" s="331"/>
      <c r="LX32" s="360"/>
      <c r="LY32" s="150"/>
      <c r="LZ32" s="150"/>
      <c r="MA32" s="361"/>
      <c r="MB32" s="361"/>
      <c r="MC32" s="361"/>
      <c r="NB32" s="365"/>
      <c r="NC32" s="366"/>
      <c r="ND32" s="299"/>
      <c r="NE32" s="365"/>
      <c r="NF32" s="366"/>
      <c r="NG32" s="299"/>
      <c r="NH32" s="365"/>
    </row>
    <row r="33" spans="1:341" ht="30">
      <c r="C33" s="349"/>
      <c r="D33" s="352"/>
      <c r="E33" s="330"/>
      <c r="F33" s="331"/>
      <c r="G33" s="331"/>
      <c r="H33" s="331"/>
      <c r="I33" s="349"/>
      <c r="J33" s="349"/>
      <c r="K33" s="352"/>
      <c r="L33" s="352"/>
      <c r="M33" s="331"/>
      <c r="N33" s="349"/>
      <c r="AL33" s="331"/>
      <c r="AM33" s="331"/>
      <c r="CM33" s="331"/>
      <c r="CN33" s="331"/>
      <c r="LX33" s="367"/>
      <c r="LY33" s="161"/>
      <c r="LZ33" s="161"/>
      <c r="MA33" s="368"/>
      <c r="MB33" s="368"/>
      <c r="MC33" s="368"/>
    </row>
    <row r="41" spans="1:341" ht="45">
      <c r="FM41" s="4">
        <v>1</v>
      </c>
      <c r="FN41" s="4">
        <v>2</v>
      </c>
      <c r="FO41" s="4">
        <v>3</v>
      </c>
      <c r="FP41" s="4">
        <v>4</v>
      </c>
      <c r="FQ41" s="4">
        <v>5</v>
      </c>
      <c r="FR41" s="4">
        <v>6</v>
      </c>
      <c r="FS41" s="4">
        <v>7</v>
      </c>
      <c r="FT41" s="4">
        <v>8</v>
      </c>
      <c r="FU41" s="4">
        <v>9</v>
      </c>
      <c r="FV41" s="4">
        <v>10</v>
      </c>
      <c r="FW41" s="4">
        <v>11</v>
      </c>
      <c r="FX41" s="4">
        <v>12</v>
      </c>
      <c r="FY41" s="4">
        <v>13</v>
      </c>
      <c r="GC41" s="4">
        <v>14</v>
      </c>
    </row>
    <row r="42" spans="1:341">
      <c r="BB42" t="str">
        <f>IF(D43="","",E43-VLOOKUP($D$36,tabMODELLI,COLcoeffTAGLIOPROFILIlateraliEverticaliAttaccatiALLAbarriera))</f>
        <v/>
      </c>
    </row>
    <row r="45" spans="1:341" s="51" customFormat="1" ht="60" customHeight="1">
      <c r="A45" s="1"/>
      <c r="B45" s="1"/>
      <c r="C45" s="1"/>
      <c r="D45" s="1"/>
      <c r="E45" s="1"/>
      <c r="F45" s="1"/>
      <c r="G45" s="1"/>
      <c r="H45" s="1"/>
      <c r="I45" s="1"/>
      <c r="J45" s="1"/>
      <c r="K45" s="1"/>
      <c r="L45" s="1"/>
      <c r="M45" s="1" t="s">
        <v>0</v>
      </c>
      <c r="N45" s="1"/>
      <c r="O45" s="1"/>
      <c r="P45" s="1"/>
      <c r="Q45" s="1"/>
      <c r="R45" s="1"/>
      <c r="S45" s="1"/>
      <c r="T45" s="1"/>
      <c r="U45" s="1"/>
      <c r="V45" s="1"/>
      <c r="W45" s="2"/>
      <c r="X45" s="2"/>
      <c r="Y45" s="3" t="str">
        <f ca="1">"COMMESSSA "&amp;" N° "&amp;DATE(YEAR(dataCONTRATTO),MONTH(dataCONTRATTO),DAY(dataCONTRATTO))</f>
        <v>COMMESSSA  N° 45377</v>
      </c>
      <c r="Z45" s="1"/>
      <c r="AA45" s="1"/>
      <c r="AB45" s="2"/>
      <c r="AC45" s="1"/>
      <c r="AD45" s="1"/>
      <c r="AE45" s="1"/>
      <c r="AF45" s="1"/>
      <c r="AG45" s="4"/>
      <c r="AH45" s="4"/>
      <c r="AI45" s="4"/>
      <c r="AJ45" s="6"/>
      <c r="AK45" s="4"/>
      <c r="AL45" s="1"/>
      <c r="AM45" s="1"/>
      <c r="AN45" s="1"/>
      <c r="AO45"/>
      <c r="AP45" s="4"/>
      <c r="AQ45" s="4"/>
      <c r="AR45" s="4"/>
      <c r="AS45" s="4"/>
      <c r="AT45" s="4"/>
      <c r="AU45" s="4"/>
      <c r="AV45" s="4"/>
      <c r="AW45" s="5" t="s">
        <v>229</v>
      </c>
      <c r="AX45" s="4"/>
      <c r="AY45" s="4"/>
      <c r="AZ45" s="4"/>
      <c r="BA45" s="4"/>
      <c r="BB45" s="4"/>
      <c r="BC45" s="4"/>
      <c r="BD45" s="4"/>
      <c r="BE45" s="4"/>
      <c r="BF45" s="4"/>
      <c r="BG45" s="4"/>
      <c r="BH45" s="4"/>
      <c r="BI45" s="4"/>
      <c r="BJ45" s="4"/>
      <c r="BK45" s="4"/>
      <c r="BL45" s="4"/>
      <c r="BM45" s="4"/>
      <c r="BN45" s="4"/>
      <c r="BO45"/>
      <c r="BP45"/>
      <c r="BQ45" s="4"/>
      <c r="BR45" s="4"/>
      <c r="BS45" s="4"/>
      <c r="BT45" s="4"/>
      <c r="BU45" s="4"/>
      <c r="BV45" s="4"/>
      <c r="BW45" s="4"/>
      <c r="BX45" s="4"/>
      <c r="BY45" s="4"/>
      <c r="BZ45"/>
      <c r="CA45" s="4"/>
      <c r="CB45" s="4"/>
      <c r="CC45"/>
      <c r="CD45"/>
      <c r="CE45" s="4"/>
      <c r="CF45"/>
      <c r="CG45" s="4"/>
      <c r="CH45" s="4"/>
      <c r="CI45" s="4"/>
      <c r="CJ45" s="4"/>
      <c r="CK45"/>
      <c r="CL45" s="4"/>
      <c r="CM45" s="1"/>
      <c r="CN45" s="1"/>
      <c r="CO45"/>
      <c r="CP45"/>
      <c r="CQ45" s="4"/>
      <c r="CR45" s="4"/>
      <c r="CS45"/>
      <c r="CT45" s="4"/>
      <c r="CU45" s="4"/>
      <c r="CV45"/>
      <c r="CW45" s="4"/>
      <c r="CX45" s="4"/>
      <c r="CY45" s="4"/>
      <c r="CZ45" s="4"/>
      <c r="DA45" s="4"/>
      <c r="DB45" s="4"/>
      <c r="DC45" s="4"/>
      <c r="DD45" s="4"/>
      <c r="DE45" s="4"/>
      <c r="DF45" s="4"/>
      <c r="DG45" s="4"/>
      <c r="DH45" s="4"/>
      <c r="DI45" s="4"/>
      <c r="DJ45" s="4"/>
      <c r="DK45"/>
      <c r="DL45"/>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7" t="s">
        <v>2</v>
      </c>
      <c r="FA45"/>
      <c r="FB45"/>
      <c r="FC45"/>
      <c r="FD45"/>
      <c r="FE45"/>
      <c r="FF45"/>
      <c r="FG45"/>
      <c r="FH45"/>
      <c r="FI45"/>
      <c r="FJ45"/>
      <c r="FK45"/>
      <c r="FL45"/>
      <c r="FM45"/>
      <c r="FN45"/>
      <c r="FO45"/>
      <c r="FP45"/>
      <c r="FQ45"/>
      <c r="FR45"/>
      <c r="FS45"/>
      <c r="FT45" s="4"/>
      <c r="FW45" s="369"/>
      <c r="FZ45"/>
      <c r="GA45"/>
      <c r="GB45"/>
      <c r="GI45" s="4"/>
      <c r="GJ45" s="4"/>
      <c r="GK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c r="HP45" s="4"/>
      <c r="HQ45"/>
      <c r="HR45"/>
      <c r="HS45"/>
      <c r="HT45"/>
      <c r="HU45" s="4"/>
      <c r="HV45" s="4"/>
      <c r="HW45"/>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t="s">
        <v>194</v>
      </c>
      <c r="KA45" s="4"/>
      <c r="KB45" s="4"/>
      <c r="KC45" s="4"/>
      <c r="KD45" s="4"/>
      <c r="KE45" s="4"/>
      <c r="KF45" s="4"/>
      <c r="KG45" s="4"/>
      <c r="KH45" s="4"/>
      <c r="KI45" s="4"/>
      <c r="KJ45"/>
      <c r="KK45" s="4"/>
      <c r="KL45" s="4"/>
      <c r="KM45" s="4"/>
      <c r="KN45"/>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row>
    <row r="46" spans="1:341" ht="39" customHeight="1">
      <c r="A46" s="4"/>
      <c r="B46" s="20" t="s">
        <v>12</v>
      </c>
      <c r="C46" s="4"/>
      <c r="D46" s="4"/>
      <c r="E46" s="4"/>
      <c r="F46" s="21"/>
      <c r="G46" s="21"/>
      <c r="H46" s="21"/>
      <c r="I46" s="4"/>
      <c r="N46" s="26" t="s">
        <v>10</v>
      </c>
      <c r="O46" s="370" t="str">
        <f>CLIENTE_NOME</f>
        <v>Giovanni Antonioni</v>
      </c>
      <c r="P46" s="370"/>
      <c r="R46" s="4"/>
      <c r="S46" s="4"/>
      <c r="T46" s="18"/>
      <c r="U46" s="18"/>
      <c r="V46" s="18"/>
      <c r="W46" s="4"/>
      <c r="Y46" s="371">
        <f ca="1">NOW()</f>
        <v>45377.746028587964</v>
      </c>
      <c r="Z46" s="6"/>
      <c r="AA46" s="4"/>
      <c r="AB46" s="4"/>
      <c r="AC46" s="4"/>
      <c r="AD46" s="4"/>
      <c r="AE46" s="4"/>
      <c r="AG46" s="22" t="str">
        <f>modello1</f>
        <v>MODERNA</v>
      </c>
      <c r="AH46" s="18"/>
      <c r="AI46" s="18"/>
      <c r="AJ46" s="23"/>
      <c r="AK46" s="18"/>
      <c r="AL46" s="21"/>
      <c r="AM46" s="21"/>
      <c r="AN46" s="21"/>
      <c r="AP46" s="4"/>
      <c r="AQ46" s="4"/>
      <c r="AR46" s="4"/>
      <c r="AS46" s="4"/>
      <c r="AT46" s="4"/>
      <c r="AV46" s="370" t="str">
        <f>CLIENTE_NOME</f>
        <v>Giovanni Antonioni</v>
      </c>
      <c r="AW46" s="370"/>
      <c r="AX46" s="4"/>
      <c r="AY46" s="4"/>
      <c r="AZ46" s="18"/>
      <c r="BA46" s="18"/>
      <c r="BG46" s="17"/>
      <c r="BH46" s="4"/>
      <c r="BI46" s="4"/>
      <c r="BJ46" s="4"/>
      <c r="BK46" s="4"/>
      <c r="CE46" s="4"/>
      <c r="CG46" s="4"/>
      <c r="CI46" s="4" t="str">
        <f>$B$46</f>
        <v>MODERNA</v>
      </c>
      <c r="CJ46" s="4"/>
      <c r="CL46" s="4"/>
      <c r="CM46" s="21"/>
      <c r="CN46" s="21"/>
      <c r="CQ46" s="4"/>
      <c r="CR46" s="4"/>
      <c r="CT46" s="4"/>
      <c r="CU46" s="4"/>
      <c r="CW46" s="4"/>
      <c r="CX46" s="4"/>
      <c r="CY46" s="4"/>
      <c r="CZ46" s="4"/>
      <c r="DA46" s="4"/>
      <c r="DB46" s="4"/>
      <c r="DC46" s="4"/>
      <c r="DD46" s="4"/>
      <c r="DE46" s="4"/>
      <c r="DF46" s="4"/>
      <c r="DG46" s="4"/>
      <c r="DH46" s="4"/>
      <c r="DI46" s="4"/>
      <c r="DJ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Z46" s="4"/>
      <c r="FT46" s="4"/>
      <c r="FW46" s="28"/>
      <c r="GI46" s="5" t="s">
        <v>230</v>
      </c>
      <c r="GJ46" s="18"/>
      <c r="GK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P46" s="18"/>
      <c r="HU46" s="18"/>
      <c r="HV46" s="18"/>
      <c r="HX46" s="18"/>
      <c r="HY46" s="18"/>
      <c r="HZ46" s="18"/>
      <c r="IA46" s="18"/>
      <c r="IB46" s="18"/>
      <c r="IC46" s="18"/>
      <c r="IJ46" s="372" t="s">
        <v>231</v>
      </c>
      <c r="IK46" s="18"/>
      <c r="IL46" s="18"/>
      <c r="IM46" s="18"/>
      <c r="IN46" s="18"/>
      <c r="IO46" s="18"/>
      <c r="IP46" s="18"/>
      <c r="IQ46" s="18"/>
      <c r="IR46" s="18"/>
      <c r="IS46" s="18"/>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t="s">
        <v>8</v>
      </c>
      <c r="JT46" s="4"/>
      <c r="JU46" s="4"/>
      <c r="JV46" s="4"/>
      <c r="JW46" s="4"/>
      <c r="JX46" s="4"/>
      <c r="JY46" s="4"/>
      <c r="JZ46" s="7" t="s">
        <v>18</v>
      </c>
      <c r="KA46" s="4"/>
      <c r="KB46" s="4"/>
      <c r="KC46" s="4"/>
      <c r="KD46" s="4"/>
      <c r="KE46" s="4"/>
      <c r="KG46" s="7" t="s">
        <v>14</v>
      </c>
      <c r="KH46" s="4"/>
      <c r="KI46" s="4"/>
      <c r="KK46" s="4"/>
      <c r="KL46" s="4"/>
      <c r="KM46" s="4"/>
      <c r="KO46" s="4"/>
      <c r="KP46" s="4"/>
      <c r="KQ46" s="4"/>
      <c r="KR46" s="4"/>
      <c r="KS46" s="4"/>
      <c r="KT46" s="4"/>
      <c r="KU46" s="4"/>
      <c r="KV46" s="4"/>
      <c r="KW46" s="4"/>
      <c r="KX46" s="4"/>
      <c r="KY46" s="4" t="s">
        <v>232</v>
      </c>
      <c r="KZ46" s="4"/>
      <c r="LA46" s="4"/>
      <c r="LB46" s="4"/>
      <c r="LC46" s="4"/>
      <c r="LD46" s="4"/>
      <c r="LE46" s="4" t="s">
        <v>11</v>
      </c>
      <c r="LF46" s="4"/>
      <c r="LG46" s="4"/>
      <c r="LH46" s="4"/>
      <c r="LI46" s="4"/>
      <c r="LJ46" s="4"/>
      <c r="LK46" s="4"/>
      <c r="LL46" s="4"/>
      <c r="LM46" s="4"/>
      <c r="LN46" s="4"/>
      <c r="LO46" s="4"/>
      <c r="LP46" s="4"/>
      <c r="LQ46" s="4"/>
      <c r="LR46" s="4"/>
      <c r="LS46" s="4"/>
    </row>
    <row r="47" spans="1:341" ht="33" customHeight="1">
      <c r="N47" s="26" t="s">
        <v>15</v>
      </c>
      <c r="O47" s="27" t="str">
        <f>IF(stanza1="","",stanza1)</f>
        <v/>
      </c>
      <c r="P47" s="27"/>
      <c r="Y47" s="30" t="e">
        <f ca="1">code128(x_cod_barre_or_prodottons)</f>
        <v>#NAME?</v>
      </c>
      <c r="AV47" s="27" t="str">
        <f>IF(stanza1="","",stanza1)</f>
        <v/>
      </c>
      <c r="AW47" s="27"/>
      <c r="AZ47" s="28"/>
      <c r="BA47" s="373" t="str">
        <f ca="1">"COMMESSSA "&amp;" N° "&amp;DATE(YEAR(dataCONTRATTO),MONTH(dataCONTRATTO),DAY(dataCONTRATTO))</f>
        <v>COMMESSSA  N° 45377</v>
      </c>
      <c r="BG47" s="28"/>
      <c r="CG47" s="32"/>
      <c r="GI47" s="374" t="str">
        <f>N46</f>
        <v xml:space="preserve">Cliente: </v>
      </c>
      <c r="GJ47" s="375" t="str">
        <f>O46</f>
        <v>Giovanni Antonioni</v>
      </c>
      <c r="GN47" s="28"/>
      <c r="GO47" s="28"/>
      <c r="GP47" s="28"/>
      <c r="GQ47" s="28"/>
      <c r="GR47" s="28"/>
      <c r="GS47" s="28"/>
      <c r="GT47" s="28"/>
      <c r="GU47" s="28"/>
      <c r="GV47" s="28"/>
      <c r="GW47" s="28"/>
      <c r="GX47" s="28"/>
      <c r="GY47" s="28"/>
      <c r="GZ47" s="28"/>
      <c r="HA47" s="28"/>
      <c r="HB47" s="28"/>
      <c r="HC47" s="28"/>
      <c r="HD47" s="28"/>
      <c r="HE47" s="28"/>
      <c r="HF47" s="28"/>
      <c r="HG47" s="28"/>
      <c r="HH47" s="28"/>
      <c r="HI47" s="28"/>
      <c r="HJ47" s="28"/>
      <c r="HK47" s="28"/>
      <c r="HL47" s="28"/>
      <c r="HN47" s="28"/>
      <c r="HP47" s="28"/>
      <c r="HU47" s="28"/>
      <c r="HV47" s="28"/>
      <c r="HX47" s="28"/>
      <c r="HY47" s="28"/>
      <c r="HZ47" s="28"/>
      <c r="IA47" s="26" t="s">
        <v>10</v>
      </c>
      <c r="IB47" s="370" t="str">
        <f>CLIENTE_NOME</f>
        <v>Giovanni Antonioni</v>
      </c>
      <c r="IC47" s="370"/>
      <c r="IL47" s="28"/>
      <c r="IM47" s="28"/>
      <c r="IN47" s="28"/>
      <c r="IO47" s="28"/>
      <c r="IP47" s="28"/>
      <c r="IQ47" s="28"/>
      <c r="IR47" s="28"/>
      <c r="IS47" s="28"/>
      <c r="IU47" s="26" t="s">
        <v>10</v>
      </c>
      <c r="IV47" s="370" t="str">
        <f>CLIENTE_NOME</f>
        <v>Giovanni Antonioni</v>
      </c>
      <c r="IW47" s="370"/>
      <c r="IX47" s="370"/>
      <c r="IY47" s="370"/>
      <c r="IZ47" s="370"/>
      <c r="JA47" s="370"/>
      <c r="JB47" s="370"/>
      <c r="JC47" s="370"/>
      <c r="JD47" s="370"/>
      <c r="JE47" s="370"/>
      <c r="JF47" s="370"/>
      <c r="JG47" s="370"/>
      <c r="JH47" s="370"/>
      <c r="JI47" s="370"/>
      <c r="JJ47" s="370"/>
      <c r="JK47" s="370"/>
      <c r="JL47" s="370"/>
      <c r="JM47" s="370"/>
      <c r="JN47" s="370"/>
      <c r="JO47" s="370"/>
      <c r="JP47" s="370"/>
      <c r="JQ47" s="370" t="str">
        <f>CLIENTE_NOME</f>
        <v>Giovanni Antonioni</v>
      </c>
      <c r="JR47" s="370"/>
      <c r="KP47" s="26" t="s">
        <v>10</v>
      </c>
      <c r="KQ47" s="370" t="str">
        <f>CLIENTE_NOME</f>
        <v>Giovanni Antonioni</v>
      </c>
      <c r="KR47" s="370"/>
      <c r="KZ47" s="38"/>
      <c r="LA47" s="370"/>
      <c r="LB47" s="35"/>
      <c r="LE47" s="376"/>
      <c r="LF47" s="377"/>
      <c r="LO47" s="35">
        <f ca="1">NOW()</f>
        <v>45377.746028587964</v>
      </c>
    </row>
    <row r="48" spans="1:341" ht="46.5" customHeight="1" thickBot="1">
      <c r="O48" s="6" t="s">
        <v>19</v>
      </c>
      <c r="P48" s="36" t="e">
        <f>VLOOKUP(rivenditore,ElencoRivenditori,COLstato,FALSE)</f>
        <v>#N/A</v>
      </c>
      <c r="W48" s="35"/>
      <c r="Y48" s="40" t="e">
        <f>IF(AND(ordine_n&lt;&gt;"",ns_sede&lt;&gt;"",VLOOKUP("prodottons",elenco_fornitori,MATCH("id_reg",int_elenco_fornitori,0),FALSE)&lt;&gt;""),"OR" &amp; ROUND(ordine_n,0)&amp; "D" &amp;VLOOKUP("prodottons",elenco_fornitori,MATCH("id_reg",int_elenco_fornitori,0),FALSE)&amp;ns_sede,"")</f>
        <v>#REF!</v>
      </c>
      <c r="Z48" s="35"/>
      <c r="AV48" s="6" t="s">
        <v>19</v>
      </c>
      <c r="AW48" s="36" t="e">
        <f>VLOOKUP(rivenditore,ElencoRivenditori,COLstato,FALSE)</f>
        <v>#N/A</v>
      </c>
      <c r="BE48" s="37">
        <f ca="1">NOW()</f>
        <v>45377.746028587964</v>
      </c>
      <c r="GI48" s="378">
        <f ca="1">NOW()</f>
        <v>45377.746028587964</v>
      </c>
      <c r="GJ48" s="378"/>
      <c r="GK48" s="35"/>
      <c r="GN48" s="35"/>
      <c r="GO48" s="35"/>
      <c r="GP48" s="35"/>
      <c r="GQ48" s="35"/>
      <c r="GR48" s="35"/>
      <c r="GS48" s="35"/>
      <c r="GT48" s="35"/>
      <c r="GU48" s="35"/>
      <c r="GV48" s="35"/>
      <c r="GW48" s="35"/>
      <c r="GX48" s="35"/>
      <c r="GY48" s="35"/>
      <c r="GZ48" s="35"/>
      <c r="HA48" s="35"/>
      <c r="HB48" s="35"/>
      <c r="HC48" s="35"/>
      <c r="HD48" s="35"/>
      <c r="HE48" s="35"/>
      <c r="HF48" s="35"/>
      <c r="HG48" s="35"/>
      <c r="HH48" s="35"/>
      <c r="HI48" s="35"/>
      <c r="HJ48" s="35"/>
      <c r="HK48" s="35"/>
      <c r="HL48" s="35"/>
      <c r="HM48" s="35"/>
      <c r="HN48" s="35"/>
      <c r="HP48" s="35"/>
      <c r="HU48" s="35"/>
      <c r="HV48" s="35"/>
      <c r="HX48" s="35"/>
      <c r="HY48" s="35"/>
      <c r="HZ48" s="35"/>
      <c r="IA48" s="26" t="s">
        <v>15</v>
      </c>
      <c r="IB48" s="27" t="str">
        <f>IF(stanza1="","",stanza1)</f>
        <v/>
      </c>
      <c r="IC48" s="27"/>
      <c r="IL48" s="35"/>
      <c r="IM48" s="35"/>
      <c r="IN48" s="35"/>
      <c r="IO48" s="35"/>
      <c r="IP48" s="35"/>
      <c r="IQ48" s="35"/>
      <c r="IR48" s="35"/>
      <c r="IS48" s="35"/>
      <c r="IU48" s="26" t="s">
        <v>15</v>
      </c>
      <c r="IV48" s="27" t="str">
        <f>IF(stanza1="","",stanza1)</f>
        <v/>
      </c>
      <c r="IW48" s="27"/>
      <c r="IX48" s="27"/>
      <c r="IY48" s="27"/>
      <c r="IZ48" s="27"/>
      <c r="JA48" s="27"/>
      <c r="JB48" s="27"/>
      <c r="JC48" s="27"/>
      <c r="JD48" s="27"/>
      <c r="JE48" s="27"/>
      <c r="JF48" s="27"/>
      <c r="JG48" s="27"/>
      <c r="JH48" s="27"/>
      <c r="JI48" s="27"/>
      <c r="JJ48" s="27"/>
      <c r="JK48" s="27"/>
      <c r="JL48" s="27"/>
      <c r="JM48" s="27"/>
      <c r="JN48" s="27"/>
      <c r="JO48" s="27"/>
      <c r="JP48" s="27"/>
      <c r="JQ48" s="27" t="str">
        <f>IF(stanza1="","",stanza1)</f>
        <v/>
      </c>
      <c r="JR48" s="27"/>
      <c r="KB48" s="43" t="s">
        <v>22</v>
      </c>
      <c r="KC48" s="43"/>
      <c r="KD48" s="43"/>
      <c r="KE48" s="43"/>
      <c r="KH48" s="379" t="s">
        <v>233</v>
      </c>
      <c r="KI48" s="379"/>
      <c r="KK48" s="380"/>
      <c r="KP48" s="26" t="s">
        <v>15</v>
      </c>
      <c r="KQ48" s="27" t="str">
        <f>IF(stanza1="","",stanza1)</f>
        <v/>
      </c>
      <c r="KR48" s="27"/>
      <c r="KS48" s="4"/>
      <c r="LE48" s="323"/>
    </row>
    <row r="49" spans="1:331" s="386" customFormat="1" ht="87" customHeight="1" thickBot="1">
      <c r="A49" s="44"/>
      <c r="B49" s="44"/>
      <c r="C49" s="44"/>
      <c r="D49" s="45"/>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325"/>
      <c r="AH49" s="325"/>
      <c r="AI49" s="381" t="s">
        <v>26</v>
      </c>
      <c r="AJ49" s="381"/>
      <c r="AK49" s="381"/>
      <c r="AL49" s="44"/>
      <c r="AM49" s="44"/>
      <c r="AN49" s="44"/>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s="382" t="s">
        <v>27</v>
      </c>
      <c r="CJ49" s="358"/>
      <c r="CK49"/>
      <c r="CL49" s="383"/>
      <c r="CM49" s="44"/>
      <c r="CN49" s="44"/>
      <c r="CO49"/>
      <c r="CP49"/>
      <c r="CQ49" s="382" t="s">
        <v>234</v>
      </c>
      <c r="CR49" s="383"/>
      <c r="CS49"/>
      <c r="CT49" s="10"/>
      <c r="CU49" s="10"/>
      <c r="CV49"/>
      <c r="CW49" s="10"/>
      <c r="CX49" s="10"/>
      <c r="CY49" s="10"/>
      <c r="CZ49" s="10"/>
      <c r="DA49" s="10"/>
      <c r="DB49" s="10"/>
      <c r="DC49" s="10"/>
      <c r="DD49" s="10"/>
      <c r="DE49" s="10"/>
      <c r="DF49" s="10"/>
      <c r="DG49" s="10"/>
      <c r="DH49" s="10"/>
      <c r="DI49" s="10"/>
      <c r="DJ49" s="10"/>
      <c r="DK49"/>
      <c r="DL49"/>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c r="EN49" s="10"/>
      <c r="EO49" s="384" t="s">
        <v>235</v>
      </c>
      <c r="EP49" s="385"/>
      <c r="EQ49"/>
      <c r="ER49"/>
      <c r="ES49" s="323"/>
      <c r="ET49"/>
      <c r="EU49"/>
      <c r="EV49"/>
      <c r="EW49"/>
      <c r="EX49"/>
      <c r="EY49"/>
      <c r="EZ49"/>
      <c r="FA49"/>
      <c r="FB49"/>
      <c r="FC49"/>
      <c r="FD49"/>
      <c r="FE49"/>
      <c r="FF49"/>
      <c r="FG49"/>
      <c r="FH49"/>
      <c r="FI49"/>
      <c r="FJ49"/>
      <c r="FK49"/>
      <c r="FL49"/>
      <c r="FM49"/>
      <c r="FN49"/>
      <c r="FO49"/>
      <c r="FP49"/>
      <c r="FQ49"/>
      <c r="FR49"/>
      <c r="FS49"/>
      <c r="FT49"/>
      <c r="FY49"/>
      <c r="FZ49"/>
      <c r="GA49"/>
      <c r="GB49"/>
      <c r="GC49"/>
      <c r="GD49"/>
      <c r="GE49"/>
      <c r="GF49"/>
      <c r="GG49"/>
      <c r="GH49"/>
      <c r="GI49" s="325" t="s">
        <v>236</v>
      </c>
      <c r="GJ49" s="387" t="str">
        <f>modello1</f>
        <v>MODERNA</v>
      </c>
      <c r="GK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s="6" t="s">
        <v>19</v>
      </c>
      <c r="IC49" s="36" t="e">
        <f>VLOOKUP(rivenditore,ElencoRivenditori,COLstato,FALSE)</f>
        <v>#N/A</v>
      </c>
      <c r="ID49"/>
      <c r="IE49"/>
      <c r="IF49"/>
      <c r="IG49"/>
      <c r="IH49"/>
      <c r="II49"/>
      <c r="IJ49"/>
      <c r="IK49"/>
      <c r="IL49"/>
      <c r="IM49"/>
      <c r="IN49"/>
      <c r="IO49"/>
      <c r="IP49"/>
      <c r="IQ49"/>
      <c r="IR49"/>
      <c r="IS49"/>
      <c r="IT49"/>
      <c r="IU49"/>
      <c r="IV49" s="6" t="s">
        <v>19</v>
      </c>
      <c r="IW49" s="36" t="e">
        <f>VLOOKUP(rivenditore,ElencoRivenditori,COLstato,FALSE)</f>
        <v>#N/A</v>
      </c>
      <c r="IX49" s="36"/>
      <c r="IY49" s="36"/>
      <c r="IZ49" s="36"/>
      <c r="JA49" s="36"/>
      <c r="JB49" s="36"/>
      <c r="JC49" s="36"/>
      <c r="JD49" s="36"/>
      <c r="JE49" s="36"/>
      <c r="JF49" s="36"/>
      <c r="JG49" s="36"/>
      <c r="JH49" s="36"/>
      <c r="JI49" s="36"/>
      <c r="JJ49" s="36"/>
      <c r="JK49" s="36"/>
      <c r="JL49" s="36"/>
      <c r="JM49" s="36"/>
      <c r="JN49" s="36"/>
      <c r="JO49" s="36"/>
      <c r="JP49" s="36"/>
      <c r="JQ49" s="6" t="s">
        <v>19</v>
      </c>
      <c r="JR49" s="36" t="e">
        <f>VLOOKUP(rivenditore,ElencoRivenditori,COLstato,FALSE)</f>
        <v>#N/A</v>
      </c>
      <c r="JS49"/>
      <c r="JT49"/>
      <c r="JU49"/>
      <c r="JV49"/>
      <c r="JW49"/>
      <c r="JX49"/>
      <c r="JY49" s="388" t="s">
        <v>46</v>
      </c>
      <c r="JZ49" s="388"/>
      <c r="KA49" s="389"/>
      <c r="KB49" s="349"/>
      <c r="KC49" s="390" t="s">
        <v>47</v>
      </c>
      <c r="KD49" s="391"/>
      <c r="KE49" s="392"/>
      <c r="KF49"/>
      <c r="KG49"/>
      <c r="KH49" s="393" t="s">
        <v>237</v>
      </c>
      <c r="KI49" s="394"/>
      <c r="KJ49"/>
      <c r="KK49" s="395"/>
      <c r="KL49"/>
      <c r="KM49"/>
      <c r="KN49"/>
      <c r="KO49"/>
      <c r="KP49"/>
      <c r="KQ49" s="6" t="s">
        <v>19</v>
      </c>
      <c r="KR49" s="36" t="e">
        <f>VLOOKUP(rivenditore,ElencoRivenditori,COLstato,FALSE)</f>
        <v>#N/A</v>
      </c>
      <c r="KS49"/>
      <c r="KT49"/>
      <c r="KU49"/>
      <c r="KV49"/>
      <c r="KW49"/>
      <c r="KX49"/>
      <c r="KY49"/>
      <c r="KZ49"/>
      <c r="LA49"/>
      <c r="LB49"/>
      <c r="LC49"/>
      <c r="LD49"/>
      <c r="LE49"/>
      <c r="LF49"/>
      <c r="LG49"/>
      <c r="LH49"/>
      <c r="LI49"/>
      <c r="LJ49"/>
      <c r="LK49"/>
      <c r="LL49"/>
      <c r="LM49" s="396"/>
      <c r="LN49" s="396"/>
      <c r="LO49" s="396"/>
      <c r="LP49" s="396"/>
      <c r="LQ49" s="396"/>
      <c r="LR49" s="396"/>
      <c r="LS49" s="396"/>
    </row>
    <row r="50" spans="1:331" ht="90.75" customHeight="1" thickBot="1">
      <c r="A50" s="81" t="s">
        <v>51</v>
      </c>
      <c r="B50" s="81" t="s">
        <v>52</v>
      </c>
      <c r="C50" s="82" t="s">
        <v>53</v>
      </c>
      <c r="D50" s="82" t="s">
        <v>54</v>
      </c>
      <c r="E50" s="82" t="s">
        <v>55</v>
      </c>
      <c r="F50" s="82" t="s">
        <v>56</v>
      </c>
      <c r="G50" s="82"/>
      <c r="H50" s="82"/>
      <c r="I50" s="83" t="s">
        <v>59</v>
      </c>
      <c r="J50" s="84" t="s">
        <v>60</v>
      </c>
      <c r="K50" s="397"/>
      <c r="L50" s="85"/>
      <c r="M50" s="86" t="s">
        <v>62</v>
      </c>
      <c r="N50" s="83" t="s">
        <v>63</v>
      </c>
      <c r="O50" s="87" t="s">
        <v>64</v>
      </c>
      <c r="P50" s="83" t="s">
        <v>65</v>
      </c>
      <c r="Q50" s="85"/>
      <c r="R50" s="83" t="s">
        <v>66</v>
      </c>
      <c r="S50" s="82" t="s">
        <v>67</v>
      </c>
      <c r="T50" s="83" t="s">
        <v>68</v>
      </c>
      <c r="U50" s="82" t="s">
        <v>67</v>
      </c>
      <c r="V50" s="88" t="s">
        <v>69</v>
      </c>
      <c r="W50" s="83" t="s">
        <v>70</v>
      </c>
      <c r="X50" s="85"/>
      <c r="Y50" s="83" t="s">
        <v>71</v>
      </c>
      <c r="Z50" s="83" t="s">
        <v>72</v>
      </c>
      <c r="AA50" s="85"/>
      <c r="AB50" s="83" t="s">
        <v>73</v>
      </c>
      <c r="AC50" s="83" t="s">
        <v>74</v>
      </c>
      <c r="AD50" s="85"/>
      <c r="AE50" s="83" t="s">
        <v>75</v>
      </c>
      <c r="AF50" s="89" t="s">
        <v>76</v>
      </c>
      <c r="AG50" s="398" t="s">
        <v>77</v>
      </c>
      <c r="AI50" s="399" t="s">
        <v>54</v>
      </c>
      <c r="AJ50" s="400" t="s">
        <v>55</v>
      </c>
      <c r="AK50" s="401" t="s">
        <v>56</v>
      </c>
      <c r="AL50" s="82"/>
      <c r="AM50" s="82"/>
      <c r="AN50" s="93"/>
      <c r="AP50" s="325"/>
      <c r="AQ50" s="402" t="s">
        <v>54</v>
      </c>
      <c r="AR50" s="96" t="s">
        <v>79</v>
      </c>
      <c r="AS50" s="96" t="s">
        <v>80</v>
      </c>
      <c r="AT50" s="56"/>
      <c r="AU50" s="98" t="s">
        <v>81</v>
      </c>
      <c r="AV50" s="56"/>
      <c r="AW50" s="403" t="s">
        <v>238</v>
      </c>
      <c r="AY50" s="402" t="s">
        <v>54</v>
      </c>
      <c r="AZ50" s="100" t="s">
        <v>82</v>
      </c>
      <c r="BA50" s="100" t="s">
        <v>83</v>
      </c>
      <c r="BB50" s="404"/>
      <c r="BC50" s="101" t="s">
        <v>84</v>
      </c>
      <c r="BD50" s="405"/>
      <c r="BE50" s="100" t="s">
        <v>85</v>
      </c>
      <c r="BF50" s="100" t="s">
        <v>86</v>
      </c>
      <c r="BG50" s="404"/>
      <c r="BH50" s="101" t="s">
        <v>87</v>
      </c>
      <c r="BI50" s="405"/>
      <c r="BJ50" s="402" t="s">
        <v>54</v>
      </c>
      <c r="BK50" s="99" t="s">
        <v>88</v>
      </c>
      <c r="BL50" s="402" t="s">
        <v>89</v>
      </c>
      <c r="BN50" s="103" t="s">
        <v>90</v>
      </c>
      <c r="BQ50" s="406" t="s">
        <v>41</v>
      </c>
      <c r="BR50" s="406" t="s">
        <v>91</v>
      </c>
      <c r="BS50" s="406" t="s">
        <v>92</v>
      </c>
      <c r="BT50" s="406" t="s">
        <v>93</v>
      </c>
      <c r="BU50" s="407"/>
      <c r="BV50" s="407"/>
      <c r="BW50" s="407"/>
      <c r="BX50" s="407"/>
      <c r="BY50" s="407"/>
      <c r="CA50" s="408" t="s">
        <v>54</v>
      </c>
      <c r="CB50" s="408" t="s">
        <v>94</v>
      </c>
      <c r="CC50" s="386"/>
      <c r="CD50" s="408" t="s">
        <v>54</v>
      </c>
      <c r="CE50" s="408" t="s">
        <v>95</v>
      </c>
      <c r="CG50" s="409" t="s">
        <v>51</v>
      </c>
      <c r="CH50" s="10"/>
      <c r="CI50" s="410" t="s">
        <v>54</v>
      </c>
      <c r="CJ50" s="411" t="s">
        <v>89</v>
      </c>
      <c r="CL50" s="403" t="s">
        <v>239</v>
      </c>
      <c r="CM50" s="82"/>
      <c r="CN50" s="82"/>
      <c r="CQ50" s="412" t="s">
        <v>54</v>
      </c>
      <c r="CR50" s="413" t="s">
        <v>89</v>
      </c>
      <c r="CT50" s="280"/>
      <c r="CU50" s="280"/>
      <c r="CW50" s="280"/>
      <c r="CX50" s="280"/>
      <c r="CY50" s="280"/>
      <c r="CZ50" s="280"/>
      <c r="DA50" s="280"/>
      <c r="DB50" s="280"/>
      <c r="DC50" s="280"/>
      <c r="DD50" s="280"/>
      <c r="DE50" s="280"/>
      <c r="DF50" s="280"/>
      <c r="DG50" s="280"/>
      <c r="DH50" s="280"/>
      <c r="DI50" s="280"/>
      <c r="DJ50" s="280"/>
      <c r="DM50" s="280"/>
      <c r="DN50" s="280"/>
      <c r="DO50" s="280"/>
      <c r="DP50" s="280"/>
      <c r="DQ50" s="280"/>
      <c r="DR50" s="280"/>
      <c r="DS50" s="280"/>
      <c r="DT50" s="280"/>
      <c r="DU50" s="280"/>
      <c r="DV50" s="280"/>
      <c r="DW50" s="280"/>
      <c r="DX50" s="280"/>
      <c r="DY50" s="280"/>
      <c r="DZ50" s="280"/>
      <c r="EA50" s="280"/>
      <c r="EB50" s="280"/>
      <c r="EC50" s="280"/>
      <c r="ED50" s="280"/>
      <c r="EE50" s="280"/>
      <c r="EF50" s="280"/>
      <c r="EG50" s="280"/>
      <c r="EH50" s="280"/>
      <c r="EI50" s="280"/>
      <c r="EJ50" s="280"/>
      <c r="EK50" s="280"/>
      <c r="EL50" s="280"/>
      <c r="EM50" s="10"/>
      <c r="EN50" s="120" t="s">
        <v>99</v>
      </c>
      <c r="EO50" s="412" t="s">
        <v>54</v>
      </c>
      <c r="EP50" s="413" t="s">
        <v>89</v>
      </c>
      <c r="EQ50" s="405"/>
      <c r="ER50" s="405"/>
      <c r="ES50" s="405"/>
      <c r="ET50" s="405"/>
      <c r="EU50" s="414" t="s">
        <v>240</v>
      </c>
      <c r="EV50" s="415" t="s">
        <v>241</v>
      </c>
      <c r="EW50" s="416" t="s">
        <v>116</v>
      </c>
      <c r="EX50" s="416" t="s">
        <v>242</v>
      </c>
      <c r="EY50" s="405"/>
      <c r="EZ50" s="416" t="s">
        <v>118</v>
      </c>
      <c r="FT50" s="123" t="s">
        <v>115</v>
      </c>
      <c r="GI50" s="417" t="s">
        <v>51</v>
      </c>
      <c r="GJ50" s="418" t="s">
        <v>54</v>
      </c>
      <c r="GK50" s="419" t="s">
        <v>88</v>
      </c>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418" t="s">
        <v>89</v>
      </c>
      <c r="HN50" s="420"/>
      <c r="IA50" s="51"/>
      <c r="II50" s="421" t="s">
        <v>51</v>
      </c>
      <c r="IJ50" s="408" t="s">
        <v>54</v>
      </c>
      <c r="IK50" s="408" t="s">
        <v>94</v>
      </c>
      <c r="IL50" s="386"/>
      <c r="IM50" s="408" t="s">
        <v>54</v>
      </c>
      <c r="IN50" s="408" t="s">
        <v>95</v>
      </c>
      <c r="IO50" s="405"/>
      <c r="IP50" s="405"/>
      <c r="IT50" s="405"/>
      <c r="IU50" s="405"/>
      <c r="IV50" s="405"/>
      <c r="IW50" s="405"/>
      <c r="IX50" s="405"/>
      <c r="IY50" s="405"/>
      <c r="IZ50" s="405"/>
      <c r="JA50" s="405"/>
      <c r="JB50" s="405"/>
      <c r="JC50" s="405"/>
      <c r="JD50" s="405"/>
      <c r="JE50" s="405"/>
      <c r="JF50" s="405"/>
      <c r="JG50" s="405"/>
      <c r="JH50" s="405"/>
      <c r="JI50" s="405"/>
      <c r="JJ50" s="405"/>
      <c r="JK50" s="405"/>
      <c r="JL50" s="405"/>
      <c r="JM50" s="405"/>
      <c r="JN50" s="405"/>
      <c r="JO50" s="405"/>
      <c r="JP50" s="405"/>
      <c r="JQ50" s="405"/>
      <c r="JR50" s="405"/>
      <c r="JS50" s="421" t="s">
        <v>51</v>
      </c>
      <c r="JT50" s="405" t="s">
        <v>54</v>
      </c>
      <c r="JU50" s="405" t="s">
        <v>148</v>
      </c>
      <c r="JV50" s="405" t="s">
        <v>80</v>
      </c>
      <c r="JW50" s="405"/>
      <c r="JX50" s="405"/>
      <c r="JY50" s="422" t="s">
        <v>149</v>
      </c>
      <c r="JZ50" s="99" t="s">
        <v>150</v>
      </c>
      <c r="KA50" s="405"/>
      <c r="KB50" s="423" t="s">
        <v>151</v>
      </c>
      <c r="KC50" s="423" t="s">
        <v>152</v>
      </c>
      <c r="KD50" s="423" t="s">
        <v>153</v>
      </c>
      <c r="KE50" s="423" t="s">
        <v>154</v>
      </c>
      <c r="KG50" s="424" t="s">
        <v>54</v>
      </c>
      <c r="KH50" s="425" t="s">
        <v>148</v>
      </c>
      <c r="KI50" s="426" t="s">
        <v>80</v>
      </c>
      <c r="KK50" s="427" t="s">
        <v>54</v>
      </c>
      <c r="KL50" s="428" t="s">
        <v>155</v>
      </c>
      <c r="KM50" s="404"/>
      <c r="KO50" s="427" t="s">
        <v>54</v>
      </c>
      <c r="KP50" s="429" t="s">
        <v>156</v>
      </c>
      <c r="KQ50" s="349"/>
      <c r="KY50" s="421" t="s">
        <v>51</v>
      </c>
      <c r="KZ50" s="404" t="s">
        <v>54</v>
      </c>
      <c r="LA50" s="404" t="s">
        <v>55</v>
      </c>
      <c r="LB50" s="404" t="s">
        <v>56</v>
      </c>
      <c r="LC50" s="405"/>
      <c r="LD50" s="430" t="s">
        <v>243</v>
      </c>
      <c r="LE50" s="405"/>
      <c r="LF50" s="405"/>
      <c r="LG50" s="431" t="str">
        <f>C52</f>
        <v>MODERNA</v>
      </c>
      <c r="LH50" s="432">
        <f>D52</f>
        <v>1</v>
      </c>
      <c r="LI50" s="432">
        <f>E52</f>
        <v>100</v>
      </c>
      <c r="LJ50" s="432">
        <f>F52</f>
        <v>80</v>
      </c>
      <c r="LK50" s="405"/>
      <c r="LL50" s="433"/>
      <c r="LM50" s="434" t="e">
        <f>#REF!</f>
        <v>#REF!</v>
      </c>
      <c r="LN50" s="434" t="e">
        <f>#REF!</f>
        <v>#REF!</v>
      </c>
      <c r="LO50" s="434"/>
      <c r="LP50" s="434" t="str">
        <f t="shared" ref="LP50:LP58" si="33">GK50</f>
        <v>tipo di profilo sotto</v>
      </c>
      <c r="LQ50" s="434" t="e">
        <f>#REF!</f>
        <v>#REF!</v>
      </c>
      <c r="LR50" s="434" t="str">
        <f>HM50</f>
        <v>LUNG</v>
      </c>
      <c r="LS50" s="434"/>
    </row>
    <row r="51" spans="1:331" ht="51" customHeight="1">
      <c r="A51" s="150"/>
      <c r="B51" s="150"/>
      <c r="C51" s="150"/>
      <c r="D51" s="150"/>
      <c r="E51" s="150"/>
      <c r="F51" s="150"/>
      <c r="G51" s="150"/>
      <c r="H51" s="150"/>
      <c r="I51" s="150"/>
      <c r="J51" s="150"/>
      <c r="K51" s="150"/>
      <c r="L51" s="150"/>
      <c r="M51" s="151" t="s">
        <v>244</v>
      </c>
      <c r="N51" s="150"/>
      <c r="O51" s="152" t="s">
        <v>159</v>
      </c>
      <c r="P51" s="150"/>
      <c r="Q51" s="150"/>
      <c r="R51" s="150"/>
      <c r="S51" s="150"/>
      <c r="T51" s="150"/>
      <c r="U51" s="150"/>
      <c r="V51" s="150"/>
      <c r="W51" s="150"/>
      <c r="X51" s="150"/>
      <c r="Y51" s="150"/>
      <c r="Z51" s="150"/>
      <c r="AA51" s="150"/>
      <c r="AB51" s="150"/>
      <c r="AC51" s="150"/>
      <c r="AD51" s="150"/>
      <c r="AE51" s="150"/>
      <c r="AF51" s="150"/>
      <c r="AL51" s="150"/>
      <c r="AM51" s="150"/>
      <c r="AN51" s="150"/>
      <c r="AR51" s="151" t="s">
        <v>158</v>
      </c>
      <c r="AW51" s="435"/>
      <c r="AY51" s="436"/>
      <c r="BC51" s="435"/>
      <c r="BE51" s="436"/>
      <c r="BH51" s="435"/>
      <c r="CM51" s="150"/>
      <c r="CN51" s="150"/>
    </row>
    <row r="52" spans="1:331" s="150" customFormat="1" ht="34.5" customHeight="1">
      <c r="A52" s="168">
        <v>1</v>
      </c>
      <c r="B52" s="260">
        <f>IF(modelloAUTO1=$B$46,stanza1,"")</f>
        <v>0</v>
      </c>
      <c r="C52" s="170" t="str">
        <f>IF(modelloAUTO1="","",modelloAUTO1)</f>
        <v>MODERNA</v>
      </c>
      <c r="D52" s="171">
        <f>IF(pezzi1="","",pezzi1)</f>
        <v>1</v>
      </c>
      <c r="E52" s="172">
        <f>IF(larghezza1="","",LARGortogonalitaADEGUATA1)</f>
        <v>100</v>
      </c>
      <c r="F52" s="173">
        <f>IF(altezza1="","",altezza1)</f>
        <v>80</v>
      </c>
      <c r="G52" s="173"/>
      <c r="H52" s="173"/>
      <c r="I52" s="176" t="str">
        <f>IF(modelloAUTO1="","",IF(vernBarriera1="","",vernBarriera1))</f>
        <v/>
      </c>
      <c r="J52" s="177" t="str">
        <f>IF(modelloAUTO1=$B$46,IF(PELLICOLA1="","",pezzi1),"")</f>
        <v/>
      </c>
      <c r="K52" s="437"/>
      <c r="M52" s="179" t="str">
        <f>IF(modelloAUTO1=$B$46,IF(PROFlatAUTO1="ESCLUSI","",IF(PROFlatRICH1="","STD",PROFlatRICH1)),"")</f>
        <v/>
      </c>
      <c r="N52" s="176" t="str">
        <f>IF(modelloAUTO1="","",IF(copertina1="","",TIPOcopertina1))</f>
        <v/>
      </c>
      <c r="O52" s="196" t="str">
        <f>IF(AND(modelloAUTO1=$B$46,PROFlatAUTO1&lt;&gt;"ESCLUSI"),IF(ALTprofLATrich1="","STD",ALTprofLATrich1),"")</f>
        <v/>
      </c>
      <c r="P52" s="176" t="str">
        <f>IF(modelloAUTO1="","",IF(vernPROFlatTEN1="","",vernPROFlatTEN1))</f>
        <v/>
      </c>
      <c r="R52" s="176" t="str">
        <f>IF(PROFoTUBsxRICH1="","",PROFoTUBsxRICH1)</f>
        <v/>
      </c>
      <c r="S52" s="182"/>
      <c r="T52" s="176" t="str">
        <f>IF(modelloAUTO1="","",IF(PROFoTUBdxRICH1="","",PROFoTUBdxRICH1))</f>
        <v/>
      </c>
      <c r="U52" s="182"/>
      <c r="V52" s="183" t="str">
        <f>IF(modelloAUTO1="","",IF(PROFoTUBsxRICH1="","",IF(ALTprofOtubRICHsx1="","SX: STD","SX: "&amp;ALTprofOtubRICHsx1&amp;" - "))&amp;IF(PROFoTUBdxRICH1="","",IF(ALTprofOtubRICHdx1="","  DX: STD","DX :"&amp;ALTprofOtubRICHdx1)))</f>
        <v/>
      </c>
      <c r="W52" s="184" t="str">
        <f>IF(modello1="","",IF(vernPROFoTUBlatSX1="","","SX: "&amp;vernPROFoTUBlatSX1&amp;" - ")&amp;IF(vernPROFoTUBlatDX1="",""," DX: "&amp;vernPROFoTUBlatDX1))</f>
        <v/>
      </c>
      <c r="Y52" s="185" t="str">
        <f>IF(modelloAUTO1="","",IF(OR(larghezza1="",profORIZZ1=""),"",CODpiattoORIZZsugg1))</f>
        <v/>
      </c>
      <c r="Z52" s="186" t="str">
        <f>IF(modelloAUTO1="","",IF(profORIZZ1="","",larghezza1+IF(PROFoTUBsxRICH1="",0,VLOOKUP(PROFoTUBsxRICH1,TABprofOtubLATERALI,COLlargPROFoTUBlat,FALSE))+IF(PROFoTUBdxRICH1="",0,VLOOKUP(PROFoTUBdxRICH1,TABprofOtubLATERALI,COLlargPROFoTUBlat,FALSE))))</f>
        <v/>
      </c>
      <c r="AB52" s="187" t="str">
        <f>IF(modelloAUTO1="","",IF(CODpiantCENTRsugg1="","","N° "&amp;fornPIANTcentr1&amp;"-"&amp;IF(CODpiantCENTRsugg1=0,"ERRORE",CODpiantCENTRsugg1)))</f>
        <v/>
      </c>
      <c r="AC52" s="187" t="str">
        <f ca="1">IF(modelloAUTO1="","",IF(CODpiantCENTRsuggAPPOG1="","","N° "&amp;CODpiantCENTRdiAPPOGGIOrich1&amp;"-"&amp;IF(CODpiantCENTRsuggAPPOG1=0,"ERRORE",CODpiantCENTRsuggAPPOG1)))</f>
        <v/>
      </c>
      <c r="AE52" s="188" t="str">
        <f>IF(modelloAUTO1="","",IF(note_cliente1="","",note_cliente1))</f>
        <v/>
      </c>
      <c r="AF52" s="189">
        <f>IF(PesoTEORICOparatia1="","",PesoTEORICOparatia1)</f>
        <v>8</v>
      </c>
      <c r="AG52" s="190">
        <v>1</v>
      </c>
      <c r="AI52" s="191">
        <f>IF(modelloAUTO1=$B$46,pezzi1*UNO,"")</f>
        <v>1</v>
      </c>
      <c r="AJ52" s="438">
        <f>IF(modelloAUTO1=$B$46,larghezza1,"")</f>
        <v>100</v>
      </c>
      <c r="AK52" s="212">
        <f>IF(modelloAUTO1=$B$46,altezza1,"")</f>
        <v>80</v>
      </c>
      <c r="AL52" s="173"/>
      <c r="AM52" s="173"/>
      <c r="AN52" s="194"/>
      <c r="AO52"/>
      <c r="AQ52" s="439">
        <f>IF(modelloAUTO1=$B$46,IF(PROFlatRICH1="",pezzi1*DUE*VLOOKUP($B$46,tabMODELLI,COLprofiliLATdiserie,FALSE),pezzi1*DUE),"")</f>
        <v>0</v>
      </c>
      <c r="AR52" s="179" t="str">
        <f>IF(modelloAUTO1=$B$46,IF(AND(VLOOKUP($B$46,tabMODELLI,COLprofiliLATdiserie,FALSE)=ZERO,PROFlatRICH1=""),"",IF(PROFlatAUTO1&lt;&gt;VLOOKUP($B$46,tabMODELLI,COLcodPROFILIlat,FALSE),PROFlatAUTO1,"STD")),"")</f>
        <v/>
      </c>
      <c r="AS52" s="196" t="str">
        <f>IF(AND(modelloAUTO1=$B$46,PROFlatAUTO1&lt;&gt;"ESCLUSI"),IF(ALTprofLATrich1="","STD",ALTprofLATrich1),"")</f>
        <v/>
      </c>
      <c r="AU52" s="440" t="str">
        <f>IF(modelloAUTO1=$B$46,IF(TIPOcopertina1="","",TIPOcopertina1),"")</f>
        <v/>
      </c>
      <c r="AW52" s="201" t="str">
        <f>IF(AND(modelloAUTO1=$B$46,PROFlatAUTO1&lt;&gt;"ESCLUSI"),IF(vernPROFlatTEN1="","OX ARGENTO",vernPROFlatTEN1),"")</f>
        <v/>
      </c>
      <c r="AY52" s="191">
        <f>IF(modelloAUTO1=$B$46,pezzi1*DUE,"")</f>
        <v>2</v>
      </c>
      <c r="AZ52" s="199" t="str">
        <f>IF(modelloAUTO1=$B$46,IF(PROFoTUBsxRICH1="","",PROFoTUBsxRICH1),"")</f>
        <v/>
      </c>
      <c r="BA52" s="200" t="str">
        <f>IF(AND(modelloAUTO1=$B$46,PROFoTUBsxRICH1&lt;&gt;""),IF(ALTprofOtubRICHsx1="","STD",ALTprofOtubRICHsx1),"")</f>
        <v/>
      </c>
      <c r="BC52" s="201" t="str">
        <f>IF(modelloAUTO1=$B$46,IF(PROFoTUBsxRICH1="","",IF(vernPROFoTUBlatSX1="","OX ARGENTO",vernPROFoTUBlatSX1)),"")</f>
        <v/>
      </c>
      <c r="BE52" s="202" t="str">
        <f>IF(modelloAUTO1=$B$46,IF(PROFoTUBdxRICH1="","",PROFoTUBdxRICH1),"")</f>
        <v/>
      </c>
      <c r="BF52" s="200" t="str">
        <f>IF(AND(modelloAUTO1=$B$46,PROFoTUBdxRICH1&lt;&gt;""),IF(ALTprofOtubRICHdx1="","STD",ALTprofOtubRICHdx1),"")</f>
        <v/>
      </c>
      <c r="BH52" s="203" t="str">
        <f>IF(modelloAUTO1=$B$46,IF(PROFoTUBdxRICH1="","",IF(vernPROFoTUBlatDX1="","OX ARGENTO",vernPROFoTUBlatDX1)),"")</f>
        <v/>
      </c>
      <c r="BJ52" s="204" t="str">
        <f>IF(modelloAUTO1=$B$46,IF(profORIZZ1="","",pezzi1),"")</f>
        <v/>
      </c>
      <c r="BK52" s="205" t="str">
        <f>IF(modelloAUTO1=$B$46,IF(profORIZZ1="","",CODpiattoORIZZsugg1),"")</f>
        <v/>
      </c>
      <c r="BL52" s="206" t="str">
        <f>IF(modelloAUTO1=$B$46,IF(profORIZZ1="","",larghezza1*DIECI+IF(PROFoTUBsxRICH1="",ZERO,VLOOKUP(PROFoTUBsxRICH1,TABprofOtubLATERALI,COLlargPROFoTUBlat,FALSE))+IF(PROFoTUBdxRICH1="",ZERO,VLOOKUP(PROFoTUBdxRICH1,TABprofOtubLATERALI,COLlargPROFoTUBlat,FALSE))),"")</f>
        <v/>
      </c>
      <c r="BN52" s="207" t="e">
        <f ca="1">IF(modelloAUTO1=$B$46,INDEX(INDIRECT("TABnCHIAVISTELLOvert"&amp;$B$46),rif_alt1,rif_larg1)*pezzi1,"")</f>
        <v>#REF!</v>
      </c>
      <c r="BO52"/>
      <c r="BQ52" s="208" t="e">
        <f ca="1">IF(modelloAUTO1=$B$46,INDEX(INDIRECT("TABnMANIGLIEsuperiori"&amp;$B$46),rif_alt1,rif_larg1)+INDEX(INDIRECT("TABnMANIGLIEfrontali"&amp;$B$46),rif_alt1,rif_larg1),"")</f>
        <v>#REF!</v>
      </c>
      <c r="BR52" s="191">
        <f>IF(modelloAUTO1=$B$46,pezzi1*DUE,"")</f>
        <v>2</v>
      </c>
      <c r="BS52" s="209" t="e">
        <f ca="1">IF(modelloAUTO1=$B$46,BQ52*DUE,"")</f>
        <v>#REF!</v>
      </c>
      <c r="BT52" s="209">
        <f>IF(modelloAUTO1=$B$46,BR52*TRE,"")</f>
        <v>6</v>
      </c>
      <c r="BU52" s="441"/>
      <c r="BV52" s="441"/>
      <c r="BW52" s="441"/>
      <c r="BX52" s="441"/>
      <c r="BY52" s="441"/>
      <c r="CA52" s="210" t="str">
        <f>IF(modelloAUTO1=$B$46,IF(fornPIANTcentr1="","",fornPIANTcentr1*pezzi1),"")</f>
        <v/>
      </c>
      <c r="CB52" s="210" t="str">
        <f>IF(modelloAUTO1=$B$46,IF(fornPIANTcentr1="","",CODpiantCENTRsugg1),"")</f>
        <v/>
      </c>
      <c r="CD52" s="210" t="str">
        <f ca="1">IF(modelloAUTO1=$B$46,IF(CODpiantCENTRsuggAPPOG1="","",CODpiantCENTRdiAPPOGGIOrich1),"")</f>
        <v/>
      </c>
      <c r="CE52" s="210" t="str">
        <f ca="1">IF(modelloAUTO1=$B$46,IF(CODpiantCENTRsuggAPPOG1="","",CODpiantCENTRsuggAPPOG1),"")</f>
        <v/>
      </c>
      <c r="CG52" s="442">
        <v>1</v>
      </c>
      <c r="CI52" s="211">
        <f>IF(modelloAUTO1=$B$46,altezza1*DIECI/CEILING(VLOOKUP($B$46,tabMODELLI,COLcoefALTdogaSORMONTATAda200,FALSE),UNO)*pezzi1,"")</f>
        <v>4</v>
      </c>
      <c r="CJ52" s="212">
        <f>IF(modelloAUTO1=$B$46,larghezza1*DIECI-VLOOKUP($B$46,tabMODELLI,COLcoeffTAGLIOdogaOPPURElastraINlarg,FALSE)-VLOOKUP(PROFlatAUTO1,TABprofLATten,COLcoeffCALOdoga,FALSE),"")</f>
        <v>806</v>
      </c>
      <c r="CK52"/>
      <c r="CL52" s="203" t="str">
        <f>IF(modelloAUTO1=$B$46,IF(vernBarriera1="","STD",vernBarriera1),"")</f>
        <v>STD</v>
      </c>
      <c r="CM52" s="173"/>
      <c r="CN52" s="173"/>
      <c r="CO52"/>
      <c r="CP52"/>
      <c r="CQ52" s="216">
        <f>IF(modelloAUTO1=$B$46,pezzi1*DUE,"")</f>
        <v>2</v>
      </c>
      <c r="CR52" s="212">
        <f>IF(modelloAUTO1=$B$46,altezza1*DIECI+VLOOKUP($B$46,tabMODELLI,COLcoeffTAGLIOPROFILIlateraliEverticaliAttaccatiALLAbarriera,FALSE),"")</f>
        <v>813</v>
      </c>
      <c r="CS52"/>
      <c r="CT52" s="281"/>
      <c r="CU52" s="281"/>
      <c r="CV52"/>
      <c r="CW52" s="281"/>
      <c r="CX52" s="281"/>
      <c r="CY52" s="281"/>
      <c r="CZ52" s="281"/>
      <c r="DA52" s="281"/>
      <c r="DB52" s="281"/>
      <c r="DC52" s="281"/>
      <c r="DD52" s="281"/>
      <c r="DE52" s="281"/>
      <c r="DF52" s="281"/>
      <c r="DG52" s="281"/>
      <c r="DH52" s="281"/>
      <c r="DI52" s="281"/>
      <c r="DJ52" s="281"/>
      <c r="DK52"/>
      <c r="DL52"/>
      <c r="DM52" s="281"/>
      <c r="DN52" s="281"/>
      <c r="DO52" s="281"/>
      <c r="DP52" s="281"/>
      <c r="DQ52" s="281"/>
      <c r="DR52" s="281"/>
      <c r="DS52" s="281"/>
      <c r="DT52" s="281"/>
      <c r="DU52" s="281"/>
      <c r="DV52" s="281"/>
      <c r="DW52" s="281"/>
      <c r="DX52" s="281"/>
      <c r="DY52" s="281"/>
      <c r="DZ52" s="281"/>
      <c r="EA52" s="281"/>
      <c r="EB52" s="281"/>
      <c r="EC52" s="281"/>
      <c r="ED52" s="281"/>
      <c r="EE52" s="281"/>
      <c r="EF52" s="281"/>
      <c r="EG52" s="281"/>
      <c r="EH52" s="281"/>
      <c r="EI52" s="281"/>
      <c r="EJ52" s="281"/>
      <c r="EK52" s="281"/>
      <c r="EL52" s="281"/>
      <c r="EM52" s="218"/>
      <c r="EN52" s="179" t="str">
        <f>IF(modelloAUTO1=$B$46,IF(PROFlatRICH1="","STD",PROFlatRICH1),"")</f>
        <v>STD</v>
      </c>
      <c r="EO52" s="191">
        <f>IF(modelloAUTO1=$B$46,IF(PROFlatRICH1="",pezzi1*DUE*VLOOKUP($B$46,tabMODELLI,COLprofiliLATdiserie,FALSE),pezzi1*DUE),"")</f>
        <v>0</v>
      </c>
      <c r="EP52" s="238">
        <f>IF(modelloAUTO1=$B$46,VLOOKUP($B$46,tabMODELLI,COLcoeffALTguarnINFERIOREschiacciata,FALSE)+(VLOOKUP($B$46,tabMODELLI,COLcoefALTdogaREALEda200,FALSE)+(VLOOKUP($B$46,tabMODELLI,COLcoefALTdogaSORMONTATAda200,FALSE)*(CEILING(altezza1*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824.5</v>
      </c>
      <c r="EQ52" s="179"/>
      <c r="ER52" s="218"/>
      <c r="ES52" s="218"/>
      <c r="ET52" s="218"/>
      <c r="EU52" s="276" t="e">
        <f ca="1">IF(OR(modelloAUTO1=$B$46,modelloAUTO1=CLICK_RAPIDxPRIVATO),INDEX(INDIRECT("TABnCHIAVISTELLOvert"&amp;$B$46),rif_alt1,rif_larg1)*pezzi1,"")</f>
        <v>#REF!</v>
      </c>
      <c r="EV52" s="443" t="str">
        <f ca="1">IF(AND(nCatenacci1&lt;&gt;"",profORIZZ1&lt;&gt;""),spessoreCATENACCIOverticale60X15X300,"")</f>
        <v/>
      </c>
      <c r="EW52" s="208" t="e">
        <f ca="1">IF(modelloAUTO1=$B$46,INDEX(INDIRECT("TABnMANIGLIEsuperiori"&amp;$B$46),rif_alt1,rif_larg1),"")</f>
        <v>#REF!</v>
      </c>
      <c r="EX52" s="243" t="e">
        <f ca="1">IF(modelloAUTO1=$B$46,(larghezza1-CATENACCIOLOorizzontaleINGOMBROclick_rapid-DUE)/INDEX(INDIRECT("TABnMANIGLIEsuperiori"&amp;$B$46),rif_alt1,rif_larg1),"")</f>
        <v>#REF!</v>
      </c>
      <c r="EZ52" s="209" t="e">
        <f ca="1">IF(modelloAUTO1=$B$46,INDEX(INDIRECT("TABnMANIGLIEfrontali"&amp;$B$46),rif_alt1,rif_larg1),"")</f>
        <v>#REF!</v>
      </c>
      <c r="FA52"/>
      <c r="FB52"/>
      <c r="FC52"/>
      <c r="FD52"/>
      <c r="FE52"/>
      <c r="FF52"/>
      <c r="FG52"/>
      <c r="FH52"/>
      <c r="FI52"/>
      <c r="FJ52"/>
      <c r="FK52"/>
      <c r="FL52"/>
      <c r="FM52"/>
      <c r="FN52"/>
      <c r="FO52"/>
      <c r="FP52"/>
      <c r="FQ52"/>
      <c r="FR52"/>
      <c r="FS52"/>
      <c r="FT52" s="241" t="e">
        <f ca="1">IF(nCatenacci1=ZERO,"",(CJ52+QUATTRO-(IF(nCatenacci1="",ZERO,SESSANTA*(nCatenacci1/PZCLICK_RAPID1))))/((nCatenacci1/PZCLICK_RAPID1)+UNO))</f>
        <v>#VALUE!</v>
      </c>
      <c r="FZ52"/>
      <c r="GA52"/>
      <c r="GB52"/>
      <c r="GI52" s="168">
        <v>1</v>
      </c>
      <c r="GJ52" s="204" t="str">
        <f>IF(modelloAUTO1=$B$46,IF(profORIZZ1="","",pezzi1),"")</f>
        <v/>
      </c>
      <c r="GK52" s="205" t="str">
        <f>IF(modelloAUTO1=$B$46,IF(profORIZZ1="","",CODpiattoORIZZsugg1),"")</f>
        <v/>
      </c>
      <c r="HM52" s="206" t="str">
        <f>IF(modelloAUTO1=$B$46,IF(profORIZZ1="","",larghezza1*DIECI+IF(PROFoTUBsxRICH1="",ZERO,VLOOKUP(PROFoTUBsxRICH1,TABprofOtubLATERALI,COLlargPROFoTUBlat,FALSE))+IF(PROFoTUBdxRICH1="",ZERO,VLOOKUP(PROFoTUBdxRICH1,TABprofOtubLATERALI,COLlargPROFoTUBlat,FALSE))),"")</f>
        <v/>
      </c>
      <c r="HO52"/>
      <c r="HQ52"/>
      <c r="HR52"/>
      <c r="HS52"/>
      <c r="HT52"/>
      <c r="HW52"/>
      <c r="II52" s="168">
        <v>1</v>
      </c>
      <c r="IJ52" s="210" t="str">
        <f>IF(modelloAUTO1=$B$46,IF(fornPIANTcentr1="","",fornPIANTcentr1*pezzi1),"")</f>
        <v/>
      </c>
      <c r="IK52" s="210" t="str">
        <f>IF(modelloAUTO1=$B$46,IF(fornPIANTcentr1="","",CODpiantCENTRsugg1),"")</f>
        <v/>
      </c>
      <c r="IM52" s="210" t="str">
        <f ca="1">IF(modelloAUTO1=$B$46,IF(CODpiantCENTRsuggAPPOG1="","",CODpiantCENTRdiAPPOGGIOrich1),"")</f>
        <v/>
      </c>
      <c r="IN52" s="210" t="str">
        <f ca="1">IF(modelloAUTO1=$B$46,IF(CODpiantCENTRsuggAPPOG1="","",CODpiantCENTRsuggAPPOG1),"")</f>
        <v/>
      </c>
      <c r="JS52" s="168">
        <v>1</v>
      </c>
      <c r="JT52" s="259">
        <f>IF(CI90="","",D53)</f>
        <v>1</v>
      </c>
      <c r="JU52" s="236">
        <f t="shared" ref="JU52:JU57" si="34">IF(CI90="","",E53-9)</f>
        <v>90.9</v>
      </c>
      <c r="JV52" s="236">
        <f t="shared" ref="JV52:JV57" si="35">IF(CI90="","",F53+16)</f>
        <v>116</v>
      </c>
      <c r="JY52" s="230">
        <f>IF(modelloAUTO1=$B$46,larghezza1*DIECI+VLOOKUP($B$46,tabMODELLI,COLcoefAUMlargBUSTApvc,FALSE)+VLOOKUP($B$46,tabMODELLI,COLcoefAUMlargXprofILIlateraliBUSTApvc,FALSE)+IF(PROFoTUBsxRICH1="",ZERO,VLOOKUP(PROFoTUBsxRICH1,TABprofOtubLATERALI,COLlargPROFoTUBlatXimballaggio,FALSE)+profELETTRODOsaldaturaPVC)+IF(PROFoTUBdxRICH1="",ZERO,VLOOKUP(PROFoTUBdxRICH1,TABprofOtubLATERALI,COLlargPROFoTUBlatXimballaggio,FALSE)+profELETTRODOsaldaturaPVC),"")</f>
        <v>1185</v>
      </c>
      <c r="JZ52" s="230">
        <f>IF(modelloAUTO1=$B$46,altezza1*DIECI*DUE+VLOOKUP($B$46,tabMODELLI,COLcoefAUMaltBUSTApvc,FALSE),"")</f>
        <v>2040</v>
      </c>
      <c r="KA52" s="261"/>
      <c r="KB52" s="230">
        <f>IF(modelloAUTO1=$B$46,altezza1*DIECI+VLOOKUP($B$46,tabMODELLI,COLcoeffSALDATURAinALTbustaPVC,FALSE),"")</f>
        <v>930</v>
      </c>
      <c r="KC52" s="230">
        <f>IF(modelloAUTO1=$B$46,VLOOKUP($B$46,tabMODELLI,COLcoeffSALDATURAinLARGperTASCAbustaPVC,FALSE),"")</f>
        <v>0</v>
      </c>
      <c r="KD52" s="230" t="str">
        <f>IF(modelloAUTO1=$B$46,IF(PROFoTUBsxRICH1="","",VLOOKUP(PROFoTUBsxRICH1,TABprofOtubLATERALI,COLlargPROFoTUBlatXimballaggio,FALSE)),"")</f>
        <v/>
      </c>
      <c r="KE52" s="230" t="str">
        <f>IF(modelloAUTO1=$B$46,IF(PROFoTUBdxRICH1="","",VLOOKUP(PROFoTUBdxRICH1,TABprofOtubLATERALI,COLlargPROFoTUBlatXimballaggio,FALSE)),"")</f>
        <v/>
      </c>
      <c r="KG52" s="262">
        <f>IF(modelloAUTO1=$B$46,pezzi1*DUE,"")</f>
        <v>2</v>
      </c>
      <c r="KH52" s="263">
        <f>IF(modelloAUTO1=$B$46,larghezza1+VLOOKUP($B$46,tabMODELLI,COLcoeffAUMoCALOinLARGpolistirolo,FALSE),"")</f>
        <v>100.5</v>
      </c>
      <c r="KI52" s="263">
        <f>IF(modelloAUTO1=$B$46,altezza1+VLOOKUP($B$46,tabMODELLI,COLcoeffAUMoCALOinALTpolistirolo,FALSE),"")</f>
        <v>78.5</v>
      </c>
      <c r="KK52" s="262">
        <f>IF(modelloAUTO1=$B$46,pezzi1*DUE,"")</f>
        <v>2</v>
      </c>
      <c r="KL52" s="263">
        <f>IF(modelloAUTO1=$B$46,larghezza1+VLOOKUP($B$46,tabMODELLI,colCOEFFdellaLARGnelFIANCOpolistirolo,FALSE),"")</f>
        <v>104.5</v>
      </c>
      <c r="KM52" s="263">
        <f>IF(modelloAUTO1=$B$46,VLOOKUP($B$46,tabMODELLI,COLdimstdSTRISCIAdelFIANCOxALT1polistirolo,FALSE),"")</f>
        <v>9</v>
      </c>
      <c r="KO52" s="262">
        <f>IF(modelloAUTO1=$B$46,pezzi1*DUE,"")</f>
        <v>2</v>
      </c>
      <c r="KP52" s="263">
        <f>IF(modelloAUTO1=$B$46,altezza1+VLOOKUP($B$46,tabMODELLI,colCOEFFdellaALTnelFIANCOpolistirolo,FALSE),"")</f>
        <v>83</v>
      </c>
      <c r="KQ52" s="263">
        <f>IF(modelloAUTO1=$B$46,VLOOKUP($B$46,tabMODELLI,COLdimstdSTRISCIAdelFIANCOxALT1polistirolo,FALSE),"")</f>
        <v>9</v>
      </c>
      <c r="KR52" s="150">
        <v>1</v>
      </c>
      <c r="KX52" s="268"/>
      <c r="KY52" s="168">
        <v>1</v>
      </c>
      <c r="KZ52" s="444" t="str">
        <f>IF(LA52="","",IF('[1]IMMISSIONE DATI'!AY52="",UNO,'[1]IMMISSIONE DATI'!AY52))</f>
        <v/>
      </c>
      <c r="LA52" s="234" t="str">
        <f>IF(modello1="","",IF(modello1=CLICK_RAPID,MINA(larghezza1,LargALT1)*DIECI,""))</f>
        <v/>
      </c>
      <c r="LB52" s="234" t="str">
        <f>IF(D52="","",IF(profORIZZ1="","",pezzi1))</f>
        <v/>
      </c>
      <c r="LC52" s="150" t="str">
        <f>IF(D52="","",IF(profORIZZ1="","",CODpiattoORIZZsugg1))</f>
        <v/>
      </c>
      <c r="LD52" s="445" t="str">
        <f>IF(D52="","",IF(profORIZZ1="","",larghezza1*DIECI+IF(TUBoPROFCLICK_RAPIDSX1="",ZERO,VLOOKUP(TUBoPROFCLICK_RAPIDSX1,TABprofOtubLATERALI,COLlargPROFoTUBlat,FALSE))+IF(TUBoPROFCLICK_RAPIDDX1="",ZERO,VLOOKUP(TUBoPROFCLICK_RAPIDDX1,TABprofOtubLATERALI,COLlargPROFoTUBlat,FALSE))))</f>
        <v/>
      </c>
      <c r="LG52" s="446" t="str">
        <f t="shared" ref="LG52:LJ57" si="36">C53</f>
        <v>CLICK_RAPID</v>
      </c>
      <c r="LH52" s="447">
        <f t="shared" si="36"/>
        <v>1</v>
      </c>
      <c r="LI52" s="447">
        <f t="shared" si="36"/>
        <v>99.9</v>
      </c>
      <c r="LJ52" s="447">
        <f t="shared" si="36"/>
        <v>100</v>
      </c>
      <c r="LL52" s="269"/>
      <c r="LM52" s="270" t="e">
        <f>#REF!</f>
        <v>#REF!</v>
      </c>
      <c r="LN52" s="270" t="e">
        <f>#REF!</f>
        <v>#REF!</v>
      </c>
      <c r="LO52" s="270"/>
      <c r="LP52" s="270" t="str">
        <f t="shared" si="33"/>
        <v/>
      </c>
      <c r="LQ52" s="270" t="e">
        <f>#REF!</f>
        <v>#REF!</v>
      </c>
      <c r="LR52" s="270" t="str">
        <f t="shared" ref="LR52:LR58" si="37">HM52</f>
        <v/>
      </c>
      <c r="LS52" s="271"/>
    </row>
    <row r="53" spans="1:331" s="150" customFormat="1" ht="34.5" customHeight="1">
      <c r="A53" s="168">
        <v>2</v>
      </c>
      <c r="B53" s="260" t="str">
        <f>IF(modelloAUTO2=$B$46,stanza2,"")</f>
        <v/>
      </c>
      <c r="C53" s="170" t="str">
        <f>IF(modelloAUTO2="","",modelloAUTO2)</f>
        <v>CLICK_RAPID</v>
      </c>
      <c r="D53" s="171">
        <f>IF(pezzi2="","",pezzi2)</f>
        <v>1</v>
      </c>
      <c r="E53" s="172">
        <f>IF(larghezza2="","",LARGortogonalitaADEGUATA2)</f>
        <v>99.9</v>
      </c>
      <c r="F53" s="173">
        <f>IF(altezza2="","",altezza2)</f>
        <v>100</v>
      </c>
      <c r="G53" s="173"/>
      <c r="H53" s="173"/>
      <c r="I53" s="176" t="str">
        <f>IF(modelloAUTO2="","",IF(vernBarriera2="","",vernBarriera2))</f>
        <v/>
      </c>
      <c r="J53" s="177" t="str">
        <f>IF(modelloAUTO2=$B$46,IF(PELLICOLA2="","",pezzi2),"")</f>
        <v/>
      </c>
      <c r="K53" s="437"/>
      <c r="M53" s="179" t="str">
        <f>IF(modelloAUTO2=$B$46,IF(PROFlatAUTO2="ESCLUSI","",IF(PROFlatRICH2="","STD",PROFlatRICH2)),"")</f>
        <v/>
      </c>
      <c r="N53" s="176" t="str">
        <f>IF(modelloAUTO2="","",IF(copertina2="","",TIPOcopertina2))</f>
        <v/>
      </c>
      <c r="O53" s="196" t="str">
        <f>IF(AND(modelloAUTO2=$B$46,PROFlatAUTO2&lt;&gt;"ESCLUSI"),IF(ALTprofLATrich2="","STD",ALTprofLATrich2),"")</f>
        <v/>
      </c>
      <c r="P53" s="176" t="str">
        <f>IF(modelloAUTO2="","",IF(vernPROFlatTEN2="","",vernPROFlatTEN2))</f>
        <v/>
      </c>
      <c r="R53" s="176" t="str">
        <f>IF(PROFoTUBsxRICH2="","",PROFoTUBsxRICH2)</f>
        <v/>
      </c>
      <c r="S53" s="182"/>
      <c r="T53" s="176" t="str">
        <f>IF(modelloAUTO2="","",IF(PROFoTUBdxRICH2="","",PROFoTUBdxRICH2))</f>
        <v/>
      </c>
      <c r="U53" s="182"/>
      <c r="V53" s="183" t="str">
        <f>IF(modelloAUTO2="","",IF(PROFoTUBsxRICH2="","",IF(ALTprofOtubRICHsx2="","SX: STD","SX: "&amp;ALTprofOtubRICHsx2&amp;" - "))&amp;IF(PROFoTUBdxRICH2="","",IF(ALTprofOtubRICHdx2="","  DX: STD","DX :"&amp;ALTprofOtubRICHdx2)))</f>
        <v/>
      </c>
      <c r="W53" s="184" t="str">
        <f>IF(modello2="","",IF(vernPROFoTUBlatSX2="","","SX: "&amp;vernPROFoTUBlatSX2&amp;" - ")&amp;IF(vernPROFoTUBlatDX2="",""," DX: "&amp;vernPROFoTUBlatDX2))</f>
        <v/>
      </c>
      <c r="Y53" s="185" t="str">
        <f>IF(modelloAUTO2="","",IF(OR(larghezza2="",profORIZZ2=""),"",CODpiattoORIZZsugg2))</f>
        <v/>
      </c>
      <c r="Z53" s="186" t="str">
        <f>IF(modelloAUTO2="","",IF(profORIZZ2="","",larghezza2+IF(PROFoTUBsxRICH2="",0,VLOOKUP(PROFoTUBsxRICH2,TABprofOtubLATERALI,COLlargPROFoTUBlat,FALSE))+IF(PROFoTUBdxRICH2="",0,VLOOKUP(PROFoTUBdxRICH2,TABprofOtubLATERALI,COLlargPROFoTUBlat,FALSE))))</f>
        <v/>
      </c>
      <c r="AB53" s="187" t="str">
        <f>IF(modelloAUTO2="","",IF(CODpiantCENTRsugg2="","","N° "&amp;fornPIANTcentr2&amp;"-"&amp;IF(CODpiantCENTRsugg2=0,"ERRORE",CODpiantCENTRsugg2)))</f>
        <v/>
      </c>
      <c r="AC53" s="187" t="str">
        <f ca="1">IF(modelloAUTO2="","",IF(CODpiantCENTRsuggAPPOG2="","","N° "&amp;CODpiantCENTRdiAPPOGGIOrich2&amp;"-"&amp;IF(CODpiantCENTRsuggAPPOG2=0,"ERRORE",CODpiantCENTRsuggAPPOG2)))</f>
        <v/>
      </c>
      <c r="AE53" s="188" t="str">
        <f>IF(modelloAUTO2="","",IF(note_cliente2="","",note_cliente2))</f>
        <v/>
      </c>
      <c r="AF53" s="189">
        <f>IF(PesoTEORICOparatia2="","",PesoTEORICOparatia2)</f>
        <v>9.99</v>
      </c>
      <c r="AG53" s="190">
        <v>2</v>
      </c>
      <c r="AI53" s="191" t="str">
        <f>IF(modelloAUTO2=$B$46,pezzi2*UNO,"")</f>
        <v/>
      </c>
      <c r="AJ53" s="438" t="str">
        <f>IF(modelloAUTO2=$B$46,larghezza2,"")</f>
        <v/>
      </c>
      <c r="AK53" s="212" t="str">
        <f>IF(modelloAUTO2=$B$46,altezza2,"")</f>
        <v/>
      </c>
      <c r="AL53" s="173"/>
      <c r="AM53" s="173"/>
      <c r="AN53" s="194"/>
      <c r="AO53"/>
      <c r="AQ53" s="439" t="str">
        <f>IF(modelloAUTO2=$B$46,IF(PROFlatRICH2="",pezzi2*DUE*VLOOKUP($B$46,tabMODELLI,COLprofiliLATdiserie,FALSE),pezzi2*DUE),"")</f>
        <v/>
      </c>
      <c r="AR53" s="179" t="str">
        <f>IF(modelloAUTO2=$B$46,IF(AND(VLOOKUP($B$46,tabMODELLI,COLprofiliLATdiserie,FALSE)=ZERO,PROFlatRICH2=""),"",IF(PROFlatAUTO2&lt;&gt;VLOOKUP($B$46,tabMODELLI,COLcodPROFILIlat,FALSE),PROFlatAUTO2,"STD")),"")</f>
        <v/>
      </c>
      <c r="AS53" s="196" t="str">
        <f>IF(AND(modelloAUTO2=$B$46,PROFlatAUTO2&lt;&gt;"ESCLUSI"),IF(ALTprofLATrich2="","STD",ALTprofLATrich2),"")</f>
        <v/>
      </c>
      <c r="AU53" s="272" t="str">
        <f>IF(modelloAUTO2=$B$46,IF(TIPOcopertina2="","",TIPOcopertina2),"")</f>
        <v/>
      </c>
      <c r="AW53" s="201" t="str">
        <f>IF(AND(modelloAUTO2=$B$46,PROFlatAUTO2&lt;&gt;"ESCLUSI"),IF(vernPROFlatTEN2="","OX ARGENTO",vernPROFlatTEN2),"")</f>
        <v/>
      </c>
      <c r="AY53" s="191" t="str">
        <f>IF(modelloAUTO2=$B$46,pezzi2*DUE,"")</f>
        <v/>
      </c>
      <c r="AZ53" s="199" t="str">
        <f>IF(modelloAUTO2=$B$46,IF(PROFoTUBsxRICH2="","",PROFoTUBsxRICH2),"")</f>
        <v/>
      </c>
      <c r="BA53" s="200" t="str">
        <f>IF(AND(modelloAUTO2=$B$46,PROFoTUBsxRICH2&lt;&gt;""),IF(ALTprofOtubRICHsx2="","STD",ALTprofOtubRICHsx2),"")</f>
        <v/>
      </c>
      <c r="BC53" s="201" t="str">
        <f>IF(modelloAUTO2=$B$46,IF(PROFoTUBsxRICH2="","",IF(vernPROFoTUBlatSX2="","OX ARGENTO",vernPROFoTUBlatSX2)),"")</f>
        <v/>
      </c>
      <c r="BE53" s="202" t="str">
        <f>IF(modelloAUTO2=$B$46,IF(PROFoTUBdxRICH2="","",PROFoTUBdxRICH2),"")</f>
        <v/>
      </c>
      <c r="BF53" s="200" t="str">
        <f>IF(AND(modelloAUTO2=$B$46,PROFoTUBdxRICH2&lt;&gt;""),IF(ALTprofOtubRICHdx2="","STD",ALTprofOtubRICHdx2),"")</f>
        <v/>
      </c>
      <c r="BH53" s="203" t="str">
        <f>IF(modelloAUTO2=$B$46,IF(PROFoTUBdxRICH2="","",IF(vernPROFoTUBlatDX2="","OX ARGENTO",vernPROFoTUBlatDX2)),"")</f>
        <v/>
      </c>
      <c r="BJ53" s="204" t="str">
        <f>IF(modelloAUTO2=$B$46,IF(profORIZZ2="","",pezzi2),"")</f>
        <v/>
      </c>
      <c r="BK53" s="205" t="str">
        <f>IF(modelloAUTO2=$B$46,IF(profORIZZ2="","",CODpiattoORIZZsugg2),"")</f>
        <v/>
      </c>
      <c r="BL53" s="206" t="str">
        <f>IF(modelloAUTO2=$B$46,IF(profORIZZ2="","",larghezza2*DIECI+IF(PROFoTUBsxRICH2="",ZERO,VLOOKUP(PROFoTUBsxRICH2,TABprofOtubLATERALI,COLlargPROFoTUBlat,FALSE))+IF(PROFoTUBdxRICH2="",ZERO,VLOOKUP(PROFoTUBdxRICH2,TABprofOtubLATERALI,COLlargPROFoTUBlat,FALSE))),"")</f>
        <v/>
      </c>
      <c r="BN53" s="207" t="str">
        <f ca="1">IF(modelloAUTO2=$B$46,INDEX(INDIRECT("TABnCHIAVISTELLOvert"&amp;$B$46),rif_alt2,rif_larg2)*pezzi2,"")</f>
        <v/>
      </c>
      <c r="BO53"/>
      <c r="BQ53" s="208" t="str">
        <f ca="1">IF(modelloAUTO2=$B$46,INDEX(INDIRECT("TABnMANIGLIEsuperiori"&amp;$B$46),rif_alt2,rif_larg2)+INDEX(INDIRECT("TABnMANIGLIEfrontali"&amp;$B$46),rif_alt2,rif_larg2),"")</f>
        <v/>
      </c>
      <c r="BR53" s="191" t="str">
        <f>IF(modelloAUTO2=$B$46,pezzi2*DUE,"")</f>
        <v/>
      </c>
      <c r="BS53" s="209" t="str">
        <f>IF(modelloAUTO2=$B$46,BQ53*DUE,"")</f>
        <v/>
      </c>
      <c r="BT53" s="209" t="str">
        <f>IF(modelloAUTO2=$B$46,BR53*TRE,"")</f>
        <v/>
      </c>
      <c r="BU53" s="441"/>
      <c r="BV53" s="441"/>
      <c r="BW53" s="441"/>
      <c r="BX53" s="441"/>
      <c r="BY53" s="441"/>
      <c r="CA53" s="210" t="str">
        <f>IF(modelloAUTO2=$B$46,IF(fornPIANTcentr2="","",fornPIANTcentr2*pezzi2),"")</f>
        <v/>
      </c>
      <c r="CB53" s="210" t="str">
        <f>IF(modelloAUTO2=$B$46,IF(fornPIANTcentr2="","",CODpiantCENTRsugg2),"")</f>
        <v/>
      </c>
      <c r="CD53" s="210" t="str">
        <f>IF(modelloAUTO2=$B$46,IF(CODpiantCENTRsuggAPPOG2="","",CODpiantCENTRdiAPPOGGIOrich2),"")</f>
        <v/>
      </c>
      <c r="CE53" s="210" t="str">
        <f>IF(modelloAUTO2=$B$46,IF(CODpiantCENTRsuggAPPOG2="","",CODpiantCENTRsuggAPPOG2),"")</f>
        <v/>
      </c>
      <c r="CG53" s="273">
        <v>2</v>
      </c>
      <c r="CI53" s="211" t="str">
        <f>IF(modelloAUTO2=$B$46,altezza2*DIECI/CEILING(VLOOKUP($B$46,tabMODELLI,COLcoefALTdogaSORMONTATAda200,FALSE),UNO)*pezzi2,"")</f>
        <v/>
      </c>
      <c r="CJ53" s="212" t="str">
        <f>IF(modelloAUTO2=$B$46,larghezza2*DIECI-VLOOKUP($B$46,tabMODELLI,COLcoeffTAGLIOdogaOPPURElastraINlarg,FALSE)-VLOOKUP(PROFlatAUTO2,TABprofLATten,COLcoeffCALOdoga,FALSE),"")</f>
        <v/>
      </c>
      <c r="CK53"/>
      <c r="CL53" s="203" t="str">
        <f>IF(modelloAUTO2=$B$46,IF(vernBarriera2="","STD",vernBarriera2),"")</f>
        <v/>
      </c>
      <c r="CM53" s="173"/>
      <c r="CN53" s="173"/>
      <c r="CO53"/>
      <c r="CP53"/>
      <c r="CQ53" s="216" t="str">
        <f>IF(modelloAUTO2=$B$46,pezzi2*DUE,"")</f>
        <v/>
      </c>
      <c r="CR53" s="212" t="str">
        <f>IF(modelloAUTO2=$B$46,altezza2*DIECI+VLOOKUP($B$46,tabMODELLI,COLcoeffTAGLIOPROFILIlateraliEverticaliAttaccatiALLAbarriera,FALSE),"")</f>
        <v/>
      </c>
      <c r="CS53"/>
      <c r="CT53" s="281"/>
      <c r="CU53" s="281"/>
      <c r="CV53"/>
      <c r="CW53" s="281"/>
      <c r="CX53" s="281"/>
      <c r="CY53" s="281"/>
      <c r="CZ53" s="281"/>
      <c r="DA53" s="281"/>
      <c r="DB53" s="281"/>
      <c r="DC53" s="281"/>
      <c r="DD53" s="281"/>
      <c r="DE53" s="281"/>
      <c r="DF53" s="281"/>
      <c r="DG53" s="281"/>
      <c r="DH53" s="281"/>
      <c r="DI53" s="281"/>
      <c r="DJ53" s="281"/>
      <c r="DK53"/>
      <c r="DL53"/>
      <c r="DM53" s="281"/>
      <c r="DN53" s="281"/>
      <c r="DO53" s="281"/>
      <c r="DP53" s="281"/>
      <c r="DQ53" s="281"/>
      <c r="DR53" s="281"/>
      <c r="DS53" s="281"/>
      <c r="DT53" s="281"/>
      <c r="DU53" s="281"/>
      <c r="DV53" s="281"/>
      <c r="DW53" s="281"/>
      <c r="DX53" s="281"/>
      <c r="DY53" s="281"/>
      <c r="DZ53" s="281"/>
      <c r="EA53" s="281"/>
      <c r="EB53" s="281"/>
      <c r="EC53" s="281"/>
      <c r="ED53" s="281"/>
      <c r="EE53" s="281"/>
      <c r="EF53" s="281"/>
      <c r="EG53" s="281"/>
      <c r="EH53" s="281"/>
      <c r="EI53" s="281"/>
      <c r="EJ53" s="281"/>
      <c r="EK53" s="281"/>
      <c r="EL53" s="281"/>
      <c r="EM53" s="218"/>
      <c r="EN53" s="179" t="str">
        <f>IF(modelloAUTO2=$B$46,IF(PROFlatRICH2="","STD",PROFlatRICH2),"")</f>
        <v/>
      </c>
      <c r="EO53" s="191" t="str">
        <f>IF(modelloAUTO2=$B$46,IF(PROFlatRICH2="",pezzi2*DUE*VLOOKUP($B$46,tabMODELLI,COLprofiliLATdiserie,FALSE),pezzi2*DUE),"")</f>
        <v/>
      </c>
      <c r="EP53" s="238" t="str">
        <f>IF(modelloAUTO2=$B$46,VLOOKUP($B$46,tabMODELLI,COLcoeffALTguarnINFERIOREschiacciata,FALSE)+(VLOOKUP($B$46,tabMODELLI,COLcoefALTdogaREALEda200,FALSE)+(VLOOKUP($B$46,tabMODELLI,COLcoefALTdogaSORMONTATAda200,FALSE)*(CEILING(altezza2*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3" s="218"/>
      <c r="ER53" s="218"/>
      <c r="ES53" s="218"/>
      <c r="ET53" s="218"/>
      <c r="EU53" s="276" t="str">
        <f ca="1">IF(OR(modelloAUTO2=$B$46,modelloAUTO2=CLICK_RAPIDxPRIVATO),INDEX(INDIRECT("TABnCHIAVISTELLOvert"&amp;$B$46),rif_alt2,rif_larg2)*pezzi2,"")</f>
        <v/>
      </c>
      <c r="EV53" s="443" t="str">
        <f ca="1">IF(AND(nCatenacci2&lt;&gt;"",profORIZZ2&lt;&gt;""),spessoreCATENACCIOverticale60X25X300,"")</f>
        <v/>
      </c>
      <c r="EW53" s="208" t="str">
        <f ca="1">IF(modelloAUTO2=$B$46,INDEX(INDIRECT("TABnMANIGLIEsuperiori"&amp;$B$46),rif_alt2,rif_larg2),"")</f>
        <v/>
      </c>
      <c r="EX53" s="243" t="str">
        <f ca="1">IF(modelloAUTO2=$B$46,(larghezza2-CATENACCIOLOorizzontaleINGOMBROclick_rapid-DUE)/INDEX(INDIRECT("TABnMANIGLIEsuperiori"&amp;$B$46),rif_alt2,rif_larg2),"")</f>
        <v/>
      </c>
      <c r="EZ53" s="209" t="str">
        <f ca="1">IF(modelloAUTO2=$B$46,INDEX(INDIRECT("TABnMANIGLIEfrontali"&amp;$B$46),rif_alt2,rif_larg2),"")</f>
        <v/>
      </c>
      <c r="FA53"/>
      <c r="FB53"/>
      <c r="FC53"/>
      <c r="FD53"/>
      <c r="FE53"/>
      <c r="FF53"/>
      <c r="FG53"/>
      <c r="FH53"/>
      <c r="FI53"/>
      <c r="FJ53"/>
      <c r="FK53"/>
      <c r="FL53"/>
      <c r="FM53"/>
      <c r="FN53"/>
      <c r="FO53"/>
      <c r="FP53"/>
      <c r="FQ53"/>
      <c r="FR53"/>
      <c r="FS53"/>
      <c r="FT53" s="241" t="str">
        <f ca="1">IF(OR(nCatenacci2=0,nCatenacci2="",),"",(CJ53+QUATTRO-(IF(nCatenacci2="",ZERO,SESSANTA*(nCatenacci2/PZCLICK_RAPID2))))/((nCatenacci2/PZCLICK_RAPID2)+UNO))</f>
        <v/>
      </c>
      <c r="FZ53"/>
      <c r="GA53"/>
      <c r="GB53"/>
      <c r="GI53" s="168">
        <v>2</v>
      </c>
      <c r="GJ53" s="204" t="str">
        <f>IF(modelloAUTO2=$B$46,IF(profORIZZ2="","",pezzi2),"")</f>
        <v/>
      </c>
      <c r="GK53" s="205" t="str">
        <f>IF(modelloAUTO2=$B$46,IF(profORIZZ2="","",CODpiattoORIZZsugg2),"")</f>
        <v/>
      </c>
      <c r="HM53" s="206" t="str">
        <f>IF(modelloAUTO2=$B$46,IF(profORIZZ2="","",larghezza2*DIECI+IF(PROFoTUBsxRICH2="",ZERO,VLOOKUP(PROFoTUBsxRICH2,TABprofOtubLATERALI,COLlargPROFoTUBlat,FALSE))+IF(PROFoTUBdxRICH2="",ZERO,VLOOKUP(PROFoTUBdxRICH2,TABprofOtubLATERALI,COLlargPROFoTUBlat,FALSE))),"")</f>
        <v/>
      </c>
      <c r="HO53"/>
      <c r="HQ53"/>
      <c r="HR53"/>
      <c r="HS53"/>
      <c r="HT53"/>
      <c r="HW53"/>
      <c r="II53" s="168">
        <v>2</v>
      </c>
      <c r="IJ53" s="210" t="str">
        <f>IF(modelloAUTO2=$B$46,IF(fornPIANTcentr2="","",fornPIANTcentr2*pezzi2),"")</f>
        <v/>
      </c>
      <c r="IK53" s="210" t="str">
        <f>IF(modelloAUTO2=$B$46,IF(fornPIANTcentr2="","",CODpiantCENTRsugg2),"")</f>
        <v/>
      </c>
      <c r="IM53" s="210" t="str">
        <f>IF(modelloAUTO2=$B$46,IF(CODpiantCENTRsuggAPPOG2="","",CODpiantCENTRdiAPPOGGIOrich2),"")</f>
        <v/>
      </c>
      <c r="IN53" s="210" t="str">
        <f>IF(modelloAUTO2=$B$46,IF(CODpiantCENTRsuggAPPOG2="","",CODpiantCENTRsuggAPPOG2),"")</f>
        <v/>
      </c>
      <c r="JS53" s="168">
        <v>2</v>
      </c>
      <c r="JT53" s="259" t="str">
        <f>IF(CI91="","",Z54)</f>
        <v/>
      </c>
      <c r="JU53" s="236">
        <f t="shared" si="34"/>
        <v>90.9</v>
      </c>
      <c r="JV53" s="236">
        <f t="shared" si="35"/>
        <v>116</v>
      </c>
      <c r="JY53" s="230" t="str">
        <f>IF(modelloAUTO2=$B$46,larghezza2*DIECI+VLOOKUP($B$46,tabMODELLI,COLcoefAUMlargBUSTApvc,FALSE)+VLOOKUP($B$46,tabMODELLI,COLcoefAUMlargXprofILIlateraliBUSTApvc,FALSE)+IF(PROFoTUBsxRICH2="",ZERO,VLOOKUP(PROFoTUBsxRICH2,TABprofOtubLATERALI,COLlargPROFoTUBlatXimballaggio,FALSE)+profELETTRODOsaldaturaPVC)+IF(PROFoTUBdxRICH2="",ZERO,VLOOKUP(PROFoTUBdxRICH2,TABprofOtubLATERALI,COLlargPROFoTUBlatXimballaggio,FALSE)+profELETTRODOsaldaturaPVC),"")</f>
        <v/>
      </c>
      <c r="JZ53" s="230" t="str">
        <f>IF(modelloAUTO2=$B$46,altezza2*DIECI*DUE+VLOOKUP($B$46,tabMODELLI,COLcoefAUMaltBUSTApvc,FALSE),"")</f>
        <v/>
      </c>
      <c r="KA53" s="261"/>
      <c r="KB53" s="230" t="str">
        <f>IF(modelloAUTO2=$B$46,altezza2*DIECI+VLOOKUP($B$46,tabMODELLI,COLcoeffSALDATURAinALTbustaPVC,FALSE),"")</f>
        <v/>
      </c>
      <c r="KC53" s="230" t="str">
        <f>IF(modelloAUTO2=$B$46,VLOOKUP($B$46,tabMODELLI,COLcoeffSALDATURAinLARGperTASCAbustaPVC,FALSE),"")</f>
        <v/>
      </c>
      <c r="KD53" s="230" t="str">
        <f>IF(modelloAUTO2=$B$46,IF(PROFoTUBsxRICH2="","",VLOOKUP(PROFoTUBsxRICH2,TABprofOtubLATERALI,COLlargPROFoTUBlatXimballaggio,FALSE)),"")</f>
        <v/>
      </c>
      <c r="KE53" s="230" t="str">
        <f>IF(modelloAUTO2=$B$46,IF(PROFoTUBdxRICH2="","",VLOOKUP(PROFoTUBdxRICH2,TABprofOtubLATERALI,COLlargPROFoTUBlatXimballaggio,FALSE)),"")</f>
        <v/>
      </c>
      <c r="KG53" s="262" t="str">
        <f>IF(modelloAUTO2=$B$46,pezzi2*DUE,"")</f>
        <v/>
      </c>
      <c r="KH53" s="263" t="str">
        <f>IF(modelloAUTO2=$B$46,larghezza2+VLOOKUP($B$46,tabMODELLI,COLcoeffAUMoCALOinLARGpolistirolo,FALSE),"")</f>
        <v/>
      </c>
      <c r="KI53" s="263" t="str">
        <f>IF(modelloAUTO2=$B$46,altezza2+VLOOKUP($B$46,tabMODELLI,COLcoeffAUMoCALOinALTpolistirolo,FALSE),"")</f>
        <v/>
      </c>
      <c r="KK53" s="262" t="str">
        <f>IF(modelloAUTO2=$B$46,pezzi2*DUE,"")</f>
        <v/>
      </c>
      <c r="KL53" s="263" t="str">
        <f>IF(modelloAUTO2=$B$46,larghezza2+VLOOKUP($B$46,tabMODELLI,colCOEFFdellaLARGnelFIANCOpolistirolo,FALSE),"")</f>
        <v/>
      </c>
      <c r="KM53" s="263" t="str">
        <f>IF(modelloAUTO2=$B$46,VLOOKUP($B$46,tabMODELLI,COLdimstdSTRISCIAdelFIANCOxALT1polistirolo,FALSE),"")</f>
        <v/>
      </c>
      <c r="KO53" s="262" t="str">
        <f>IF(modelloAUTO2=$B$46,pezzi2*DUE,"")</f>
        <v/>
      </c>
      <c r="KP53" s="263" t="str">
        <f>IF(modelloAUTO2=$B$46,altezza2+VLOOKUP($B$46,tabMODELLI,colCOEFFdellaALTnelFIANCOpolistirolo,FALSE),"")</f>
        <v/>
      </c>
      <c r="KQ53" s="263" t="str">
        <f>IF(modelloAUTO2=$B$46,VLOOKUP($B$46,tabMODELLI,COLdimstdSTRISCIAdelFIANCOxALT1polistirolo,FALSE),"")</f>
        <v/>
      </c>
      <c r="KR53" s="150">
        <v>1</v>
      </c>
      <c r="KY53" s="168">
        <v>2</v>
      </c>
      <c r="KZ53" s="444">
        <f>IF(LA53="","",IF('[1]IMMISSIONE DATI'!AY53="",UNO,'[1]IMMISSIONE DATI'!AY53))</f>
        <v>1</v>
      </c>
      <c r="LA53" s="234">
        <f>IF(modelloAUTO2="","",IF(modelloAUTO2=CLICK_RAPID,MINA(larghezza2,LargALT2)*DIECI,""))</f>
        <v>999</v>
      </c>
      <c r="LB53" s="234">
        <f>IF(modelloAUTO2=CLICK_RAPID,altezza2*DIECI,"")</f>
        <v>1000</v>
      </c>
      <c r="LD53" s="445">
        <f ca="1">IF(modelloAUTO2=CLICK_RAPID,INDEX(tabPESOparatiaSENZAimballo,rif_alt2,rif_larg2)*pezzi2,"")</f>
        <v>19.853974000000001</v>
      </c>
      <c r="LG53" s="446" t="str">
        <f t="shared" si="36"/>
        <v>CLOSE</v>
      </c>
      <c r="LH53" s="447">
        <f t="shared" si="36"/>
        <v>1</v>
      </c>
      <c r="LI53" s="447">
        <f t="shared" si="36"/>
        <v>99.9</v>
      </c>
      <c r="LJ53" s="447">
        <f t="shared" si="36"/>
        <v>100</v>
      </c>
      <c r="LL53" s="269"/>
      <c r="LM53" s="270" t="e">
        <f>#REF!</f>
        <v>#REF!</v>
      </c>
      <c r="LN53" s="270" t="e">
        <f>#REF!</f>
        <v>#REF!</v>
      </c>
      <c r="LO53" s="270"/>
      <c r="LP53" s="270" t="str">
        <f t="shared" si="33"/>
        <v/>
      </c>
      <c r="LQ53" s="270" t="e">
        <f>#REF!</f>
        <v>#REF!</v>
      </c>
      <c r="LR53" s="270" t="str">
        <f t="shared" si="37"/>
        <v/>
      </c>
      <c r="LS53" s="271"/>
    </row>
    <row r="54" spans="1:331" s="150" customFormat="1" ht="32">
      <c r="A54" s="168">
        <v>3</v>
      </c>
      <c r="B54" s="260" t="str">
        <f>IF(modelloAUTO3=$B$46,stanza3,"")</f>
        <v/>
      </c>
      <c r="C54" s="170" t="str">
        <f>IF(modelloAUTO3="","",modelloAUTO3)</f>
        <v>CLOSE</v>
      </c>
      <c r="D54" s="171">
        <f>IF(pezzi3="","",pezzi3)</f>
        <v>1</v>
      </c>
      <c r="E54" s="172">
        <f>IF(larghezza3="","",LARGortogonalitaADEGUATA3)</f>
        <v>99.9</v>
      </c>
      <c r="F54" s="173">
        <f>IF(altezza3="","",altezza3)</f>
        <v>100</v>
      </c>
      <c r="G54" s="173"/>
      <c r="H54" s="173"/>
      <c r="I54" s="176" t="str">
        <f>IF(modelloAUTO3="","",IF(vernBarriera3="","",vernBarriera3))</f>
        <v/>
      </c>
      <c r="J54" s="177" t="str">
        <f>IF(modelloAUTO3=$B$46,IF(PELLICOLA3="","",pezzi3),"")</f>
        <v/>
      </c>
      <c r="K54" s="437"/>
      <c r="M54" s="179" t="str">
        <f>IF(modelloAUTO3=$B$46,IF(PROFlatAUTO3="ESCLUSI","",IF(PROFlatRICH3="","STD",PROFlatRICH3)),"")</f>
        <v/>
      </c>
      <c r="N54" s="176" t="str">
        <f>IF(modelloAUTO3="","",IF(copertina3="","",TIPOcopertina3))</f>
        <v/>
      </c>
      <c r="O54" s="196" t="str">
        <f>IF(AND(modelloAUTO3=$B$46,PROFlatAUTO3&lt;&gt;"ESCLUSI"),IF(ALTprofLATrich3="","STD",ALTprofLATrich3),"")</f>
        <v/>
      </c>
      <c r="P54" s="176" t="str">
        <f>IF(modelloAUTO3="","",IF(vernPROFlatTEN3="","",vernPROFlatTEN3))</f>
        <v/>
      </c>
      <c r="R54" s="176" t="str">
        <f>IF(PROFoTUBsxRICH3="","",PROFoTUBsxRICH3)</f>
        <v/>
      </c>
      <c r="S54" s="182"/>
      <c r="T54" s="176" t="str">
        <f>IF(modelloAUTO3="","",IF(PROFoTUBdxRICH3="","",PROFoTUBdxRICH3))</f>
        <v/>
      </c>
      <c r="U54" s="182"/>
      <c r="V54" s="183" t="str">
        <f>IF(modelloAUTO3="","",IF(PROFoTUBsxRICH3="","",IF(ALTprofOtubRICHsx3="","SX: STD","SX: "&amp;ALTprofOtubRICHsx3&amp;" - "))&amp;IF(PROFoTUBdxRICH3="","",IF(ALTprofOtubRICHdx3="","  DX: STD","DX :"&amp;ALTprofOtubRICHdx3)))</f>
        <v/>
      </c>
      <c r="W54" s="184" t="str">
        <f>IF(modello3="","",IF(vernPROFoTUBlatSX3="","","SX: "&amp;vernPROFoTUBlatSX3&amp;" - ")&amp;IF(vernPROFoTUBlatDX3="",""," DX: "&amp;vernPROFoTUBlatDX3))</f>
        <v/>
      </c>
      <c r="Y54" s="185" t="str">
        <f>IF(modelloAUTO3="","",IF(OR(larghezza3="",profORIZZ3=""),"",CODpiattoORIZZsugg3))</f>
        <v/>
      </c>
      <c r="Z54" s="186" t="str">
        <f>IF(modelloAUTO3="","",IF(profORIZZ3="","",larghezza3+IF(PROFoTUBsxRICH3="",0,VLOOKUP(PROFoTUBsxRICH3,TABprofOtubLATERALI,COLlargPROFoTUBlat,FALSE))+IF(PROFoTUBdxRICH3="",0,VLOOKUP(PROFoTUBdxRICH3,TABprofOtubLATERALI,COLlargPROFoTUBlat,FALSE))))</f>
        <v/>
      </c>
      <c r="AB54" s="187" t="str">
        <f>IF(modelloAUTO3="","",IF(CODpiantCENTRsugg3="","","N° "&amp;fornPIANTcentr3&amp;"-"&amp;IF(CODpiantCENTRsugg3=0,"ERRORE",CODpiantCENTRsugg3)))</f>
        <v/>
      </c>
      <c r="AC54" s="187" t="str">
        <f ca="1">IF(modelloAUTO3="","",IF(CODpiantCENTRsuggAPPOG3="","","N° "&amp;CODpiantCENTRdiAPPOGGIOrich3&amp;"-"&amp;IF(CODpiantCENTRsuggAPPOG3=0,"ERRORE",CODpiantCENTRsuggAPPOG3)))</f>
        <v/>
      </c>
      <c r="AE54" s="188" t="str">
        <f>IF(modelloAUTO3="","",IF(note_cliente3="","",note_cliente3))</f>
        <v/>
      </c>
      <c r="AF54" s="189">
        <f>IF(PesoTEORICOparatia3="","",PesoTEORICOparatia3)</f>
        <v>9.99</v>
      </c>
      <c r="AG54" s="190">
        <v>3</v>
      </c>
      <c r="AI54" s="191" t="str">
        <f>IF(modelloAUTO3=$B$46,pezzi3*UNO,"")</f>
        <v/>
      </c>
      <c r="AJ54" s="438" t="str">
        <f>IF(modelloAUTO3=$B$46,larghezza3,"")</f>
        <v/>
      </c>
      <c r="AK54" s="212" t="str">
        <f>IF(modelloAUTO3=$B$46,altezza3,"")</f>
        <v/>
      </c>
      <c r="AL54" s="173"/>
      <c r="AM54" s="173"/>
      <c r="AN54" s="194"/>
      <c r="AO54"/>
      <c r="AQ54" s="439" t="str">
        <f>IF(modelloAUTO3=$B$46,IF(PROFlatRICH3="",pezzi3*DUE*VLOOKUP($B$46,tabMODELLI,COLprofiliLATdiserie,FALSE),pezzi3*DUE),"")</f>
        <v/>
      </c>
      <c r="AR54" s="179" t="str">
        <f>IF(modelloAUTO3=$B$46,IF(AND(VLOOKUP($B$46,tabMODELLI,COLprofiliLATdiserie,FALSE)=ZERO,PROFlatRICH3=""),"",IF(PROFlatAUTO3&lt;&gt;VLOOKUP($B$46,tabMODELLI,COLcodPROFILIlat,FALSE),PROFlatAUTO3,"STD")),"")</f>
        <v/>
      </c>
      <c r="AS54" s="196" t="str">
        <f>IF(AND(modelloAUTO3=$B$46,PROFlatAUTO3&lt;&gt;"ESCLUSI"),IF(ALTprofLATrich3="","STD",ALTprofLATrich3),"")</f>
        <v/>
      </c>
      <c r="AU54" s="272" t="str">
        <f>IF(modelloAUTO3=$B$46,IF(TIPOcopertina3="","",TIPOcopertina3),"")</f>
        <v/>
      </c>
      <c r="AW54" s="201" t="str">
        <f>IF(AND(modelloAUTO3=$B$46,PROFlatAUTO3&lt;&gt;"ESCLUSI"),IF(vernPROFlatTEN3="","OX ARGENTO",vernPROFlatTEN3),"")</f>
        <v/>
      </c>
      <c r="AY54" s="191" t="str">
        <f>IF(modelloAUTO3=$B$46,pezzi3*DUE,"")</f>
        <v/>
      </c>
      <c r="AZ54" s="199" t="str">
        <f>IF(modelloAUTO3=$B$46,IF(PROFoTUBsxRICH3="","",PROFoTUBsxRICH3),"")</f>
        <v/>
      </c>
      <c r="BA54" s="200" t="str">
        <f>IF(AND(modelloAUTO3=$B$46,PROFoTUBsxRICH3&lt;&gt;""),IF(ALTprofOtubRICHsx3="","STD",ALTprofOtubRICHsx3),"")</f>
        <v/>
      </c>
      <c r="BC54" s="201" t="str">
        <f>IF(modelloAUTO3=$B$46,IF(PROFoTUBsxRICH3="","",IF(vernPROFoTUBlatSX3="","OX ARGENTO",vernPROFoTUBlatSX3)),"")</f>
        <v/>
      </c>
      <c r="BE54" s="202" t="str">
        <f>IF(modelloAUTO3=$B$46,IF(PROFoTUBdxRICH3="","",PROFoTUBdxRICH3),"")</f>
        <v/>
      </c>
      <c r="BF54" s="200" t="str">
        <f>IF(AND(modelloAUTO3=$B$46,PROFoTUBdxRICH3&lt;&gt;""),IF(ALTprofOtubRICHdx3="","STD",ALTprofOtubRICHdx3),"")</f>
        <v/>
      </c>
      <c r="BH54" s="203" t="str">
        <f>IF(modelloAUTO3=$B$46,IF(PROFoTUBdxRICH3="","",IF(vernPROFoTUBlatDX3="","OX ARGENTO",vernPROFoTUBlatDX3)),"")</f>
        <v/>
      </c>
      <c r="BJ54" s="204" t="str">
        <f>IF(modelloAUTO3=$B$46,IF(profORIZZ3="","",pezzi3),"")</f>
        <v/>
      </c>
      <c r="BK54" s="205" t="str">
        <f>IF(modelloAUTO3=$B$46,IF(profORIZZ3="","",CODpiattoORIZZsugg3),"")</f>
        <v/>
      </c>
      <c r="BL54" s="206" t="str">
        <f>IF(modelloAUTO3=$B$46,IF(profORIZZ3="","",larghezza3*DIECI+IF(PROFoTUBsxRICH3="",ZERO,VLOOKUP(PROFoTUBsxRICH3,TABprofOtubLATERALI,COLlargPROFoTUBlat,FALSE))+IF(PROFoTUBdxRICH3="",ZERO,VLOOKUP(PROFoTUBdxRICH3,TABprofOtubLATERALI,COLlargPROFoTUBlat,FALSE))),"")</f>
        <v/>
      </c>
      <c r="BN54" s="207" t="str">
        <f ca="1">IF(modelloAUTO3=$B$46,INDEX(INDIRECT("TABnCHIAVISTELLOvert"&amp;$B$46),rif_alt3,rif_larg3)*pezzi3,"")</f>
        <v/>
      </c>
      <c r="BO54"/>
      <c r="BQ54" s="208" t="str">
        <f ca="1">IF(modelloAUTO3=$B$46,INDEX(INDIRECT("TABnMANIGLIEsuperiori"&amp;$B$46),rif_alt3,rif_larg3)+INDEX(INDIRECT("TABnMANIGLIEfrontali"&amp;$B$46),rif_alt3,rif_larg3),"")</f>
        <v/>
      </c>
      <c r="BR54" s="191" t="str">
        <f>IF(modelloAUTO3=$B$46,pezzi3*DUE,"")</f>
        <v/>
      </c>
      <c r="BS54" s="209" t="str">
        <f>IF(modelloAUTO3=$B$46,BQ54*DUE,"")</f>
        <v/>
      </c>
      <c r="BT54" s="209" t="str">
        <f>IF(modelloAUTO3=$B$46,BR54*TRE,"")</f>
        <v/>
      </c>
      <c r="BU54" s="441"/>
      <c r="BV54" s="441"/>
      <c r="BW54" s="441"/>
      <c r="BX54" s="441"/>
      <c r="BY54" s="441"/>
      <c r="CA54" s="210" t="str">
        <f>IF(modelloAUTO3=$B$46,IF(fornPIANTcentr3="","",fornPIANTcentr3*pezzi3),"")</f>
        <v/>
      </c>
      <c r="CB54" s="210" t="str">
        <f>IF(modelloAUTO3=$B$46,IF(fornPIANTcentr3="","",CODpiantCENTRsugg3),"")</f>
        <v/>
      </c>
      <c r="CD54" s="210" t="str">
        <f>IF(modelloAUTO3=$B$46,IF(CODpiantCENTRsuggAPPOG3="","",CODpiantCENTRdiAPPOGGIOrich3),"")</f>
        <v/>
      </c>
      <c r="CE54" s="210" t="str">
        <f>IF(modelloAUTO3=$B$46,IF(CODpiantCENTRsuggAPPOG3="","",CODpiantCENTRsuggAPPOG3),"")</f>
        <v/>
      </c>
      <c r="CG54" s="273">
        <v>3</v>
      </c>
      <c r="CI54" s="211" t="str">
        <f>IF(modelloAUTO3=$B$46,altezza3*DIECI/CEILING(VLOOKUP($B$46,tabMODELLI,COLcoefALTdogaSORMONTATAda200,FALSE),UNO)*pezzi3,"")</f>
        <v/>
      </c>
      <c r="CJ54" s="212" t="str">
        <f>IF(modelloAUTO3=$B$46,larghezza3*DIECI-VLOOKUP($B$46,tabMODELLI,COLcoeffTAGLIOdogaOPPURElastraINlarg,FALSE)-VLOOKUP(PROFlatAUTO3,TABprofLATten,COLcoeffCALOdoga,FALSE),"")</f>
        <v/>
      </c>
      <c r="CK54"/>
      <c r="CL54" s="203" t="str">
        <f>IF(modelloAUTO3=$B$46,IF(vernBarriera3="","STD",vernBarriera3),"")</f>
        <v/>
      </c>
      <c r="CM54" s="173"/>
      <c r="CN54" s="173"/>
      <c r="CO54"/>
      <c r="CP54"/>
      <c r="CQ54" s="216" t="str">
        <f>IF(modelloAUTO3=$B$46,pezzi3*DUE,"")</f>
        <v/>
      </c>
      <c r="CR54" s="212" t="str">
        <f>IF(modelloAUTO3=$B$46,altezza3*DIECI+VLOOKUP($B$46,tabMODELLI,COLcoeffTAGLIOPROFILIlateraliEverticaliAttaccatiALLAbarriera,FALSE),"")</f>
        <v/>
      </c>
      <c r="CS54"/>
      <c r="CT54" s="281"/>
      <c r="CU54" s="281"/>
      <c r="CV54"/>
      <c r="CW54" s="281"/>
      <c r="CX54" s="281"/>
      <c r="CY54" s="281"/>
      <c r="CZ54" s="281"/>
      <c r="DA54" s="281"/>
      <c r="DB54" s="281"/>
      <c r="DC54" s="281"/>
      <c r="DD54" s="281"/>
      <c r="DE54" s="281"/>
      <c r="DF54" s="281"/>
      <c r="DG54" s="281"/>
      <c r="DH54" s="281"/>
      <c r="DI54" s="281"/>
      <c r="DJ54" s="281"/>
      <c r="DK54"/>
      <c r="DL54"/>
      <c r="DM54" s="281"/>
      <c r="DN54" s="281"/>
      <c r="DO54" s="281"/>
      <c r="DP54" s="281"/>
      <c r="DQ54" s="281"/>
      <c r="DR54" s="281"/>
      <c r="DS54" s="281"/>
      <c r="DT54" s="281"/>
      <c r="DU54" s="281"/>
      <c r="DV54" s="281"/>
      <c r="DW54" s="281"/>
      <c r="DX54" s="281"/>
      <c r="DY54" s="281"/>
      <c r="DZ54" s="281"/>
      <c r="EA54" s="281"/>
      <c r="EB54" s="281"/>
      <c r="EC54" s="281"/>
      <c r="ED54" s="281"/>
      <c r="EE54" s="281"/>
      <c r="EF54" s="281"/>
      <c r="EG54" s="281"/>
      <c r="EH54" s="281"/>
      <c r="EI54" s="281"/>
      <c r="EJ54" s="281"/>
      <c r="EK54" s="281"/>
      <c r="EL54" s="281"/>
      <c r="EM54" s="218"/>
      <c r="EN54" s="179" t="str">
        <f>IF(modelloAUTO3=$B$46,IF(PROFlatRICH3="","STD",PROFlatRICH3),"")</f>
        <v/>
      </c>
      <c r="EO54" s="191" t="str">
        <f>IF(modelloAUTO3=$B$46,IF(PROFlatRICH3="",pezzi3*DUE*VLOOKUP($B$46,tabMODELLI,COLprofiliLATdiserie,FALSE),pezzi3*DUE),"")</f>
        <v/>
      </c>
      <c r="EP54" s="238" t="str">
        <f>IF(modelloAUTO3=$B$46,VLOOKUP($B$46,tabMODELLI,COLcoeffALTguarnINFERIOREschiacciata,FALSE)+(VLOOKUP($B$46,tabMODELLI,COLcoefALTdogaREALEda200,FALSE)+(VLOOKUP($B$46,tabMODELLI,COLcoefALTdogaSORMONTATAda200,FALSE)*(CEILING(altezza3*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4" s="218"/>
      <c r="ER54" s="218"/>
      <c r="ES54" s="218"/>
      <c r="ET54" s="218"/>
      <c r="EU54" s="276" t="str">
        <f ca="1">IF(OR(modelloAUTO3=$B$46,modelloAUTO3=CLICK_RAPIDxPRIVATO),INDEX(INDIRECT("TABnCHIAVISTELLOvert"&amp;$B$46),rif_alt3,rif_larg3)*pezzi3,"")</f>
        <v/>
      </c>
      <c r="EV54" s="443" t="str">
        <f ca="1">IF(AND(nCatenacci3&lt;&gt;"",profORIZZ3&lt;&gt;""),spessoreCATENACCIOverticale60X35X300,"")</f>
        <v/>
      </c>
      <c r="EW54" s="208" t="str">
        <f ca="1">IF(modelloAUTO3=$B$46,INDEX(INDIRECT("TABnMANIGLIEsuperiori"&amp;$B$46),rif_alt3,rif_larg3),"")</f>
        <v/>
      </c>
      <c r="EX54" s="243" t="str">
        <f ca="1">IF(modelloAUTO3=$B$46,(larghezza3-CATENACCIOLOorizzontaleINGOMBROclick_rapid-DUE)/INDEX(INDIRECT("TABnMANIGLIEsuperiori"&amp;$B$46),rif_alt3,rif_larg3),"")</f>
        <v/>
      </c>
      <c r="EZ54" s="209" t="str">
        <f ca="1">IF(modelloAUTO3=$B$46,INDEX(INDIRECT("TABnMANIGLIEfrontali"&amp;$B$46),rif_alt3,rif_larg3),"")</f>
        <v/>
      </c>
      <c r="FA54"/>
      <c r="FB54"/>
      <c r="FC54"/>
      <c r="FD54"/>
      <c r="FE54"/>
      <c r="FF54"/>
      <c r="FG54"/>
      <c r="FH54"/>
      <c r="FI54"/>
      <c r="FJ54"/>
      <c r="FK54"/>
      <c r="FL54"/>
      <c r="FM54"/>
      <c r="FN54"/>
      <c r="FO54"/>
      <c r="FP54"/>
      <c r="FQ54"/>
      <c r="FR54"/>
      <c r="FS54"/>
      <c r="FT54" s="241" t="str">
        <f ca="1">IF(OR(nCatenacci3=0,nCatenacci3="",),"",(CJ54+QUATTRO-(IF(nCatenacci3="",ZERO,SESSANTA*(nCatenacci3/PZCLICK_RAPID3))))/((nCatenacci3/PZCLICK_RAPID3)+UNO))</f>
        <v/>
      </c>
      <c r="FZ54"/>
      <c r="GA54"/>
      <c r="GB54"/>
      <c r="GI54" s="168">
        <v>3</v>
      </c>
      <c r="GJ54" s="204" t="str">
        <f>IF(modelloAUTO3=$B$46,IF(profORIZZ3="","",pezzi3),"")</f>
        <v/>
      </c>
      <c r="GK54" s="205" t="str">
        <f>IF(modelloAUTO3=$B$46,IF(profORIZZ3="","",CODpiattoORIZZsugg3),"")</f>
        <v/>
      </c>
      <c r="HM54" s="206" t="str">
        <f>IF(modelloAUTO3=$B$46,IF(profORIZZ3="","",larghezza3*DIECI+IF(PROFoTUBsxRICH3="",ZERO,VLOOKUP(PROFoTUBsxRICH3,TABprofOtubLATERALI,COLlargPROFoTUBlat,FALSE))+IF(PROFoTUBdxRICH3="",ZERO,VLOOKUP(PROFoTUBdxRICH3,TABprofOtubLATERALI,COLlargPROFoTUBlat,FALSE))),"")</f>
        <v/>
      </c>
      <c r="HO54"/>
      <c r="HQ54"/>
      <c r="HR54"/>
      <c r="HS54"/>
      <c r="HT54"/>
      <c r="HW54"/>
      <c r="II54" s="168">
        <v>3</v>
      </c>
      <c r="IJ54" s="210" t="str">
        <f>IF(modelloAUTO3=$B$46,IF(fornPIANTcentr3="","",fornPIANTcentr3*pezzi3),"")</f>
        <v/>
      </c>
      <c r="IK54" s="210" t="str">
        <f>IF(modelloAUTO3=$B$46,IF(fornPIANTcentr3="","",CODpiantCENTRsugg3),"")</f>
        <v/>
      </c>
      <c r="IM54" s="210" t="str">
        <f>IF(modelloAUTO3=$B$46,IF(CODpiantCENTRsuggAPPOG3="","",CODpiantCENTRdiAPPOGGIOrich3),"")</f>
        <v/>
      </c>
      <c r="IN54" s="210" t="str">
        <f>IF(modelloAUTO3=$B$46,IF(CODpiantCENTRsuggAPPOG3="","",CODpiantCENTRsuggAPPOG3),"")</f>
        <v/>
      </c>
      <c r="JS54" s="168">
        <v>3</v>
      </c>
      <c r="JT54" s="259" t="str">
        <f>IF(CI92="","",Z55)</f>
        <v/>
      </c>
      <c r="JU54" s="236">
        <f t="shared" si="34"/>
        <v>90.9</v>
      </c>
      <c r="JV54" s="236">
        <f t="shared" si="35"/>
        <v>116</v>
      </c>
      <c r="JY54" s="230" t="str">
        <f>IF(modelloAUTO3=$B$46,larghezza3*DIECI+VLOOKUP($B$46,tabMODELLI,COLcoefAUMlargBUSTApvc,FALSE)+VLOOKUP($B$46,tabMODELLI,COLcoefAUMlargXprofILIlateraliBUSTApvc,FALSE)+IF(PROFoTUBsxRICH3="",ZERO,VLOOKUP(PROFoTUBsxRICH3,TABprofOtubLATERALI,COLlargPROFoTUBlatXimballaggio,FALSE)+profELETTRODOsaldaturaPVC)+IF(PROFoTUBdxRICH3="",ZERO,VLOOKUP(PROFoTUBdxRICH3,TABprofOtubLATERALI,COLlargPROFoTUBlatXimballaggio,FALSE)+profELETTRODOsaldaturaPVC),"")</f>
        <v/>
      </c>
      <c r="JZ54" s="230" t="str">
        <f>IF(modelloAUTO3=$B$46,altezza3*DIECI*DUE+VLOOKUP($B$46,tabMODELLI,COLcoefAUMaltBUSTApvc,FALSE),"")</f>
        <v/>
      </c>
      <c r="KA54" s="261"/>
      <c r="KB54" s="230" t="str">
        <f>IF(modelloAUTO3=$B$46,altezza3*DIECI+VLOOKUP($B$46,tabMODELLI,COLcoeffSALDATURAinALTbustaPVC,FALSE),"")</f>
        <v/>
      </c>
      <c r="KC54" s="230" t="str">
        <f>IF(modelloAUTO3=$B$46,VLOOKUP($B$46,tabMODELLI,COLcoeffSALDATURAinLARGperTASCAbustaPVC,FALSE),"")</f>
        <v/>
      </c>
      <c r="KD54" s="230" t="str">
        <f>IF(modelloAUTO3=$B$46,IF(PROFoTUBsxRICH3="","",VLOOKUP(PROFoTUBsxRICH3,TABprofOtubLATERALI,COLlargPROFoTUBlatXimballaggio,FALSE)),"")</f>
        <v/>
      </c>
      <c r="KE54" s="230" t="str">
        <f>IF(modelloAUTO3=$B$46,IF(PROFoTUBdxRICH3="","",VLOOKUP(PROFoTUBdxRICH3,TABprofOtubLATERALI,COLlargPROFoTUBlatXimballaggio,FALSE)),"")</f>
        <v/>
      </c>
      <c r="KG54" s="262" t="str">
        <f>IF(modelloAUTO3=$B$46,pezzi3*DUE,"")</f>
        <v/>
      </c>
      <c r="KH54" s="263" t="str">
        <f>IF(modelloAUTO3=$B$46,larghezza3+VLOOKUP($B$46,tabMODELLI,COLcoeffAUMoCALOinLARGpolistirolo,FALSE),"")</f>
        <v/>
      </c>
      <c r="KI54" s="263" t="str">
        <f>IF(modelloAUTO3=$B$46,altezza3+VLOOKUP($B$46,tabMODELLI,COLcoeffAUMoCALOinALTpolistirolo,FALSE),"")</f>
        <v/>
      </c>
      <c r="KK54" s="262" t="str">
        <f>IF(modelloAUTO3=$B$46,pezzi3*DUE,"")</f>
        <v/>
      </c>
      <c r="KL54" s="263" t="str">
        <f>IF(modelloAUTO3=$B$46,larghezza3+VLOOKUP($B$46,tabMODELLI,colCOEFFdellaLARGnelFIANCOpolistirolo,FALSE),"")</f>
        <v/>
      </c>
      <c r="KM54" s="263" t="str">
        <f>IF(modelloAUTO3=$B$46,VLOOKUP($B$46,tabMODELLI,COLdimstdSTRISCIAdelFIANCOxALT1polistirolo,FALSE),"")</f>
        <v/>
      </c>
      <c r="KO54" s="262" t="str">
        <f>IF(modelloAUTO3=$B$46,pezzi3*DUE,"")</f>
        <v/>
      </c>
      <c r="KP54" s="263" t="str">
        <f>IF(modelloAUTO3=$B$46,altezza3+VLOOKUP($B$46,tabMODELLI,colCOEFFdellaALTnelFIANCOpolistirolo,FALSE),"")</f>
        <v/>
      </c>
      <c r="KQ54" s="263" t="str">
        <f>IF(modelloAUTO3=$B$46,VLOOKUP($B$46,tabMODELLI,COLdimstdSTRISCIAdelFIANCOxALT1polistirolo,FALSE),"")</f>
        <v/>
      </c>
      <c r="KR54" s="150">
        <v>1</v>
      </c>
      <c r="KY54" s="168">
        <v>3</v>
      </c>
      <c r="KZ54" s="444" t="str">
        <f>IF(LA54="","",IF('[1]IMMISSIONE DATI'!AY54="",UNO,'[1]IMMISSIONE DATI'!AY54))</f>
        <v/>
      </c>
      <c r="LA54" s="234" t="str">
        <f>IF(modelloAUTO3="","",IF(modelloAUTO3=CLICK_RAPID,MINA(larghezza3,LargALT3)*DIECI,""))</f>
        <v/>
      </c>
      <c r="LB54" s="234" t="str">
        <f>IF(modelloAUTO3=CLICK_RAPID,altezza3*DIECI,"")</f>
        <v/>
      </c>
      <c r="LD54" s="445" t="str">
        <f>IF(modelloAUTO3=CLICK_RAPID,INDEX(tabPESOparatiaSENZAimballo,rif_alt3,rif_larg3)*pezzi3,"")</f>
        <v/>
      </c>
      <c r="LG54" s="446" t="str">
        <f t="shared" si="36"/>
        <v>CLOSE</v>
      </c>
      <c r="LH54" s="447">
        <f t="shared" si="36"/>
        <v>1</v>
      </c>
      <c r="LI54" s="447">
        <f t="shared" si="36"/>
        <v>99.9</v>
      </c>
      <c r="LJ54" s="447">
        <f t="shared" si="36"/>
        <v>100</v>
      </c>
      <c r="LL54" s="269"/>
      <c r="LM54" s="270" t="e">
        <f>#REF!</f>
        <v>#REF!</v>
      </c>
      <c r="LN54" s="270" t="e">
        <f>#REF!</f>
        <v>#REF!</v>
      </c>
      <c r="LO54" s="270"/>
      <c r="LP54" s="270" t="str">
        <f t="shared" si="33"/>
        <v/>
      </c>
      <c r="LQ54" s="270" t="e">
        <f>#REF!</f>
        <v>#REF!</v>
      </c>
      <c r="LR54" s="270" t="str">
        <f t="shared" si="37"/>
        <v/>
      </c>
      <c r="LS54" s="271"/>
    </row>
    <row r="55" spans="1:331" s="150" customFormat="1" ht="32">
      <c r="A55" s="168">
        <v>4</v>
      </c>
      <c r="B55" s="260" t="str">
        <f>IF(modelloAUTO4=$B$46,stanza4,"")</f>
        <v/>
      </c>
      <c r="C55" s="170" t="str">
        <f>IF(modelloAUTO4="","",modelloAUTO4)</f>
        <v>CLOSE</v>
      </c>
      <c r="D55" s="171">
        <f>IF(pezzi4="","",pezzi4)</f>
        <v>1</v>
      </c>
      <c r="E55" s="172">
        <f>IF(larghezza4="","",LARGortogonalitaADEGUATA4)</f>
        <v>99.9</v>
      </c>
      <c r="F55" s="173">
        <f>IF(altezza4="","",altezza4)</f>
        <v>100</v>
      </c>
      <c r="G55" s="173"/>
      <c r="H55" s="173"/>
      <c r="I55" s="176" t="str">
        <f>IF(modelloAUTO4="","",IF(vernBarriera4="","",vernBarriera4))</f>
        <v/>
      </c>
      <c r="J55" s="177" t="str">
        <f>IF(modelloAUTO4=$B$46,IF(PELLICOLA4="","",pezzi4),"")</f>
        <v/>
      </c>
      <c r="K55" s="437"/>
      <c r="M55" s="179" t="str">
        <f>IF(modelloAUTO4=$B$46,IF(PROFlatAUTO4="ESCLUSI","",IF(PROFlatRICH4="","STD",PROFlatRICH4)),"")</f>
        <v/>
      </c>
      <c r="N55" s="176" t="str">
        <f>IF(modelloAUTO4="","",IF(copertina4="","",TIPOcopertina4))</f>
        <v/>
      </c>
      <c r="O55" s="196" t="str">
        <f>IF(AND(modelloAUTO4=$B$46,PROFlatAUTO4&lt;&gt;"ESCLUSI"),IF(ALTprofLATrich4="","STD",ALTprofLATrich4),"")</f>
        <v/>
      </c>
      <c r="P55" s="176" t="str">
        <f>IF(modelloAUTO4="","",IF(vernPROFlatTEN4="","",vernPROFlatTEN4))</f>
        <v/>
      </c>
      <c r="R55" s="176" t="str">
        <f>IF(PROFoTUBsxRICH4="","",PROFoTUBsxRICH4)</f>
        <v/>
      </c>
      <c r="S55" s="182"/>
      <c r="T55" s="176" t="str">
        <f>IF(modelloAUTO4="","",IF(PROFoTUBdxRICH4="","",PROFoTUBdxRICH4))</f>
        <v/>
      </c>
      <c r="U55" s="182"/>
      <c r="V55" s="183" t="str">
        <f>IF(modelloAUTO4="","",IF(PROFoTUBsxRICH4="","",IF(ALTprofOtubRICHsx4="","SX: STD","SX: "&amp;ALTprofOtubRICHsx4&amp;" - "))&amp;IF(PROFoTUBdxRICH4="","",IF(ALTprofOtubRICHdx4="","  DX: STD","DX :"&amp;ALTprofOtubRICHdx4)))</f>
        <v/>
      </c>
      <c r="W55" s="184" t="str">
        <f>IF(modello4="","",IF(vernPROFoTUBlatSX4="","","SX: "&amp;vernPROFoTUBlatSX4&amp;" - ")&amp;IF(vernPROFoTUBlatDX4="",""," DX: "&amp;vernPROFoTUBlatDX4))</f>
        <v/>
      </c>
      <c r="Y55" s="185" t="str">
        <f>IF(modelloAUTO4="","",IF(OR(larghezza4="",profORIZZ4=""),"",CODpiattoORIZZsugg4))</f>
        <v/>
      </c>
      <c r="Z55" s="186" t="str">
        <f>IF(modelloAUTO4="","",IF(profORIZZ4="","",larghezza4+IF(PROFoTUBsxRICH4="",0,VLOOKUP(PROFoTUBsxRICH4,TABprofOtubLATERALI,COLlargPROFoTUBlat,FALSE))+IF(PROFoTUBdxRICH4="",0,VLOOKUP(PROFoTUBdxRICH4,TABprofOtubLATERALI,COLlargPROFoTUBlat,FALSE))))</f>
        <v/>
      </c>
      <c r="AB55" s="187" t="str">
        <f>IF(modelloAUTO4="","",IF(CODpiantCENTRsugg4="","","N° "&amp;fornPIANTcentr4&amp;"-"&amp;IF(CODpiantCENTRsugg4=0,"ERRORE",CODpiantCENTRsugg4)))</f>
        <v/>
      </c>
      <c r="AC55" s="187" t="str">
        <f ca="1">IF(modelloAUTO4="","",IF(CODpiantCENTRsuggAPPOG4="","","N° "&amp;CODpiantCENTRdiAPPOGGIOrich4&amp;"-"&amp;IF(CODpiantCENTRsuggAPPOG4=0,"ERRORE",CODpiantCENTRsuggAPPOG4)))</f>
        <v/>
      </c>
      <c r="AE55" s="188" t="str">
        <f>IF(modelloAUTO4="","",IF(note_cliente4="","",note_cliente4))</f>
        <v/>
      </c>
      <c r="AF55" s="189">
        <f>IF(PesoTEORICOparatia4="","",PesoTEORICOparatia4)</f>
        <v>9.99</v>
      </c>
      <c r="AG55" s="190">
        <v>4</v>
      </c>
      <c r="AI55" s="191" t="str">
        <f>IF(modelloAUTO4=$B$46,pezzi4*UNO,"")</f>
        <v/>
      </c>
      <c r="AJ55" s="438" t="str">
        <f>IF(modelloAUTO4=$B$46,larghezza4,"")</f>
        <v/>
      </c>
      <c r="AK55" s="212" t="str">
        <f>IF(modelloAUTO4=$B$46,altezza4,"")</f>
        <v/>
      </c>
      <c r="AL55" s="173"/>
      <c r="AM55" s="173"/>
      <c r="AN55" s="194"/>
      <c r="AO55"/>
      <c r="AQ55" s="439" t="str">
        <f>IF(modelloAUTO4=$B$46,IF(PROFlatRICH4="",pezzi4*DUE*VLOOKUP($B$46,tabMODELLI,COLprofiliLATdiserie,FALSE),pezzi4*DUE),"")</f>
        <v/>
      </c>
      <c r="AR55" s="179" t="str">
        <f>IF(modelloAUTO4=$B$46,IF(AND(VLOOKUP($B$46,tabMODELLI,COLprofiliLATdiserie,FALSE)=ZERO,PROFlatRICH4=""),"",IF(PROFlatAUTO4&lt;&gt;VLOOKUP($B$46,tabMODELLI,COLcodPROFILIlat,FALSE),PROFlatAUTO4,"STD")),"")</f>
        <v/>
      </c>
      <c r="AS55" s="196" t="str">
        <f>IF(AND(modelloAUTO4=$B$46,PROFlatAUTO4&lt;&gt;"ESCLUSI"),IF(ALTprofLATrich4="","STD",ALTprofLATrich4),"")</f>
        <v/>
      </c>
      <c r="AU55" s="272" t="str">
        <f>IF(modelloAUTO4=$B$46,IF(TIPOcopertina4="","",TIPOcopertina4),"")</f>
        <v/>
      </c>
      <c r="AW55" s="201" t="str">
        <f>IF(AND(modelloAUTO4=$B$46,PROFlatAUTO4&lt;&gt;"ESCLUSI"),IF(vernPROFlatTEN4="","OX ARGENTO",vernPROFlatTEN4),"")</f>
        <v/>
      </c>
      <c r="AY55" s="191" t="str">
        <f>IF(modelloAUTO4=$B$46,pezzi4*DUE,"")</f>
        <v/>
      </c>
      <c r="AZ55" s="199" t="str">
        <f>IF(modelloAUTO4=$B$46,IF(PROFoTUBsxRICH4="","",PROFoTUBsxRICH4),"")</f>
        <v/>
      </c>
      <c r="BA55" s="200" t="str">
        <f>IF(AND(modelloAUTO4=$B$46,PROFoTUBsxRICH4&lt;&gt;""),IF(ALTprofOtubRICHsx4="","STD",ALTprofOtubRICHsx4),"")</f>
        <v/>
      </c>
      <c r="BC55" s="201" t="str">
        <f>IF(modelloAUTO4=$B$46,IF(PROFoTUBsxRICH4="","",IF(vernPROFoTUBlatSX4="","OX ARGENTO",vernPROFoTUBlatSX4)),"")</f>
        <v/>
      </c>
      <c r="BE55" s="202" t="str">
        <f>IF(modelloAUTO4=$B$46,IF(PROFoTUBdxRICH4="","",PROFoTUBdxRICH4),"")</f>
        <v/>
      </c>
      <c r="BF55" s="200" t="str">
        <f>IF(AND(modelloAUTO4=$B$46,PROFoTUBdxRICH4&lt;&gt;""),IF(ALTprofOtubRICHdx4="","STD",ALTprofOtubRICHdx4),"")</f>
        <v/>
      </c>
      <c r="BH55" s="203" t="str">
        <f>IF(modelloAUTO4=$B$46,IF(PROFoTUBdxRICH4="","",IF(vernPROFoTUBlatDX4="","OX ARGENTO",vernPROFoTUBlatDX4)),"")</f>
        <v/>
      </c>
      <c r="BJ55" s="204" t="str">
        <f>IF(modelloAUTO4=$B$46,IF(profORIZZ4="","",pezzi4),"")</f>
        <v/>
      </c>
      <c r="BK55" s="205" t="str">
        <f>IF(modelloAUTO4=$B$46,IF(profORIZZ4="","",CODpiattoORIZZsugg4),"")</f>
        <v/>
      </c>
      <c r="BL55" s="206" t="str">
        <f>IF(modelloAUTO4=$B$46,IF(profORIZZ4="","",larghezza4*DIECI+IF(PROFoTUBsxRICH4="",ZERO,VLOOKUP(PROFoTUBsxRICH4,TABprofOtubLATERALI,COLlargPROFoTUBlat,FALSE))+IF(PROFoTUBdxRICH4="",ZERO,VLOOKUP(PROFoTUBdxRICH4,TABprofOtubLATERALI,COLlargPROFoTUBlat,FALSE))),"")</f>
        <v/>
      </c>
      <c r="BN55" s="207" t="str">
        <f ca="1">IF(modelloAUTO4=$B$46,INDEX(INDIRECT("TABnCHIAVISTELLOvert"&amp;$B$46),rif_alt4,rif_larg4)*pezzi4,"")</f>
        <v/>
      </c>
      <c r="BO55"/>
      <c r="BQ55" s="208" t="str">
        <f ca="1">IF(modelloAUTO4=$B$46,INDEX(INDIRECT("TABnMANIGLIEsuperiori"&amp;$B$46),rif_alt4,rif_larg4)+INDEX(INDIRECT("TABnMANIGLIEfrontali"&amp;$B$46),rif_alt4,rif_larg4),"")</f>
        <v/>
      </c>
      <c r="BR55" s="191" t="str">
        <f>IF(modelloAUTO4=$B$46,pezzi4*DUE,"")</f>
        <v/>
      </c>
      <c r="BS55" s="209" t="str">
        <f>IF(modelloAUTO4=$B$46,BQ55*DUE,"")</f>
        <v/>
      </c>
      <c r="BT55" s="209" t="str">
        <f>IF(modelloAUTO4=$B$46,BR55*TRE,"")</f>
        <v/>
      </c>
      <c r="BU55" s="441"/>
      <c r="BV55" s="441"/>
      <c r="BW55" s="441"/>
      <c r="BX55" s="441"/>
      <c r="BY55" s="441"/>
      <c r="CA55" s="210" t="str">
        <f>IF(modelloAUTO4=$B$46,IF(fornPIANTcentr4="","",fornPIANTcentr4*pezzi4),"")</f>
        <v/>
      </c>
      <c r="CB55" s="210" t="str">
        <f>IF(modelloAUTO4=$B$46,IF(fornPIANTcentr4="","",CODpiantCENTRsugg4),"")</f>
        <v/>
      </c>
      <c r="CD55" s="210" t="str">
        <f>IF(modelloAUTO4=$B$46,IF(CODpiantCENTRsuggAPPOG4="","",CODpiantCENTRdiAPPOGGIOrich4),"")</f>
        <v/>
      </c>
      <c r="CE55" s="210" t="str">
        <f>IF(modelloAUTO4=$B$46,IF(CODpiantCENTRsuggAPPOG4="","",CODpiantCENTRsuggAPPOG4),"")</f>
        <v/>
      </c>
      <c r="CG55" s="273">
        <v>4</v>
      </c>
      <c r="CI55" s="211" t="str">
        <f>IF(modelloAUTO4=$B$46,altezza4*DIECI/CEILING(VLOOKUP($B$46,tabMODELLI,COLcoefALTdogaSORMONTATAda200,FALSE),UNO)*pezzi4,"")</f>
        <v/>
      </c>
      <c r="CJ55" s="212" t="str">
        <f>IF(modelloAUTO4=$B$46,larghezza4*DIECI-VLOOKUP($B$46,tabMODELLI,COLcoeffTAGLIOdogaOPPURElastraINlarg,FALSE)-VLOOKUP(PROFlatAUTO4,TABprofLATten,COLcoeffCALOdoga,FALSE),"")</f>
        <v/>
      </c>
      <c r="CK55"/>
      <c r="CL55" s="203" t="str">
        <f>IF(modelloAUTO4=$B$46,IF(vernBarriera4="","STD",vernBarriera4),"")</f>
        <v/>
      </c>
      <c r="CM55" s="173"/>
      <c r="CN55" s="173"/>
      <c r="CO55"/>
      <c r="CP55"/>
      <c r="CQ55" s="216" t="str">
        <f>IF(modelloAUTO4=$B$46,pezzi4*DUE,"")</f>
        <v/>
      </c>
      <c r="CR55" s="212" t="str">
        <f>IF(modelloAUTO4=$B$46,altezza4*DIECI+VLOOKUP($B$46,tabMODELLI,COLcoeffTAGLIOPROFILIlateraliEverticaliAttaccatiALLAbarriera,FALSE),"")</f>
        <v/>
      </c>
      <c r="CS55"/>
      <c r="CT55" s="281"/>
      <c r="CU55" s="281"/>
      <c r="CV55"/>
      <c r="CW55" s="281"/>
      <c r="CX55" s="281"/>
      <c r="CY55" s="281"/>
      <c r="CZ55" s="281"/>
      <c r="DA55" s="281"/>
      <c r="DB55" s="281"/>
      <c r="DC55" s="281"/>
      <c r="DD55" s="281"/>
      <c r="DE55" s="281"/>
      <c r="DF55" s="281"/>
      <c r="DG55" s="281"/>
      <c r="DH55" s="281"/>
      <c r="DI55" s="281"/>
      <c r="DJ55" s="281"/>
      <c r="DK55"/>
      <c r="DL55"/>
      <c r="DM55" s="281"/>
      <c r="DN55" s="281"/>
      <c r="DO55" s="281"/>
      <c r="DP55" s="281"/>
      <c r="DQ55" s="281"/>
      <c r="DR55" s="281"/>
      <c r="DS55" s="281"/>
      <c r="DT55" s="281"/>
      <c r="DU55" s="281"/>
      <c r="DV55" s="281"/>
      <c r="DW55" s="281"/>
      <c r="DX55" s="281"/>
      <c r="DY55" s="281"/>
      <c r="DZ55" s="281"/>
      <c r="EA55" s="281"/>
      <c r="EB55" s="281"/>
      <c r="EC55" s="281"/>
      <c r="ED55" s="281"/>
      <c r="EE55" s="281"/>
      <c r="EF55" s="281"/>
      <c r="EG55" s="281"/>
      <c r="EH55" s="281"/>
      <c r="EI55" s="281"/>
      <c r="EJ55" s="281"/>
      <c r="EK55" s="281"/>
      <c r="EL55" s="281"/>
      <c r="EM55" s="218"/>
      <c r="EN55" s="179" t="str">
        <f>IF(modelloAUTO4=$B$46,IF(PROFlatRICH4="","STD",PROFlatRICH4),"")</f>
        <v/>
      </c>
      <c r="EO55" s="191" t="str">
        <f>IF(modelloAUTO4=$B$46,IF(PROFlatRICH4="",pezzi4*DUE*VLOOKUP($B$46,tabMODELLI,COLprofiliLATdiserie,FALSE),pezzi4*DUE),"")</f>
        <v/>
      </c>
      <c r="EP55" s="238" t="str">
        <f>IF(modelloAUTO4=$B$46,VLOOKUP($B$46,tabMODELLI,COLcoeffALTguarnINFERIOREschiacciata,FALSE)+(VLOOKUP($B$46,tabMODELLI,COLcoefALTdogaREALEda200,FALSE)+(VLOOKUP($B$46,tabMODELLI,COLcoefALTdogaSORMONTATAda200,FALSE)*(CEILING(altezza4*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5" s="218"/>
      <c r="ER55" s="218"/>
      <c r="ES55" s="218"/>
      <c r="ET55" s="218"/>
      <c r="EU55" s="276" t="str">
        <f ca="1">IF(OR(modelloAUTO4=$B$46,modelloAUTO4=CLICK_RAPIDxPRIVATO),INDEX(INDIRECT("TABnCHIAVISTELLOvert"&amp;$B$46),rif_alt4,rif_larg4)*pezzi4,"")</f>
        <v/>
      </c>
      <c r="EV55" s="443" t="str">
        <f ca="1">IF(AND(nCatenacci4&lt;&gt;"",profORIZZ4&lt;&gt;""),spessoreCATENACCIOverticale60X45X300,"")</f>
        <v/>
      </c>
      <c r="EW55" s="208" t="str">
        <f ca="1">IF(modelloAUTO4=$B$46,INDEX(INDIRECT("TABnMANIGLIEsuperiori"&amp;$B$46),rif_alt4,rif_larg4),"")</f>
        <v/>
      </c>
      <c r="EX55" s="243" t="str">
        <f ca="1">IF(modelloAUTO4=$B$46,(larghezza4-CATENACCIOLOorizzontaleINGOMBROclick_rapid-DUE)/INDEX(INDIRECT("TABnMANIGLIEsuperiori"&amp;$B$46),rif_alt4,rif_larg4),"")</f>
        <v/>
      </c>
      <c r="EZ55" s="209" t="str">
        <f ca="1">IF(modelloAUTO4=$B$46,INDEX(INDIRECT("TABnMANIGLIEfrontali"&amp;$B$46),rif_alt4,rif_larg4),"")</f>
        <v/>
      </c>
      <c r="FA55"/>
      <c r="FB55"/>
      <c r="FC55"/>
      <c r="FD55"/>
      <c r="FE55"/>
      <c r="FF55"/>
      <c r="FG55"/>
      <c r="FH55"/>
      <c r="FI55"/>
      <c r="FJ55"/>
      <c r="FK55"/>
      <c r="FL55"/>
      <c r="FM55"/>
      <c r="FN55"/>
      <c r="FO55"/>
      <c r="FP55"/>
      <c r="FQ55"/>
      <c r="FR55"/>
      <c r="FS55"/>
      <c r="FT55" s="241" t="str">
        <f ca="1">IF(OR(nCatenacci4=0,nCatenacci4="",),"",(CJ55+QUATTRO-(IF(nCatenacci4="",ZERO,SESSANTA*(nCatenacci4/PZCLICK_RAPID4))))/((nCatenacci4/PZCLICK_RAPID4)+UNO))</f>
        <v/>
      </c>
      <c r="FZ55"/>
      <c r="GA55"/>
      <c r="GB55"/>
      <c r="GI55" s="168">
        <v>4</v>
      </c>
      <c r="GJ55" s="204" t="str">
        <f>IF(modelloAUTO4=$B$46,IF(profORIZZ4="","",pezzi4),"")</f>
        <v/>
      </c>
      <c r="GK55" s="205" t="str">
        <f>IF(modelloAUTO4=$B$46,IF(profORIZZ4="","",CODpiattoORIZZsugg4),"")</f>
        <v/>
      </c>
      <c r="HM55" s="206" t="str">
        <f>IF(modelloAUTO4=$B$46,IF(profORIZZ4="","",larghezza4*DIECI+IF(PROFoTUBsxRICH4="",ZERO,VLOOKUP(PROFoTUBsxRICH4,TABprofOtubLATERALI,COLlargPROFoTUBlat,FALSE))+IF(PROFoTUBdxRICH4="",ZERO,VLOOKUP(PROFoTUBdxRICH4,TABprofOtubLATERALI,COLlargPROFoTUBlat,FALSE))),"")</f>
        <v/>
      </c>
      <c r="HO55"/>
      <c r="HQ55"/>
      <c r="HR55"/>
      <c r="HS55"/>
      <c r="HT55"/>
      <c r="HW55"/>
      <c r="II55" s="168">
        <v>4</v>
      </c>
      <c r="IJ55" s="210" t="str">
        <f>IF(modelloAUTO4=$B$46,IF(fornPIANTcentr4="","",fornPIANTcentr4*pezzi4),"")</f>
        <v/>
      </c>
      <c r="IK55" s="210" t="str">
        <f>IF(modelloAUTO4=$B$46,IF(fornPIANTcentr4="","",CODpiantCENTRsugg4),"")</f>
        <v/>
      </c>
      <c r="IM55" s="210" t="str">
        <f>IF(modelloAUTO4=$B$46,IF(CODpiantCENTRsuggAPPOG4="","",CODpiantCENTRdiAPPOGGIOrich4),"")</f>
        <v/>
      </c>
      <c r="IN55" s="210" t="str">
        <f>IF(modelloAUTO4=$B$46,IF(CODpiantCENTRsuggAPPOG4="","",CODpiantCENTRsuggAPPOG4),"")</f>
        <v/>
      </c>
      <c r="JS55" s="168">
        <v>4</v>
      </c>
      <c r="JT55" s="259" t="str">
        <f>IF(CI93="","",Z56)</f>
        <v/>
      </c>
      <c r="JU55" s="236" t="str">
        <f t="shared" si="34"/>
        <v/>
      </c>
      <c r="JV55" s="236" t="str">
        <f t="shared" si="35"/>
        <v/>
      </c>
      <c r="JY55" s="230" t="str">
        <f>IF(modelloAUTO4=$B$46,larghezza4*DIECI+VLOOKUP($B$46,tabMODELLI,COLcoefAUMlargBUSTApvc,FALSE)+VLOOKUP($B$46,tabMODELLI,COLcoefAUMlargXprofILIlateraliBUSTApvc,FALSE)+IF(PROFoTUBsxRICH4="",ZERO,VLOOKUP(PROFoTUBsxRICH4,TABprofOtubLATERALI,COLlargPROFoTUBlatXimballaggio,FALSE)+profELETTRODOsaldaturaPVC)+IF(PROFoTUBdxRICH4="",ZERO,VLOOKUP(PROFoTUBdxRICH4,TABprofOtubLATERALI,COLlargPROFoTUBlatXimballaggio,FALSE)+profELETTRODOsaldaturaPVC),"")</f>
        <v/>
      </c>
      <c r="JZ55" s="230" t="str">
        <f>IF(modelloAUTO4=$B$46,altezza4*DIECI*DUE+VLOOKUP($B$46,tabMODELLI,COLcoefAUMaltBUSTApvc,FALSE),"")</f>
        <v/>
      </c>
      <c r="KA55" s="261"/>
      <c r="KB55" s="230" t="str">
        <f>IF(modelloAUTO4=$B$46,altezza4*DIECI+VLOOKUP($B$46,tabMODELLI,COLcoeffSALDATURAinALTbustaPVC,FALSE),"")</f>
        <v/>
      </c>
      <c r="KC55" s="230" t="str">
        <f>IF(modelloAUTO4=$B$46,VLOOKUP($B$46,tabMODELLI,COLcoeffSALDATURAinLARGperTASCAbustaPVC,FALSE),"")</f>
        <v/>
      </c>
      <c r="KD55" s="230" t="str">
        <f>IF(modelloAUTO4=$B$46,IF(PROFoTUBsxRICH4="","",VLOOKUP(PROFoTUBsxRICH4,TABprofOtubLATERALI,COLlargPROFoTUBlatXimballaggio,FALSE)),"")</f>
        <v/>
      </c>
      <c r="KE55" s="230" t="str">
        <f>IF(modelloAUTO4=$B$46,IF(PROFoTUBdxRICH4="","",VLOOKUP(PROFoTUBdxRICH4,TABprofOtubLATERALI,COLlargPROFoTUBlatXimballaggio,FALSE)),"")</f>
        <v/>
      </c>
      <c r="KG55" s="262" t="str">
        <f>IF(modelloAUTO4=$B$46,pezzi4*DUE,"")</f>
        <v/>
      </c>
      <c r="KH55" s="263" t="str">
        <f>IF(modelloAUTO4=$B$46,larghezza4+VLOOKUP($B$46,tabMODELLI,COLcoeffAUMoCALOinLARGpolistirolo,FALSE),"")</f>
        <v/>
      </c>
      <c r="KI55" s="263" t="str">
        <f>IF(modelloAUTO4=$B$46,altezza4+VLOOKUP($B$46,tabMODELLI,COLcoeffAUMoCALOinALTpolistirolo,FALSE),"")</f>
        <v/>
      </c>
      <c r="KK55" s="262" t="str">
        <f>IF(modelloAUTO4=$B$46,pezzi4*DUE,"")</f>
        <v/>
      </c>
      <c r="KL55" s="263" t="str">
        <f>IF(modelloAUTO4=$B$46,larghezza4+VLOOKUP($B$46,tabMODELLI,colCOEFFdellaLARGnelFIANCOpolistirolo,FALSE),"")</f>
        <v/>
      </c>
      <c r="KM55" s="263" t="str">
        <f>IF(modelloAUTO4=$B$46,VLOOKUP($B$46,tabMODELLI,COLdimstdSTRISCIAdelFIANCOxALT1polistirolo,FALSE),"")</f>
        <v/>
      </c>
      <c r="KO55" s="262" t="str">
        <f>IF(modelloAUTO4=$B$46,pezzi4*DUE,"")</f>
        <v/>
      </c>
      <c r="KP55" s="263" t="str">
        <f>IF(modelloAUTO4=$B$46,altezza4+VLOOKUP($B$46,tabMODELLI,colCOEFFdellaALTnelFIANCOpolistirolo,FALSE),"")</f>
        <v/>
      </c>
      <c r="KQ55" s="263" t="str">
        <f>IF(modelloAUTO4=$B$46,VLOOKUP($B$46,tabMODELLI,COLdimstdSTRISCIAdelFIANCOxALT1polistirolo,FALSE),"")</f>
        <v/>
      </c>
      <c r="KR55" s="150">
        <v>1</v>
      </c>
      <c r="KY55" s="168">
        <v>4</v>
      </c>
      <c r="KZ55" s="444" t="str">
        <f>IF(LA55="","",IF('[1]IMMISSIONE DATI'!AY55="",UNO,'[1]IMMISSIONE DATI'!AY55))</f>
        <v/>
      </c>
      <c r="LA55" s="234" t="str">
        <f>IF(modelloAUTO4="","",IF(modelloAUTO4=CLICK_RAPID,MINA(larghezza4,LargALT4)*DIECI,""))</f>
        <v/>
      </c>
      <c r="LB55" s="234" t="str">
        <f>IF(modelloAUTO4=CLICK_RAPID,altezza4*DIECI,"")</f>
        <v/>
      </c>
      <c r="LD55" s="445" t="str">
        <f>IF(modelloAUTO4=CLICK_RAPID,INDEX(tabPESOparatiaSENZAimballo,rif_alt4,rif_larg4)*pezzi4,"")</f>
        <v/>
      </c>
      <c r="LG55" s="446" t="str">
        <f t="shared" si="36"/>
        <v/>
      </c>
      <c r="LH55" s="447" t="str">
        <f t="shared" si="36"/>
        <v/>
      </c>
      <c r="LI55" s="447" t="str">
        <f t="shared" si="36"/>
        <v/>
      </c>
      <c r="LJ55" s="447" t="str">
        <f t="shared" si="36"/>
        <v/>
      </c>
      <c r="LL55" s="269"/>
      <c r="LM55" s="270" t="e">
        <f>#REF!</f>
        <v>#REF!</v>
      </c>
      <c r="LN55" s="270" t="e">
        <f>#REF!</f>
        <v>#REF!</v>
      </c>
      <c r="LO55" s="270"/>
      <c r="LP55" s="270" t="str">
        <f t="shared" si="33"/>
        <v/>
      </c>
      <c r="LQ55" s="270" t="e">
        <f>#REF!</f>
        <v>#REF!</v>
      </c>
      <c r="LR55" s="270" t="str">
        <f t="shared" si="37"/>
        <v/>
      </c>
      <c r="LS55" s="271"/>
    </row>
    <row r="56" spans="1:331" s="150" customFormat="1" ht="32">
      <c r="A56" s="168">
        <v>5</v>
      </c>
      <c r="B56" s="260" t="str">
        <f>IF(modelloAUTO5=$B$46,stanza5,"")</f>
        <v/>
      </c>
      <c r="C56" s="170" t="str">
        <f>IF(modelloAUTO5="","",modelloAUTO5)</f>
        <v/>
      </c>
      <c r="D56" s="171" t="str">
        <f>IF(pezzi5="","",pezzi5)</f>
        <v/>
      </c>
      <c r="E56" s="172" t="str">
        <f>IF(larghezza5="","",LARGortogonalitaADEGUATA5)</f>
        <v/>
      </c>
      <c r="F56" s="173" t="str">
        <f>IF(altezza5="","",altezza5)</f>
        <v/>
      </c>
      <c r="G56" s="173"/>
      <c r="H56" s="173"/>
      <c r="I56" s="176" t="str">
        <f>IF(modelloAUTO5="","",IF(vernBarriera5="","",vernBarriera5))</f>
        <v/>
      </c>
      <c r="J56" s="177" t="str">
        <f>IF(modelloAUTO5=$B$46,IF(PELLICOLA5="","",pezzi5),"")</f>
        <v/>
      </c>
      <c r="K56" s="437"/>
      <c r="M56" s="179" t="str">
        <f>IF(modelloAUTO5=$B$46,IF(PROFlatAUTO5="ESCLUSI","",IF(PROFlatRICH5="","STD",PROFlatRICH5)),"")</f>
        <v/>
      </c>
      <c r="N56" s="176" t="str">
        <f>IF(modelloAUTO5="","",IF(copertina5="","",TIPOcopertina5))</f>
        <v/>
      </c>
      <c r="O56" s="196" t="str">
        <f>IF(AND(modelloAUTO5=$B$46,PROFlatAUTO5&lt;&gt;"ESCLUSI"),IF(ALTprofLATrich5="","STD",ALTprofLATrich5),"")</f>
        <v/>
      </c>
      <c r="P56" s="176" t="str">
        <f>IF(modelloAUTO5="","",IF(vernPROFlatTEN5="","",vernPROFlatTEN5))</f>
        <v/>
      </c>
      <c r="R56" s="176" t="str">
        <f>IF(PROFoTUBsxRICH5="","",PROFoTUBsxRICH5)</f>
        <v/>
      </c>
      <c r="S56" s="182"/>
      <c r="T56" s="176" t="str">
        <f>IF(modelloAUTO5="","",IF(PROFoTUBdxRICH5="","",PROFoTUBdxRICH5))</f>
        <v/>
      </c>
      <c r="U56" s="182"/>
      <c r="V56" s="183" t="str">
        <f>IF(modelloAUTO5="","",IF(PROFoTUBsxRICH5="","",IF(ALTprofOtubRICHsx5="","SX: STD","SX: "&amp;ALTprofOtubRICHsx5&amp;" - "))&amp;IF(PROFoTUBdxRICH5="","",IF(ALTprofOtubRICHdx5="","  DX: STD","DX :"&amp;ALTprofOtubRICHdx5)))</f>
        <v/>
      </c>
      <c r="W56" s="184" t="str">
        <f>IF(modello5="","",IF(vernPROFoTUBlatSX5="","","SX: "&amp;vernPROFoTUBlatSX5&amp;" - ")&amp;IF(vernPROFoTUBlatDX5="",""," DX: "&amp;vernPROFoTUBlatDX5))</f>
        <v/>
      </c>
      <c r="Y56" s="185" t="str">
        <f>IF(modelloAUTO5="","",IF(OR(larghezza5="",profORIZZ5=""),"",CODpiattoORIZZsugg5))</f>
        <v/>
      </c>
      <c r="Z56" s="186" t="str">
        <f>IF(modelloAUTO5="","",IF(profORIZZ5="","",larghezza5+IF(PROFoTUBsxRICH5="",0,VLOOKUP(PROFoTUBsxRICH5,TABprofOtubLATERALI,COLlargPROFoTUBlat,FALSE))+IF(PROFoTUBdxRICH5="",0,VLOOKUP(PROFoTUBdxRICH5,TABprofOtubLATERALI,COLlargPROFoTUBlat,FALSE))))</f>
        <v/>
      </c>
      <c r="AB56" s="187" t="str">
        <f>IF(modelloAUTO5="","",IF(CODpiantCENTRsugg5="","","N° "&amp;fornPIANTcentr5&amp;"-"&amp;IF(CODpiantCENTRsugg5=0,"ERRORE",CODpiantCENTRsugg5)))</f>
        <v/>
      </c>
      <c r="AC56" s="187" t="str">
        <f>IF(modelloAUTO5="","",IF(CODpiantCENTRsuggAPPOG5="","","N° "&amp;CODpiantCENTRdiAPPOGGIOrich5&amp;"-"&amp;IF(CODpiantCENTRsuggAPPOG5=0,"ERRORE",CODpiantCENTRsuggAPPOG5)))</f>
        <v/>
      </c>
      <c r="AE56" s="188" t="str">
        <f>IF(modelloAUTO5="","",IF(note_cliente5="","",note_cliente5))</f>
        <v/>
      </c>
      <c r="AF56" s="189" t="str">
        <f>IF(PesoTEORICOparatia5="","",PesoTEORICOparatia5)</f>
        <v/>
      </c>
      <c r="AG56" s="190">
        <v>5</v>
      </c>
      <c r="AI56" s="191" t="str">
        <f>IF(modelloAUTO5=$B$46,pezzi5*UNO,"")</f>
        <v/>
      </c>
      <c r="AJ56" s="438" t="str">
        <f>IF(modelloAUTO5=$B$46,larghezza5,"")</f>
        <v/>
      </c>
      <c r="AK56" s="212" t="str">
        <f>IF(modelloAUTO5=$B$46,altezza5,"")</f>
        <v/>
      </c>
      <c r="AL56" s="173"/>
      <c r="AM56" s="173"/>
      <c r="AN56" s="194"/>
      <c r="AO56"/>
      <c r="AQ56" s="439" t="str">
        <f>IF(modelloAUTO5=$B$46,IF(PROFlatRICH5="",pezzi5*DUE*VLOOKUP($B$46,tabMODELLI,COLprofiliLATdiserie,FALSE),pezzi5*DUE),"")</f>
        <v/>
      </c>
      <c r="AR56" s="179" t="str">
        <f>IF(modelloAUTO5=$B$46,IF(AND(VLOOKUP($B$46,tabMODELLI,COLprofiliLATdiserie,FALSE)=ZERO,PROFlatRICH5=""),"",IF(PROFlatAUTO5&lt;&gt;VLOOKUP($B$46,tabMODELLI,COLcodPROFILIlat,FALSE),PROFlatAUTO5,"STD")),"")</f>
        <v/>
      </c>
      <c r="AS56" s="196" t="str">
        <f>IF(AND(modelloAUTO5=$B$46,PROFlatAUTO5&lt;&gt;"ESCLUSI"),IF(ALTprofLATrich5="","STD",ALTprofLATrich5),"")</f>
        <v/>
      </c>
      <c r="AU56" s="272" t="str">
        <f>IF(modelloAUTO5=$B$46,IF(TIPOcopertina5="","",TIPOcopertina5),"")</f>
        <v/>
      </c>
      <c r="AW56" s="201" t="str">
        <f>IF(AND(modelloAUTO5=$B$46,PROFlatAUTO5&lt;&gt;"ESCLUSI"),IF(vernPROFlatTEN5="","OX ARGENTO",vernPROFlatTEN5),"")</f>
        <v/>
      </c>
      <c r="AY56" s="191" t="str">
        <f>IF(modelloAUTO5=$B$46,pezzi5*DUE,"")</f>
        <v/>
      </c>
      <c r="AZ56" s="199" t="str">
        <f>IF(modelloAUTO5=$B$46,IF(PROFoTUBsxRICH5="","",PROFoTUBsxRICH5),"")</f>
        <v/>
      </c>
      <c r="BA56" s="200" t="str">
        <f>IF(AND(modelloAUTO5=$B$46,PROFoTUBsxRICH5&lt;&gt;""),IF(ALTprofOtubRICHsx5="","STD",ALTprofOtubRICHsx5),"")</f>
        <v/>
      </c>
      <c r="BC56" s="201" t="str">
        <f>IF(modelloAUTO5=$B$46,IF(PROFoTUBsxRICH5="","",IF(vernPROFoTUBlatSX5="","OX ARGENTO",vernPROFoTUBlatSX5)),"")</f>
        <v/>
      </c>
      <c r="BE56" s="202" t="str">
        <f>IF(modelloAUTO5=$B$46,IF(PROFoTUBdxRICH5="","",PROFoTUBdxRICH5),"")</f>
        <v/>
      </c>
      <c r="BF56" s="200" t="str">
        <f>IF(AND(modelloAUTO5=$B$46,PROFoTUBdxRICH5&lt;&gt;""),IF(ALTprofOtubRICHdx5="","STD",ALTprofOtubRICHdx5),"")</f>
        <v/>
      </c>
      <c r="BH56" s="203" t="str">
        <f>IF(modelloAUTO5=$B$46,IF(PROFoTUBdxRICH5="","",IF(vernPROFoTUBlatDX5="","OX ARGENTO",vernPROFoTUBlatDX5)),"")</f>
        <v/>
      </c>
      <c r="BJ56" s="204" t="str">
        <f>IF(modelloAUTO5=$B$46,IF(profORIZZ5="","",pezzi5),"")</f>
        <v/>
      </c>
      <c r="BK56" s="205" t="str">
        <f>IF(modelloAUTO5=$B$46,IF(profORIZZ5="","",CODpiattoORIZZsugg5),"")</f>
        <v/>
      </c>
      <c r="BL56" s="206" t="str">
        <f>IF(modelloAUTO5=$B$46,IF(profORIZZ5="","",larghezza5*DIECI+IF(PROFoTUBsxRICH5="",ZERO,VLOOKUP(PROFoTUBsxRICH5,TABprofOtubLATERALI,COLlargPROFoTUBlat,FALSE))+IF(PROFoTUBdxRICH5="",ZERO,VLOOKUP(PROFoTUBdxRICH5,TABprofOtubLATERALI,COLlargPROFoTUBlat,FALSE))),"")</f>
        <v/>
      </c>
      <c r="BN56" s="207" t="str">
        <f ca="1">IF(modelloAUTO5=$B$46,INDEX(INDIRECT("TABnCHIAVISTELLOvert"&amp;$B$46),rif_alt5,rif_larg5)*pezzi5,"")</f>
        <v/>
      </c>
      <c r="BO56"/>
      <c r="BQ56" s="208" t="str">
        <f ca="1">IF(modelloAUTO5=$B$46,INDEX(INDIRECT("TABnMANIGLIEsuperiori"&amp;$B$46),rif_alt5,rif_larg5)+INDEX(INDIRECT("TABnMANIGLIEfrontali"&amp;$B$46),rif_alt5,rif_larg5),"")</f>
        <v/>
      </c>
      <c r="BR56" s="191" t="str">
        <f>IF(modelloAUTO5=$B$46,pezzi5*DUE,"")</f>
        <v/>
      </c>
      <c r="BS56" s="209" t="str">
        <f>IF(modelloAUTO5=$B$46,BQ56*DUE,"")</f>
        <v/>
      </c>
      <c r="BT56" s="209" t="str">
        <f>IF(modelloAUTO5=$B$46,BR56*TRE,"")</f>
        <v/>
      </c>
      <c r="BU56" s="441"/>
      <c r="BV56" s="441"/>
      <c r="BW56" s="441"/>
      <c r="BX56" s="441"/>
      <c r="BY56" s="441"/>
      <c r="CA56" s="210" t="str">
        <f>IF(modelloAUTO5=$B$46,IF(fornPIANTcentr5="","",fornPIANTcentr5*pezzi5),"")</f>
        <v/>
      </c>
      <c r="CB56" s="210" t="str">
        <f>IF(modelloAUTO5=$B$46,IF(fornPIANTcentr5="","",CODpiantCENTRsugg5),"")</f>
        <v/>
      </c>
      <c r="CD56" s="210" t="str">
        <f>IF(modelloAUTO5=$B$46,IF(CODpiantCENTRsuggAPPOG5="","",CODpiantCENTRdiAPPOGGIOrich5),"")</f>
        <v/>
      </c>
      <c r="CE56" s="210" t="str">
        <f>IF(modelloAUTO5=$B$46,IF(CODpiantCENTRsuggAPPOG5="","",CODpiantCENTRsuggAPPOG5),"")</f>
        <v/>
      </c>
      <c r="CG56" s="273">
        <v>5</v>
      </c>
      <c r="CI56" s="211" t="str">
        <f>IF(modelloAUTO5=$B$46,altezza5*DIECI/CEILING(VLOOKUP($B$46,tabMODELLI,COLcoefALTdogaSORMONTATAda200,FALSE),UNO)*pezzi5,"")</f>
        <v/>
      </c>
      <c r="CJ56" s="212" t="str">
        <f>IF(modelloAUTO5=$B$46,larghezza5*DIECI-VLOOKUP($B$46,tabMODELLI,COLcoeffTAGLIOdogaOPPURElastraINlarg,FALSE)-VLOOKUP(PROFlatAUTO5,TABprofLATten,COLcoeffCALOdoga,FALSE),"")</f>
        <v/>
      </c>
      <c r="CK56"/>
      <c r="CL56" s="203" t="str">
        <f>IF(modelloAUTO5=$B$46,IF(vernBarriera5="","STD",vernBarriera5),"")</f>
        <v/>
      </c>
      <c r="CM56" s="173"/>
      <c r="CN56" s="173"/>
      <c r="CO56"/>
      <c r="CP56"/>
      <c r="CQ56" s="216" t="str">
        <f>IF(modelloAUTO5=$B$46,pezzi5*DUE,"")</f>
        <v/>
      </c>
      <c r="CR56" s="212" t="str">
        <f>IF(modelloAUTO5=$B$46,altezza5*DIECI+VLOOKUP($B$46,tabMODELLI,COLcoeffTAGLIOPROFILIlateraliEverticaliAttaccatiALLAbarriera,FALSE),"")</f>
        <v/>
      </c>
      <c r="CS56"/>
      <c r="CT56" s="281"/>
      <c r="CU56" s="281"/>
      <c r="CV56"/>
      <c r="CW56" s="281"/>
      <c r="CX56" s="281"/>
      <c r="CY56" s="281"/>
      <c r="CZ56" s="281"/>
      <c r="DA56" s="281"/>
      <c r="DB56" s="281"/>
      <c r="DC56" s="281"/>
      <c r="DD56" s="281"/>
      <c r="DE56" s="281"/>
      <c r="DF56" s="281"/>
      <c r="DG56" s="281"/>
      <c r="DH56" s="281"/>
      <c r="DI56" s="281"/>
      <c r="DJ56" s="281"/>
      <c r="DK56"/>
      <c r="DL56"/>
      <c r="DM56" s="281"/>
      <c r="DN56" s="281"/>
      <c r="DO56" s="281"/>
      <c r="DP56" s="281"/>
      <c r="DQ56" s="281"/>
      <c r="DR56" s="281"/>
      <c r="DS56" s="281"/>
      <c r="DT56" s="281"/>
      <c r="DU56" s="281"/>
      <c r="DV56" s="281"/>
      <c r="DW56" s="281"/>
      <c r="DX56" s="281"/>
      <c r="DY56" s="281"/>
      <c r="DZ56" s="281"/>
      <c r="EA56" s="281"/>
      <c r="EB56" s="281"/>
      <c r="EC56" s="281"/>
      <c r="ED56" s="281"/>
      <c r="EE56" s="281"/>
      <c r="EF56" s="281"/>
      <c r="EG56" s="281"/>
      <c r="EH56" s="281"/>
      <c r="EI56" s="281"/>
      <c r="EJ56" s="281"/>
      <c r="EK56" s="281"/>
      <c r="EL56" s="281"/>
      <c r="EM56" s="218"/>
      <c r="EN56" s="179" t="str">
        <f>IF(modelloAUTO5=$B$46,IF(PROFlatRICH5="","STD",PROFlatRICH5),"")</f>
        <v/>
      </c>
      <c r="EO56" s="191" t="str">
        <f>IF(modelloAUTO5=$B$46,IF(PROFlatRICH5="",pezzi5*DUE*VLOOKUP($B$46,tabMODELLI,COLprofiliLATdiserie,FALSE),pezzi5*DUE),"")</f>
        <v/>
      </c>
      <c r="EP56" s="238" t="str">
        <f>IF(modelloAUTO5=$B$46,VLOOKUP($B$46,tabMODELLI,COLcoeffALTguarnINFERIOREschiacciata,FALSE)+(VLOOKUP($B$46,tabMODELLI,COLcoefALTdogaREALEda200,FALSE)+(VLOOKUP($B$46,tabMODELLI,COLcoefALTdogaSORMONTATAda200,FALSE)*(CEILING(altezza5*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6" s="218"/>
      <c r="ER56" s="218"/>
      <c r="ES56" s="218"/>
      <c r="ET56" s="218"/>
      <c r="EU56" s="276" t="str">
        <f ca="1">IF(OR(modelloAUTO5=$B$46,modelloAUTO5=CLICK_RAPIDxPRIVATO),INDEX(INDIRECT("TABnCHIAVISTELLOvert"&amp;$B$46),rif_alt5,rif_larg5)*pezzi5,"")</f>
        <v/>
      </c>
      <c r="EV56" s="443" t="str">
        <f ca="1">IF(AND(nCatenacci5&lt;&gt;"",profORIZZ5&lt;&gt;""),spessoreCATENACCIOverticale60X55X300,"")</f>
        <v/>
      </c>
      <c r="EW56" s="208" t="str">
        <f ca="1">IF(modelloAUTO5=$B$46,INDEX(INDIRECT("TABnMANIGLIEsuperiori"&amp;$B$46),rif_alt5,rif_larg5),"")</f>
        <v/>
      </c>
      <c r="EX56" s="243" t="str">
        <f ca="1">IF(modelloAUTO5=$B$46,(larghezza5-CATENACCIOLOorizzontaleINGOMBROclick_rapid-DUE)/INDEX(INDIRECT("TABnMANIGLIEsuperiori"&amp;$B$46),rif_alt5,rif_larg5),"")</f>
        <v/>
      </c>
      <c r="EZ56" s="209" t="str">
        <f ca="1">IF(modelloAUTO5=$B$46,INDEX(INDIRECT("TABnMANIGLIEfrontali"&amp;$B$46),rif_alt5,rif_larg5),"")</f>
        <v/>
      </c>
      <c r="FA56"/>
      <c r="FB56"/>
      <c r="FC56"/>
      <c r="FD56"/>
      <c r="FE56"/>
      <c r="FF56"/>
      <c r="FG56"/>
      <c r="FH56"/>
      <c r="FI56"/>
      <c r="FJ56"/>
      <c r="FK56"/>
      <c r="FL56"/>
      <c r="FM56"/>
      <c r="FN56"/>
      <c r="FO56"/>
      <c r="FP56"/>
      <c r="FQ56"/>
      <c r="FR56"/>
      <c r="FS56"/>
      <c r="FT56" s="241" t="str">
        <f ca="1">IF(OR(nCatenacci5=0,nCatenacci5="",),"",(CJ56+QUATTRO-(IF(nCatenacci5="",ZERO,SESSANTA*(nCatenacci5/PZCLICK_RAPID5))))/((nCatenacci5/PZCLICK_RAPID5)+UNO))</f>
        <v/>
      </c>
      <c r="FZ56"/>
      <c r="GA56"/>
      <c r="GB56"/>
      <c r="GI56" s="168">
        <v>5</v>
      </c>
      <c r="GJ56" s="204" t="str">
        <f>IF(modelloAUTO5=$B$46,IF(profORIZZ5="","",pezzi5),"")</f>
        <v/>
      </c>
      <c r="GK56" s="205" t="str">
        <f>IF(modelloAUTO5=$B$46,IF(profORIZZ5="","",CODpiattoORIZZsugg5),"")</f>
        <v/>
      </c>
      <c r="HM56" s="206" t="str">
        <f>IF(modelloAUTO5=$B$46,IF(profORIZZ5="","",larghezza5*DIECI+IF(PROFoTUBsxRICH5="",ZERO,VLOOKUP(PROFoTUBsxRICH5,TABprofOtubLATERALI,COLlargPROFoTUBlat,FALSE))+IF(PROFoTUBdxRICH5="",ZERO,VLOOKUP(PROFoTUBdxRICH5,TABprofOtubLATERALI,COLlargPROFoTUBlat,FALSE))),"")</f>
        <v/>
      </c>
      <c r="HO56"/>
      <c r="HQ56"/>
      <c r="HR56"/>
      <c r="HS56"/>
      <c r="HT56"/>
      <c r="HW56"/>
      <c r="II56" s="168">
        <v>5</v>
      </c>
      <c r="IJ56" s="210" t="str">
        <f>IF(modelloAUTO5=$B$46,IF(fornPIANTcentr5="","",fornPIANTcentr5*pezzi5),"")</f>
        <v/>
      </c>
      <c r="IK56" s="210" t="str">
        <f>IF(modelloAUTO5=$B$46,IF(fornPIANTcentr5="","",CODpiantCENTRsugg5),"")</f>
        <v/>
      </c>
      <c r="IM56" s="210" t="str">
        <f>IF(modelloAUTO5=$B$46,IF(CODpiantCENTRsuggAPPOG5="","",CODpiantCENTRdiAPPOGGIOrich5),"")</f>
        <v/>
      </c>
      <c r="IN56" s="210" t="str">
        <f>IF(modelloAUTO5=$B$46,IF(CODpiantCENTRsuggAPPOG5="","",CODpiantCENTRsuggAPPOG5),"")</f>
        <v/>
      </c>
      <c r="JS56" s="168">
        <v>5</v>
      </c>
      <c r="JT56" s="259" t="str">
        <f>IF(CI94="","",Z57)</f>
        <v/>
      </c>
      <c r="JU56" s="236" t="str">
        <f t="shared" si="34"/>
        <v/>
      </c>
      <c r="JV56" s="236" t="str">
        <f t="shared" si="35"/>
        <v/>
      </c>
      <c r="JY56" s="230" t="str">
        <f>IF(modelloAUTO5=$B$46,larghezza5*DIECI+VLOOKUP($B$46,tabMODELLI,COLcoefAUMlargBUSTApvc,FALSE)+VLOOKUP($B$46,tabMODELLI,COLcoefAUMlargXprofILIlateraliBUSTApvc,FALSE)+IF(PROFoTUBsxRICH5="",ZERO,VLOOKUP(PROFoTUBsxRICH5,TABprofOtubLATERALI,COLlargPROFoTUBlatXimballaggio,FALSE)+profELETTRODOsaldaturaPVC)+IF(PROFoTUBdxRICH5="",ZERO,VLOOKUP(PROFoTUBdxRICH5,TABprofOtubLATERALI,COLlargPROFoTUBlatXimballaggio,FALSE)+profELETTRODOsaldaturaPVC),"")</f>
        <v/>
      </c>
      <c r="JZ56" s="230" t="str">
        <f>IF(modelloAUTO5=$B$46,altezza5*DIECI*DUE+VLOOKUP($B$46,tabMODELLI,COLcoefAUMaltBUSTApvc,FALSE),"")</f>
        <v/>
      </c>
      <c r="KA56" s="261"/>
      <c r="KB56" s="230" t="str">
        <f>IF(modelloAUTO5=$B$46,altezza5*DIECI+VLOOKUP($B$46,tabMODELLI,COLcoeffSALDATURAinALTbustaPVC,FALSE),"")</f>
        <v/>
      </c>
      <c r="KC56" s="230" t="str">
        <f>IF(modelloAUTO5=$B$46,VLOOKUP($B$46,tabMODELLI,COLcoeffSALDATURAinLARGperTASCAbustaPVC,FALSE),"")</f>
        <v/>
      </c>
      <c r="KD56" s="230" t="str">
        <f>IF(modelloAUTO5=$B$46,IF(PROFoTUBsxRICH5="","",VLOOKUP(PROFoTUBsxRICH5,TABprofOtubLATERALI,COLlargPROFoTUBlatXimballaggio,FALSE)),"")</f>
        <v/>
      </c>
      <c r="KE56" s="230" t="str">
        <f>IF(modelloAUTO5=$B$46,IF(PROFoTUBdxRICH5="","",VLOOKUP(PROFoTUBdxRICH5,TABprofOtubLATERALI,COLlargPROFoTUBlatXimballaggio,FALSE)),"")</f>
        <v/>
      </c>
      <c r="KG56" s="262" t="str">
        <f>IF(modelloAUTO5=$B$46,pezzi5*DUE,"")</f>
        <v/>
      </c>
      <c r="KH56" s="263" t="str">
        <f>IF(modelloAUTO5=$B$46,larghezza5+VLOOKUP($B$46,tabMODELLI,COLcoeffAUMoCALOinLARGpolistirolo,FALSE),"")</f>
        <v/>
      </c>
      <c r="KI56" s="263" t="str">
        <f>IF(modelloAUTO5=$B$46,altezza5+VLOOKUP($B$46,tabMODELLI,COLcoeffAUMoCALOinALTpolistirolo,FALSE),"")</f>
        <v/>
      </c>
      <c r="KK56" s="262" t="str">
        <f>IF(modelloAUTO5=$B$46,pezzi5*DUE,"")</f>
        <v/>
      </c>
      <c r="KL56" s="263" t="str">
        <f>IF(modelloAUTO5=$B$46,larghezza5+VLOOKUP($B$46,tabMODELLI,colCOEFFdellaLARGnelFIANCOpolistirolo,FALSE),"")</f>
        <v/>
      </c>
      <c r="KM56" s="263" t="str">
        <f>IF(modelloAUTO5=$B$46,VLOOKUP($B$46,tabMODELLI,COLdimstdSTRISCIAdelFIANCOxALT1polistirolo,FALSE),"")</f>
        <v/>
      </c>
      <c r="KO56" s="262" t="str">
        <f>IF(modelloAUTO5=$B$46,pezzi5*DUE,"")</f>
        <v/>
      </c>
      <c r="KP56" s="263" t="str">
        <f>IF(modelloAUTO5=$B$46,altezza5+VLOOKUP($B$46,tabMODELLI,colCOEFFdellaALTnelFIANCOpolistirolo,FALSE),"")</f>
        <v/>
      </c>
      <c r="KQ56" s="263" t="str">
        <f>IF(modelloAUTO5=$B$46,VLOOKUP($B$46,tabMODELLI,COLdimstdSTRISCIAdelFIANCOxALT1polistirolo,FALSE),"")</f>
        <v/>
      </c>
      <c r="KR56" s="150">
        <v>1</v>
      </c>
      <c r="KY56" s="168">
        <v>5</v>
      </c>
      <c r="KZ56" s="444" t="str">
        <f>IF(LA56="","",IF('[1]IMMISSIONE DATI'!AY56="",UNO,'[1]IMMISSIONE DATI'!AY56))</f>
        <v/>
      </c>
      <c r="LA56" s="234" t="str">
        <f>IF(modelloAUTO5="","",IF(modelloAUTO5=CLICK_RAPID,MINA(larghezza5,LargALT5)*DIECI,""))</f>
        <v/>
      </c>
      <c r="LB56" s="234" t="str">
        <f>IF(modelloAUTO5=CLICK_RAPID,altezza5*DIECI,"")</f>
        <v/>
      </c>
      <c r="LD56" s="445" t="str">
        <f>IF(modelloAUTO5=CLICK_RAPID,INDEX(tabPESOparatiaSENZAimballo,rif_alt5,rif_larg5)*pezzi5,"")</f>
        <v/>
      </c>
      <c r="LG56" s="446" t="str">
        <f t="shared" si="36"/>
        <v/>
      </c>
      <c r="LH56" s="447" t="str">
        <f t="shared" si="36"/>
        <v/>
      </c>
      <c r="LI56" s="447" t="str">
        <f t="shared" si="36"/>
        <v/>
      </c>
      <c r="LJ56" s="447" t="str">
        <f t="shared" si="36"/>
        <v/>
      </c>
      <c r="LL56" s="269"/>
      <c r="LM56" s="270" t="e">
        <f>#REF!</f>
        <v>#REF!</v>
      </c>
      <c r="LN56" s="270" t="e">
        <f>#REF!</f>
        <v>#REF!</v>
      </c>
      <c r="LO56" s="270"/>
      <c r="LP56" s="270" t="str">
        <f t="shared" si="33"/>
        <v/>
      </c>
      <c r="LQ56" s="270" t="e">
        <f>#REF!</f>
        <v>#REF!</v>
      </c>
      <c r="LR56" s="270" t="str">
        <f t="shared" si="37"/>
        <v/>
      </c>
      <c r="LS56" s="271"/>
    </row>
    <row r="57" spans="1:331" s="150" customFormat="1" ht="32">
      <c r="A57" s="168">
        <v>6</v>
      </c>
      <c r="B57" s="260" t="str">
        <f>IF(modelloAUTO6=$B$46,stanza6,"")</f>
        <v/>
      </c>
      <c r="C57" s="170" t="str">
        <f>IF(modelloAUTO6="","",modelloAUTO6)</f>
        <v/>
      </c>
      <c r="D57" s="171" t="str">
        <f>IF(pezzi6="","",pezzi6)</f>
        <v/>
      </c>
      <c r="E57" s="172" t="str">
        <f>IF(larghezza6="","",LARGortogonalitaADEGUATA6)</f>
        <v/>
      </c>
      <c r="F57" s="173" t="str">
        <f>IF(altezza6="","",altezza6)</f>
        <v/>
      </c>
      <c r="G57" s="173"/>
      <c r="H57" s="173"/>
      <c r="I57" s="176" t="str">
        <f>IF(modelloAUTO6="","",IF(vernBarriera6="","",vernBarriera6))</f>
        <v/>
      </c>
      <c r="J57" s="177" t="str">
        <f>IF(modelloAUTO6=$B$46,IF(PELLICOLA6="","",pezzi6),"")</f>
        <v/>
      </c>
      <c r="K57" s="437"/>
      <c r="M57" s="179" t="str">
        <f>IF(modelloAUTO6=$B$46,IF(PROFlatAUTO6="ESCLUSI","",IF(PROFlatRICH6="","STD",PROFlatRICH6)),"")</f>
        <v/>
      </c>
      <c r="N57" s="176" t="str">
        <f>IF(modelloAUTO6="","",IF(copertina6="","",TIPOcopertina6))</f>
        <v/>
      </c>
      <c r="O57" s="196" t="str">
        <f>IF(AND(modelloAUTO6=$B$46,PROFlatAUTO6&lt;&gt;"ESCLUSI"),IF(ALTprofLATrich6="","STD",ALTprofLATrich6),"")</f>
        <v/>
      </c>
      <c r="P57" s="176" t="str">
        <f>IF(modelloAUTO6="","",IF(vernPROFlatTEN6="","",vernPROFlatTEN6))</f>
        <v/>
      </c>
      <c r="R57" s="176" t="str">
        <f>IF(PROFoTUBsxRICH6="","",PROFoTUBsxRICH6)</f>
        <v/>
      </c>
      <c r="S57" s="182"/>
      <c r="T57" s="176" t="str">
        <f>IF(modelloAUTO6="","",IF(PROFoTUBdxRICH6="","",PROFoTUBdxRICH6))</f>
        <v/>
      </c>
      <c r="U57" s="182"/>
      <c r="V57" s="183" t="str">
        <f>IF(modelloAUTO6="","",IF(PROFoTUBsxRICH6="","",IF(ALTprofOtubRICHsx6="","SX: STD","SX: "&amp;ALTprofOtubRICHsx6&amp;" - "))&amp;IF(PROFoTUBdxRICH6="","",IF(ALTprofOtubRICHdx6="","  DX: STD","DX :"&amp;ALTprofOtubRICHdx6)))</f>
        <v/>
      </c>
      <c r="W57" s="184" t="str">
        <f>IF(modello6="","",IF(vernPROFoTUBlatSX6="","","SX: "&amp;vernPROFoTUBlatSX6&amp;" - ")&amp;IF(vernPROFoTUBlatDX6="",""," DX: "&amp;vernPROFoTUBlatDX6))</f>
        <v/>
      </c>
      <c r="Y57" s="185" t="str">
        <f>IF(modelloAUTO6="","",IF(OR(larghezza6="",profORIZZ6=""),"",CODpiattoORIZZsugg6))</f>
        <v/>
      </c>
      <c r="Z57" s="186" t="str">
        <f>IF(modelloAUTO6="","",IF(profORIZZ6="","",larghezza6+IF(PROFoTUBsxRICH6="",0,VLOOKUP(PROFoTUBsxRICH6,TABprofOtubLATERALI,COLlargPROFoTUBlat,FALSE))+IF(PROFoTUBdxRICH6="",0,VLOOKUP(PROFoTUBdxRICH6,TABprofOtubLATERALI,COLlargPROFoTUBlat,FALSE))))</f>
        <v/>
      </c>
      <c r="AB57" s="187" t="str">
        <f>IF(modelloAUTO6="","",IF(CODpiantCENTRsugg6="","","N° "&amp;fornPIANTcentr6&amp;"-"&amp;IF(CODpiantCENTRsugg6=0,"ERRORE",CODpiantCENTRsugg6)))</f>
        <v/>
      </c>
      <c r="AC57" s="187" t="str">
        <f>IF(modelloAUTO6="","",IF(CODpiantCENTRsuggAPPOG6="","","N° "&amp;CODpiantCENTRdiAPPOGGIOrich6&amp;"-"&amp;IF(CODpiantCENTRsuggAPPOG6=0,"ERRORE",CODpiantCENTRsuggAPPOG6)))</f>
        <v/>
      </c>
      <c r="AE57" s="188" t="str">
        <f>IF(modelloAUTO6="","",IF(note_cliente6="","",note_cliente6))</f>
        <v/>
      </c>
      <c r="AF57" s="189" t="str">
        <f>IF(PesoTEORICOparatia6="","",PesoTEORICOparatia6)</f>
        <v/>
      </c>
      <c r="AG57" s="190">
        <v>6</v>
      </c>
      <c r="AI57" s="191" t="str">
        <f>IF(modelloAUTO6=$B$46,pezzi6*UNO,"")</f>
        <v/>
      </c>
      <c r="AJ57" s="438" t="str">
        <f>IF(modelloAUTO6=$B$46,larghezza6,"")</f>
        <v/>
      </c>
      <c r="AK57" s="212" t="str">
        <f>IF(modelloAUTO6=$B$46,altezza6,"")</f>
        <v/>
      </c>
      <c r="AL57" s="173"/>
      <c r="AM57" s="173"/>
      <c r="AN57" s="194"/>
      <c r="AO57"/>
      <c r="AQ57" s="439" t="str">
        <f>IF(modelloAUTO6=$B$46,IF(PROFlatRICH6="",pezzi6*DUE*VLOOKUP($B$46,tabMODELLI,COLprofiliLATdiserie,FALSE),pezzi6*DUE),"")</f>
        <v/>
      </c>
      <c r="AR57" s="179" t="str">
        <f>IF(modelloAUTO6=$B$46,IF(AND(VLOOKUP($B$46,tabMODELLI,COLprofiliLATdiserie,FALSE)=ZERO,PROFlatRICH6=""),"",IF(PROFlatAUTO6&lt;&gt;VLOOKUP($B$46,tabMODELLI,COLcodPROFILIlat,FALSE),PROFlatAUTO6,"STD")),"")</f>
        <v/>
      </c>
      <c r="AS57" s="196" t="str">
        <f>IF(AND(modelloAUTO6=$B$46,PROFlatAUTO6&lt;&gt;"ESCLUSI"),IF(ALTprofLATrich6="","STD",ALTprofLATrich6),"")</f>
        <v/>
      </c>
      <c r="AU57" s="272" t="str">
        <f>IF(modelloAUTO6=$B$46,IF(TIPOcopertina6="","",TIPOcopertina6),"")</f>
        <v/>
      </c>
      <c r="AW57" s="201" t="str">
        <f>IF(AND(modelloAUTO6=$B$46,PROFlatAUTO6&lt;&gt;"ESCLUSI"),IF(vernPROFlatTEN6="","OX ARGENTO",vernPROFlatTEN6),"")</f>
        <v/>
      </c>
      <c r="AY57" s="191" t="str">
        <f>IF(modelloAUTO6=$B$46,pezzi6*DUE,"")</f>
        <v/>
      </c>
      <c r="AZ57" s="199" t="str">
        <f>IF(modelloAUTO6=$B$46,IF(PROFoTUBsxRICH6="","",PROFoTUBsxRICH6),"")</f>
        <v/>
      </c>
      <c r="BA57" s="200" t="str">
        <f>IF(AND(modelloAUTO6=$B$46,PROFoTUBsxRICH6&lt;&gt;""),IF(ALTprofOtubRICHsx6="","STD",ALTprofOtubRICHsx6),"")</f>
        <v/>
      </c>
      <c r="BC57" s="201" t="str">
        <f>IF(modelloAUTO6=$B$46,IF(PROFoTUBsxRICH6="","",IF(vernPROFoTUBlatSX6="","OX ARGENTO",vernPROFoTUBlatSX6)),"")</f>
        <v/>
      </c>
      <c r="BE57" s="202" t="str">
        <f>IF(modelloAUTO6=$B$46,IF(PROFoTUBdxRICH6="","",PROFoTUBdxRICH6),"")</f>
        <v/>
      </c>
      <c r="BF57" s="200" t="str">
        <f>IF(AND(modelloAUTO6=$B$46,PROFoTUBdxRICH6&lt;&gt;""),IF(ALTprofOtubRICHdx6="","STD",ALTprofOtubRICHdx6),"")</f>
        <v/>
      </c>
      <c r="BH57" s="203" t="str">
        <f>IF(modelloAUTO6=$B$46,IF(PROFoTUBdxRICH6="","",IF(vernPROFoTUBlatDX6="","OX ARGENTO",vernPROFoTUBlatDX6)),"")</f>
        <v/>
      </c>
      <c r="BJ57" s="204" t="str">
        <f>IF(modelloAUTO6=$B$46,IF(profORIZZ6="","",pezzi6),"")</f>
        <v/>
      </c>
      <c r="BK57" s="205" t="str">
        <f>IF(modelloAUTO6=$B$46,IF(profORIZZ6="","",CODpiattoORIZZsugg6),"")</f>
        <v/>
      </c>
      <c r="BL57" s="206" t="str">
        <f>IF(modelloAUTO6=$B$46,IF(profORIZZ6="","",larghezza6*DIECI+IF(PROFoTUBsxRICH6="",ZERO,VLOOKUP(PROFoTUBsxRICH6,TABprofOtubLATERALI,COLlargPROFoTUBlat,FALSE))+IF(PROFoTUBdxRICH6="",ZERO,VLOOKUP(PROFoTUBdxRICH6,TABprofOtubLATERALI,COLlargPROFoTUBlat,FALSE))),"")</f>
        <v/>
      </c>
      <c r="BN57" s="207" t="str">
        <f ca="1">IF(modelloAUTO6=$B$46,INDEX(INDIRECT("TABnCHIAVISTELLOvert"&amp;$B$46),rif_alt6,rif_larg6)*pezzi6,"")</f>
        <v/>
      </c>
      <c r="BO57"/>
      <c r="BQ57" s="208" t="str">
        <f ca="1">IF(modelloAUTO6=$B$46,INDEX(INDIRECT("TABnMANIGLIEsuperiori"&amp;$B$46),rif_alt6,rif_larg6)+INDEX(INDIRECT("TABnMANIGLIEfrontali"&amp;$B$46),rif_alt6,rif_larg6),"")</f>
        <v/>
      </c>
      <c r="BR57" s="191" t="str">
        <f>IF(modelloAUTO6=$B$46,pezzi6*DUE,"")</f>
        <v/>
      </c>
      <c r="BS57" s="209" t="str">
        <f>IF(modelloAUTO6=$B$46,BQ57*DUE,"")</f>
        <v/>
      </c>
      <c r="BT57" s="209" t="str">
        <f>IF(modelloAUTO6=$B$46,BR57*TRE,"")</f>
        <v/>
      </c>
      <c r="BU57" s="441"/>
      <c r="BV57" s="441"/>
      <c r="BW57" s="441"/>
      <c r="BX57" s="441"/>
      <c r="BY57" s="441"/>
      <c r="CA57" s="210" t="str">
        <f>IF(modelloAUTO6=$B$46,IF(fornPIANTcentr6="","",fornPIANTcentr6*pezzi6),"")</f>
        <v/>
      </c>
      <c r="CB57" s="210" t="str">
        <f>IF(modelloAUTO6=$B$46,IF(fornPIANTcentr6="","",CODpiantCENTRsugg6),"")</f>
        <v/>
      </c>
      <c r="CD57" s="210" t="str">
        <f>IF(modelloAUTO6=$B$46,IF(CODpiantCENTRsuggAPPOG6="","",CODpiantCENTRdiAPPOGGIOrich6),"")</f>
        <v/>
      </c>
      <c r="CE57" s="210" t="str">
        <f>IF(modelloAUTO6=$B$46,IF(CODpiantCENTRsuggAPPOG6="","",CODpiantCENTRsuggAPPOG6),"")</f>
        <v/>
      </c>
      <c r="CG57" s="273">
        <v>6</v>
      </c>
      <c r="CI57" s="211" t="str">
        <f>IF(modelloAUTO6=$B$46,altezza6*DIECI/CEILING(VLOOKUP($B$46,tabMODELLI,COLcoefALTdogaSORMONTATAda200,FALSE),UNO)*pezzi6,"")</f>
        <v/>
      </c>
      <c r="CJ57" s="212" t="str">
        <f>IF(modelloAUTO6=$B$46,larghezza6*DIECI-VLOOKUP($B$46,tabMODELLI,COLcoeffTAGLIOdogaOPPURElastraINlarg,FALSE)-VLOOKUP(PROFlatAUTO6,TABprofLATten,COLcoeffCALOdoga,FALSE),"")</f>
        <v/>
      </c>
      <c r="CK57"/>
      <c r="CL57" s="203" t="str">
        <f>IF(modelloAUTO6=$B$46,IF(vernBarriera6="","STD",vernBarriera6),"")</f>
        <v/>
      </c>
      <c r="CM57" s="173"/>
      <c r="CN57" s="173"/>
      <c r="CO57"/>
      <c r="CP57"/>
      <c r="CQ57" s="216" t="str">
        <f>IF(modelloAUTO6=$B$46,pezzi6*DUE,"")</f>
        <v/>
      </c>
      <c r="CR57" s="212" t="str">
        <f>IF(modelloAUTO6=$B$46,altezza6*DIECI+VLOOKUP($B$46,tabMODELLI,COLcoeffTAGLIOPROFILIlateraliEverticaliAttaccatiALLAbarriera,FALSE),"")</f>
        <v/>
      </c>
      <c r="CS57"/>
      <c r="CT57" s="281"/>
      <c r="CU57" s="281"/>
      <c r="CV57"/>
      <c r="CW57" s="281"/>
      <c r="CX57" s="281"/>
      <c r="CY57" s="281"/>
      <c r="CZ57" s="281"/>
      <c r="DA57" s="281"/>
      <c r="DB57" s="281"/>
      <c r="DC57" s="281"/>
      <c r="DD57" s="281"/>
      <c r="DE57" s="281"/>
      <c r="DF57" s="281"/>
      <c r="DG57" s="281"/>
      <c r="DH57" s="281"/>
      <c r="DI57" s="281"/>
      <c r="DJ57" s="281"/>
      <c r="DK57"/>
      <c r="DL57"/>
      <c r="DM57" s="281"/>
      <c r="DN57" s="281"/>
      <c r="DO57" s="281"/>
      <c r="DP57" s="281"/>
      <c r="DQ57" s="281"/>
      <c r="DR57" s="281"/>
      <c r="DS57" s="281"/>
      <c r="DT57" s="281"/>
      <c r="DU57" s="281"/>
      <c r="DV57" s="281"/>
      <c r="DW57" s="281"/>
      <c r="DX57" s="281"/>
      <c r="DY57" s="281"/>
      <c r="DZ57" s="281"/>
      <c r="EA57" s="281"/>
      <c r="EB57" s="281"/>
      <c r="EC57" s="281"/>
      <c r="ED57" s="281"/>
      <c r="EE57" s="281"/>
      <c r="EF57" s="281"/>
      <c r="EG57" s="281"/>
      <c r="EH57" s="281"/>
      <c r="EI57" s="281"/>
      <c r="EJ57" s="281"/>
      <c r="EK57" s="281"/>
      <c r="EL57" s="281"/>
      <c r="EM57" s="218"/>
      <c r="EN57" s="179" t="str">
        <f>IF(modelloAUTO6=$B$46,IF(PROFlatRICH6="","STD",PROFlatRICH6),"")</f>
        <v/>
      </c>
      <c r="EO57" s="191" t="str">
        <f>IF(modelloAUTO6=$B$46,IF(PROFlatRICH6="",pezzi6*DUE*VLOOKUP($B$46,tabMODELLI,COLprofiliLATdiserie,FALSE),pezzi6*DUE),"")</f>
        <v/>
      </c>
      <c r="EP57" s="238" t="str">
        <f>IF(modelloAUTO6=$B$46,VLOOKUP($B$46,tabMODELLI,COLcoeffALTguarnINFERIOREschiacciata,FALSE)+(VLOOKUP($B$46,tabMODELLI,COLcoefALTdogaREALEda200,FALSE)+(VLOOKUP($B$46,tabMODELLI,COLcoefALTdogaSORMONTATAda200,FALSE)*(CEILING(altezza6*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7" s="218"/>
      <c r="ER57" s="218"/>
      <c r="ES57" s="218"/>
      <c r="ET57" s="218"/>
      <c r="EU57" s="276" t="str">
        <f ca="1">IF(OR(modelloAUTO6=$B$46,modelloAUTO6=CLICK_RAPIDxPRIVATO),INDEX(INDIRECT("TABnCHIAVISTELLOvert"&amp;$B$46),rif_alt6,rif_larg6)*pezzi6,"")</f>
        <v/>
      </c>
      <c r="EV57" s="443" t="str">
        <f ca="1">IF(AND(nCatenacci6&lt;&gt;"",profORIZZ6&lt;&gt;""),spessoreCATENACCIOverticale60X65X300,"")</f>
        <v/>
      </c>
      <c r="EW57" s="208" t="str">
        <f ca="1">IF(modelloAUTO6=$B$46,INDEX(INDIRECT("TABnMANIGLIEsuperiori"&amp;$B$46),rif_alt6,rif_larg6),"")</f>
        <v/>
      </c>
      <c r="EX57" s="243" t="str">
        <f ca="1">IF(modelloAUTO6=$B$46,(larghezza6-CATENACCIOLOorizzontaleINGOMBROclick_rapid-DUE)/INDEX(INDIRECT("TABnMANIGLIEsuperiori"&amp;$B$46),rif_alt6,rif_larg6),"")</f>
        <v/>
      </c>
      <c r="EZ57" s="209" t="str">
        <f ca="1">IF(modelloAUTO6=$B$46,INDEX(INDIRECT("TABnMANIGLIEfrontali"&amp;$B$46),rif_alt6,rif_larg6),"")</f>
        <v/>
      </c>
      <c r="FA57"/>
      <c r="FB57"/>
      <c r="FC57"/>
      <c r="FD57"/>
      <c r="FE57"/>
      <c r="FF57"/>
      <c r="FG57"/>
      <c r="FH57"/>
      <c r="FI57"/>
      <c r="FJ57"/>
      <c r="FK57"/>
      <c r="FL57"/>
      <c r="FM57"/>
      <c r="FN57"/>
      <c r="FO57"/>
      <c r="FP57"/>
      <c r="FQ57"/>
      <c r="FR57"/>
      <c r="FS57"/>
      <c r="FT57" s="241" t="str">
        <f ca="1">IF(OR(nCatenacci6=0,nCatenacci6="",),"",(CJ57+QUATTRO-(IF(nCatenacci6="",ZERO,SESSANTA*(nCatenacci6/PZCLICK_RAPID6))))/((nCatenacci6/PZCLICK_RAPID6)+UNO))</f>
        <v/>
      </c>
      <c r="FZ57"/>
      <c r="GA57"/>
      <c r="GB57"/>
      <c r="GI57" s="168">
        <v>6</v>
      </c>
      <c r="GJ57" s="204" t="str">
        <f>IF(modelloAUTO6=$B$46,IF(profORIZZ6="","",pezzi6),"")</f>
        <v/>
      </c>
      <c r="GK57" s="205" t="str">
        <f>IF(modelloAUTO6=$B$46,IF(profORIZZ6="","",CODpiattoORIZZsugg6),"")</f>
        <v/>
      </c>
      <c r="HM57" s="206" t="str">
        <f>IF(modelloAUTO6=$B$46,IF(profORIZZ6="","",larghezza6*DIECI+IF(PROFoTUBsxRICH6="",ZERO,VLOOKUP(PROFoTUBsxRICH6,TABprofOtubLATERALI,COLlargPROFoTUBlat,FALSE))+IF(PROFoTUBdxRICH6="",ZERO,VLOOKUP(PROFoTUBdxRICH6,TABprofOtubLATERALI,COLlargPROFoTUBlat,FALSE))),"")</f>
        <v/>
      </c>
      <c r="HO57"/>
      <c r="HQ57"/>
      <c r="HR57"/>
      <c r="HS57"/>
      <c r="HT57"/>
      <c r="HW57"/>
      <c r="II57" s="168">
        <v>6</v>
      </c>
      <c r="IJ57" s="210" t="str">
        <f>IF(modelloAUTO6=$B$46,IF(fornPIANTcentr6="","",fornPIANTcentr6*pezzi6),"")</f>
        <v/>
      </c>
      <c r="IK57" s="210" t="str">
        <f>IF(modelloAUTO6=$B$46,IF(fornPIANTcentr6="","",CODpiantCENTRsugg6),"")</f>
        <v/>
      </c>
      <c r="IM57" s="210" t="str">
        <f>IF(modelloAUTO6=$B$46,IF(CODpiantCENTRsuggAPPOG6="","",CODpiantCENTRdiAPPOGGIOrich6),"")</f>
        <v/>
      </c>
      <c r="IN57" s="210" t="str">
        <f>IF(modelloAUTO6=$B$46,IF(CODpiantCENTRsuggAPPOG6="","",CODpiantCENTRsuggAPPOG6),"")</f>
        <v/>
      </c>
      <c r="JS57" s="168">
        <v>6</v>
      </c>
      <c r="JT57" s="259" t="e">
        <f>IF(CI95="","",Z58)</f>
        <v>#REF!</v>
      </c>
      <c r="JU57" s="236" t="e">
        <f t="shared" si="34"/>
        <v>#REF!</v>
      </c>
      <c r="JV57" s="236" t="e">
        <f t="shared" si="35"/>
        <v>#REF!</v>
      </c>
      <c r="JY57" s="230" t="str">
        <f>IF(modelloAUTO6=$B$46,larghezza6*DIECI+VLOOKUP($B$46,tabMODELLI,COLcoefAUMlargBUSTApvc,FALSE)+VLOOKUP($B$46,tabMODELLI,COLcoefAUMlargXprofILIlateraliBUSTApvc,FALSE)+IF(PROFoTUBsxRICH6="",ZERO,VLOOKUP(PROFoTUBsxRICH6,TABprofOtubLATERALI,COLlargPROFoTUBlatXimballaggio,FALSE)+profELETTRODOsaldaturaPVC)+IF(PROFoTUBdxRICH6="",ZERO,VLOOKUP(PROFoTUBdxRICH6,TABprofOtubLATERALI,COLlargPROFoTUBlatXimballaggio,FALSE)+profELETTRODOsaldaturaPVC),"")</f>
        <v/>
      </c>
      <c r="JZ57" s="230" t="str">
        <f>IF(modelloAUTO6=$B$46,altezza6*DIECI*DUE+VLOOKUP($B$46,tabMODELLI,COLcoefAUMaltBUSTApvc,FALSE),"")</f>
        <v/>
      </c>
      <c r="KA57" s="261"/>
      <c r="KB57" s="230" t="str">
        <f>IF(modelloAUTO6=$B$46,altezza6*DIECI+VLOOKUP($B$46,tabMODELLI,COLcoeffSALDATURAinALTbustaPVC,FALSE),"")</f>
        <v/>
      </c>
      <c r="KC57" s="230" t="str">
        <f>IF(modelloAUTO6=$B$46,VLOOKUP($B$46,tabMODELLI,COLcoeffSALDATURAinLARGperTASCAbustaPVC,FALSE),"")</f>
        <v/>
      </c>
      <c r="KD57" s="230" t="str">
        <f>IF(modelloAUTO6=$B$46,IF(PROFoTUBsxRICH6="","",VLOOKUP(PROFoTUBsxRICH6,TABprofOtubLATERALI,COLlargPROFoTUBlatXimballaggio,FALSE)),"")</f>
        <v/>
      </c>
      <c r="KE57" s="230" t="str">
        <f>IF(modelloAUTO6=$B$46,IF(PROFoTUBdxRICH6="","",VLOOKUP(PROFoTUBdxRICH6,TABprofOtubLATERALI,COLlargPROFoTUBlatXimballaggio,FALSE)),"")</f>
        <v/>
      </c>
      <c r="KG57" s="262" t="str">
        <f>IF(modelloAUTO6=$B$46,pezzi6*DUE,"")</f>
        <v/>
      </c>
      <c r="KH57" s="263" t="str">
        <f>IF(modelloAUTO6=$B$46,larghezza6+VLOOKUP($B$46,tabMODELLI,COLcoeffAUMoCALOinLARGpolistirolo,FALSE),"")</f>
        <v/>
      </c>
      <c r="KI57" s="263" t="str">
        <f>IF(modelloAUTO6=$B$46,altezza6+VLOOKUP($B$46,tabMODELLI,COLcoeffAUMoCALOinALTpolistirolo,FALSE),"")</f>
        <v/>
      </c>
      <c r="KK57" s="262" t="str">
        <f>IF(modelloAUTO6=$B$46,pezzi6*DUE,"")</f>
        <v/>
      </c>
      <c r="KL57" s="263" t="str">
        <f>IF(modelloAUTO6=$B$46,larghezza6+VLOOKUP($B$46,tabMODELLI,colCOEFFdellaLARGnelFIANCOpolistirolo,FALSE),"")</f>
        <v/>
      </c>
      <c r="KM57" s="263" t="str">
        <f>IF(modelloAUTO6=$B$46,VLOOKUP($B$46,tabMODELLI,COLdimstdSTRISCIAdelFIANCOxALT1polistirolo,FALSE),"")</f>
        <v/>
      </c>
      <c r="KO57" s="262" t="str">
        <f>IF(modelloAUTO6=$B$46,pezzi6*DUE,"")</f>
        <v/>
      </c>
      <c r="KP57" s="263" t="str">
        <f>IF(modelloAUTO6=$B$46,altezza6+VLOOKUP($B$46,tabMODELLI,colCOEFFdellaALTnelFIANCOpolistirolo,FALSE),"")</f>
        <v/>
      </c>
      <c r="KQ57" s="263" t="str">
        <f>IF(modelloAUTO6=$B$46,VLOOKUP($B$46,tabMODELLI,COLdimstdSTRISCIAdelFIANCOxALT1polistirolo,FALSE),"")</f>
        <v/>
      </c>
      <c r="KR57" s="150">
        <v>1</v>
      </c>
      <c r="KY57" s="168">
        <v>6</v>
      </c>
      <c r="KZ57" s="444" t="str">
        <f>IF(LA57="","",IF('[1]IMMISSIONE DATI'!AY57="",UNO,'[1]IMMISSIONE DATI'!AY57))</f>
        <v/>
      </c>
      <c r="LA57" s="234" t="str">
        <f>IF(modelloAUTO6="","",IF(modelloAUTO6=CLICK_RAPID,MINA(larghezza6,LargALT6)*DIECI,""))</f>
        <v/>
      </c>
      <c r="LB57" s="234" t="str">
        <f>IF(modelloAUTO6=CLICK_RAPID,altezza6*DIECI,"")</f>
        <v/>
      </c>
      <c r="LD57" s="445" t="str">
        <f>IF(modelloAUTO6=CLICK_RAPID,INDEX(tabPESOparatiaSENZAimballo,rif_alt6,rif_larg6)*pezzi6,"")</f>
        <v/>
      </c>
      <c r="LG57" s="446" t="str">
        <f t="shared" si="36"/>
        <v/>
      </c>
      <c r="LH57" s="447" t="str">
        <f t="shared" si="36"/>
        <v/>
      </c>
      <c r="LI57" s="447" t="str">
        <f t="shared" si="36"/>
        <v/>
      </c>
      <c r="LJ57" s="447" t="str">
        <f t="shared" si="36"/>
        <v/>
      </c>
      <c r="LL57" s="269"/>
      <c r="LM57" s="270" t="e">
        <f>#REF!</f>
        <v>#REF!</v>
      </c>
      <c r="LN57" s="270" t="e">
        <f>#REF!</f>
        <v>#REF!</v>
      </c>
      <c r="LO57" s="270"/>
      <c r="LP57" s="270" t="str">
        <f t="shared" si="33"/>
        <v/>
      </c>
      <c r="LQ57" s="270" t="e">
        <f>#REF!</f>
        <v>#REF!</v>
      </c>
      <c r="LR57" s="270" t="str">
        <f t="shared" si="37"/>
        <v/>
      </c>
      <c r="LS57" s="271"/>
    </row>
    <row r="58" spans="1:331" s="150" customFormat="1" ht="32">
      <c r="A58" s="168">
        <v>7</v>
      </c>
      <c r="B58" s="260" t="str">
        <f>IF(modelloAUTO7=$B$46,stanza7,"")</f>
        <v/>
      </c>
      <c r="C58" s="170" t="str">
        <f>IF(modelloAUTO7="","",modelloAUTO7)</f>
        <v/>
      </c>
      <c r="D58" s="171" t="str">
        <f>IF(pezzi7="","",pezzi7)</f>
        <v/>
      </c>
      <c r="E58" s="172" t="str">
        <f>IF(larghezza7="","",LARGortogonalitaADEGUATA7)</f>
        <v/>
      </c>
      <c r="F58" s="173" t="str">
        <f>IF(altezza7="","",altezza7)</f>
        <v/>
      </c>
      <c r="G58" s="173"/>
      <c r="H58" s="173"/>
      <c r="I58" s="176" t="str">
        <f>IF(modelloAUTO7="","",IF(vernBarriera7="","",vernBarriera7))</f>
        <v/>
      </c>
      <c r="J58" s="177" t="str">
        <f>IF(modelloAUTO7=$B$46,IF(PELLICOLA7="","",pezzi7),"")</f>
        <v/>
      </c>
      <c r="K58" s="437"/>
      <c r="M58" s="179" t="str">
        <f>IF(modelloAUTO7=$B$46,IF(PROFlatAUTO7="ESCLUSI","",IF(PROFlatRICH7="","STD",PROFlatRICH7)),"")</f>
        <v/>
      </c>
      <c r="N58" s="176" t="str">
        <f>IF(modelloAUTO7="","",IF(copertina7="","",TIPOcopertina7))</f>
        <v/>
      </c>
      <c r="O58" s="196" t="str">
        <f>IF(AND(modelloAUTO7=$B$46,PROFlatAUTO7&lt;&gt;"ESCLUSI"),IF(ALTprofLATrich7="","STD",ALTprofLATrich7),"")</f>
        <v/>
      </c>
      <c r="P58" s="176" t="str">
        <f>IF(modelloAUTO7="","",IF(vernPROFlatTEN7="","",vernPROFlatTEN7))</f>
        <v/>
      </c>
      <c r="R58" s="176" t="str">
        <f>IF(PROFoTUBsxRICH7="","",PROFoTUBsxRICH7)</f>
        <v/>
      </c>
      <c r="S58" s="182"/>
      <c r="T58" s="176" t="str">
        <f>IF(modelloAUTO7="","",IF(PROFoTUBdxRICH7="","",PROFoTUBdxRICH7))</f>
        <v/>
      </c>
      <c r="U58" s="182"/>
      <c r="V58" s="183" t="str">
        <f>IF(modelloAUTO7="","",IF(PROFoTUBsxRICH7="","",IF(ALTprofOtubRICHsx7="","SX: STD","SX: "&amp;ALTprofOtubRICHsx7&amp;" - "))&amp;IF(PROFoTUBdxRICH7="","",IF(ALTprofOtubRICHdx7="","  DX: STD","DX :"&amp;ALTprofOtubRICHdx7)))</f>
        <v/>
      </c>
      <c r="W58" s="184" t="str">
        <f>IF(modello7="","",IF(vernPROFoTUBlatSX7="","","SX: "&amp;vernPROFoTUBlatSX7&amp;" - ")&amp;IF(vernPROFoTUBlatDX7="",""," DX: "&amp;vernPROFoTUBlatDX7))</f>
        <v/>
      </c>
      <c r="Y58" s="185" t="str">
        <f>IF(modelloAUTO7="","",IF(OR(larghezza7="",profORIZZ7=""),"",CODpiattoORIZZsugg7))</f>
        <v/>
      </c>
      <c r="Z58" s="186" t="str">
        <f>IF(modelloAUTO7="","",IF(profORIZZ7="","",larghezza7+IF(PROFoTUBsxRICH7="",0,VLOOKUP(PROFoTUBsxRICH7,TABprofOtubLATERALI,COLlargPROFoTUBlat,FALSE))+IF(PROFoTUBdxRICH7="",0,VLOOKUP(PROFoTUBdxRICH7,TABprofOtubLATERALI,COLlargPROFoTUBlat,FALSE))))</f>
        <v/>
      </c>
      <c r="AB58" s="187" t="str">
        <f>IF(modelloAUTO7="","",IF(CODpiantCENTRsugg7="","","N° "&amp;fornPIANTcentr7&amp;"-"&amp;IF(CODpiantCENTRsugg7=0,"ERRORE",CODpiantCENTRsugg7)))</f>
        <v/>
      </c>
      <c r="AC58" s="187" t="str">
        <f>IF(modelloAUTO7="","",IF(CODpiantCENTRsuggAPPOG7="","","N° "&amp;CODpiantCENTRdiAPPOGGIOrich7&amp;"-"&amp;IF(CODpiantCENTRsuggAPPOG7=0,"ERRORE",CODpiantCENTRsuggAPPOG7)))</f>
        <v/>
      </c>
      <c r="AE58" s="188" t="str">
        <f>IF(modelloAUTO7="","",IF(note_cliente7="","",note_cliente7))</f>
        <v/>
      </c>
      <c r="AF58" s="189" t="str">
        <f>IF(PesoTEORICOparatia7="","",PesoTEORICOparatia7)</f>
        <v/>
      </c>
      <c r="AG58" s="190">
        <v>7</v>
      </c>
      <c r="AI58" s="191" t="str">
        <f>IF(modelloAUTO7=$B$46,pezzi7*UNO,"")</f>
        <v/>
      </c>
      <c r="AJ58" s="438" t="str">
        <f>IF(modelloAUTO7=$B$46,larghezza7,"")</f>
        <v/>
      </c>
      <c r="AK58" s="212" t="str">
        <f>IF(modelloAUTO7=$B$46,altezza7,"")</f>
        <v/>
      </c>
      <c r="AL58" s="173"/>
      <c r="AM58" s="173"/>
      <c r="AN58" s="194"/>
      <c r="AO58"/>
      <c r="AQ58" s="439" t="str">
        <f>IF(modelloAUTO7=$B$46,IF(PROFlatRICH7="",pezzi7*DUE*VLOOKUP($B$46,tabMODELLI,COLprofiliLATdiserie,FALSE),pezzi7*DUE),"")</f>
        <v/>
      </c>
      <c r="AR58" s="179" t="str">
        <f>IF(modelloAUTO7=$B$46,IF(AND(VLOOKUP($B$46,tabMODELLI,COLprofiliLATdiserie,FALSE)=ZERO,PROFlatRICH7=""),"",IF(PROFlatAUTO7&lt;&gt;VLOOKUP($B$46,tabMODELLI,COLcodPROFILIlat,FALSE),PROFlatAUTO7,"STD")),"")</f>
        <v/>
      </c>
      <c r="AS58" s="196" t="str">
        <f>IF(AND(modelloAUTO7=$B$46,PROFlatAUTO7&lt;&gt;"ESCLUSI"),IF(ALTprofLATrich7="","STD",ALTprofLATrich7),"")</f>
        <v/>
      </c>
      <c r="AU58" s="272" t="str">
        <f>IF(modelloAUTO7=$B$46,IF(TIPOcopertina7="","",TIPOcopertina7),"")</f>
        <v/>
      </c>
      <c r="AW58" s="201" t="str">
        <f>IF(AND(modelloAUTO7=$B$46,PROFlatAUTO7&lt;&gt;"ESCLUSI"),IF(vernPROFlatTEN7="","OX ARGENTO",vernPROFlatTEN7),"")</f>
        <v/>
      </c>
      <c r="AY58" s="191" t="str">
        <f>IF(modelloAUTO7=$B$46,pezzi7*DUE,"")</f>
        <v/>
      </c>
      <c r="AZ58" s="199" t="str">
        <f>IF(modelloAUTO7=$B$46,IF(PROFoTUBsxRICH7="","",PROFoTUBsxRICH7),"")</f>
        <v/>
      </c>
      <c r="BA58" s="200" t="str">
        <f>IF(AND(modelloAUTO7=$B$46,PROFoTUBsxRICH7&lt;&gt;""),IF(ALTprofOtubRICHsx7="","STD",ALTprofOtubRICHsx7),"")</f>
        <v/>
      </c>
      <c r="BC58" s="201" t="str">
        <f>IF(modelloAUTO7=$B$46,IF(PROFoTUBsxRICH7="","",IF(vernPROFoTUBlatSX7="","OX ARGENTO",vernPROFoTUBlatSX7)),"")</f>
        <v/>
      </c>
      <c r="BE58" s="202" t="str">
        <f>IF(modelloAUTO7=$B$46,IF(PROFoTUBdxRICH7="","",PROFoTUBdxRICH7),"")</f>
        <v/>
      </c>
      <c r="BF58" s="200" t="str">
        <f>IF(AND(modelloAUTO7=$B$46,PROFoTUBdxRICH7&lt;&gt;""),IF(ALTprofOtubRICHdx7="","STD",ALTprofOtubRICHdx7),"")</f>
        <v/>
      </c>
      <c r="BH58" s="203" t="str">
        <f>IF(modelloAUTO7=$B$46,IF(PROFoTUBdxRICH7="","",IF(vernPROFoTUBlatDX7="","OX ARGENTO",vernPROFoTUBlatDX7)),"")</f>
        <v/>
      </c>
      <c r="BJ58" s="204" t="str">
        <f>IF(modelloAUTO7=$B$46,IF(profORIZZ7="","",pezzi7),"")</f>
        <v/>
      </c>
      <c r="BK58" s="205" t="str">
        <f>IF(modelloAUTO7=$B$46,IF(profORIZZ7="","",CODpiattoORIZZsugg7),"")</f>
        <v/>
      </c>
      <c r="BL58" s="206" t="str">
        <f>IF(modelloAUTO7=$B$46,IF(profORIZZ7="","",larghezza7*DIECI+IF(PROFoTUBsxRICH7="",ZERO,VLOOKUP(PROFoTUBsxRICH7,TABprofOtubLATERALI,COLlargPROFoTUBlat,FALSE))+IF(PROFoTUBdxRICH7="",ZERO,VLOOKUP(PROFoTUBdxRICH7,TABprofOtubLATERALI,COLlargPROFoTUBlat,FALSE))),"")</f>
        <v/>
      </c>
      <c r="BN58" s="207" t="str">
        <f ca="1">IF(modelloAUTO7=$B$46,INDEX(INDIRECT("TABnCHIAVISTELLOvert"&amp;$B$46),rif_alt7,rif_larg7)*pezzi7,"")</f>
        <v/>
      </c>
      <c r="BO58"/>
      <c r="BQ58" s="208" t="str">
        <f ca="1">IF(modelloAUTO7=$B$46,INDEX(INDIRECT("TABnMANIGLIEsuperiori"&amp;$B$46),rif_alt7,rif_larg7)+INDEX(INDIRECT("TABnMANIGLIEfrontali"&amp;$B$46),rif_alt7,rif_larg7),"")</f>
        <v/>
      </c>
      <c r="BR58" s="191" t="str">
        <f>IF(modelloAUTO7=$B$46,pezzi7*DUE,"")</f>
        <v/>
      </c>
      <c r="BS58" s="209" t="str">
        <f>IF(modelloAUTO7=$B$46,BQ58*DUE,"")</f>
        <v/>
      </c>
      <c r="BT58" s="209" t="str">
        <f>IF(modelloAUTO7=$B$46,BR58*TRE,"")</f>
        <v/>
      </c>
      <c r="BU58" s="441"/>
      <c r="BV58" s="441"/>
      <c r="BW58" s="441"/>
      <c r="BX58" s="441"/>
      <c r="BY58" s="441"/>
      <c r="CA58" s="210" t="str">
        <f>IF(modelloAUTO7=$B$46,IF(fornPIANTcentr7="","",fornPIANTcentr7*pezzi7),"")</f>
        <v/>
      </c>
      <c r="CB58" s="210" t="str">
        <f>IF(modelloAUTO7=$B$46,IF(fornPIANTcentr7="","",CODpiantCENTRsugg7),"")</f>
        <v/>
      </c>
      <c r="CD58" s="210" t="str">
        <f>IF(modelloAUTO7=$B$46,IF(CODpiantCENTRsuggAPPOG7="","",CODpiantCENTRdiAPPOGGIOrich7),"")</f>
        <v/>
      </c>
      <c r="CE58" s="210" t="str">
        <f>IF(modelloAUTO7=$B$46,IF(CODpiantCENTRsuggAPPOG7="","",CODpiantCENTRsuggAPPOG7),"")</f>
        <v/>
      </c>
      <c r="CG58" s="273">
        <v>7</v>
      </c>
      <c r="CI58" s="211" t="str">
        <f>IF(modelloAUTO7=$B$46,altezza7*DIECI/CEILING(VLOOKUP($B$46,tabMODELLI,COLcoefALTdogaSORMONTATAda200,FALSE),UNO)*pezzi7,"")</f>
        <v/>
      </c>
      <c r="CJ58" s="212" t="str">
        <f>IF(modelloAUTO7=$B$46,larghezza7*DIECI-VLOOKUP($B$46,tabMODELLI,COLcoeffTAGLIOdogaOPPURElastraINlarg,FALSE)-VLOOKUP(PROFlatAUTO7,TABprofLATten,COLcoeffCALOdoga,FALSE),"")</f>
        <v/>
      </c>
      <c r="CK58"/>
      <c r="CL58" s="203" t="str">
        <f>IF(modelloAUTO7=$B$46,IF(vernBarriera7="","STD",vernBarriera7),"")</f>
        <v/>
      </c>
      <c r="CM58" s="173"/>
      <c r="CN58" s="173"/>
      <c r="CO58"/>
      <c r="CP58"/>
      <c r="CQ58" s="216" t="str">
        <f>IF(modelloAUTO7=$B$46,pezzi7*DUE,"")</f>
        <v/>
      </c>
      <c r="CR58" s="212" t="str">
        <f>IF(modelloAUTO7=$B$46,altezza7*DIECI+VLOOKUP($B$46,tabMODELLI,COLcoeffTAGLIOPROFILIlateraliEverticaliAttaccatiALLAbarriera,FALSE),"")</f>
        <v/>
      </c>
      <c r="CS58"/>
      <c r="CT58" s="281"/>
      <c r="CU58" s="281"/>
      <c r="CV58"/>
      <c r="CW58" s="281"/>
      <c r="CX58" s="281"/>
      <c r="CY58" s="281"/>
      <c r="CZ58" s="281"/>
      <c r="DA58" s="281"/>
      <c r="DB58" s="281"/>
      <c r="DC58" s="281"/>
      <c r="DD58" s="281"/>
      <c r="DE58" s="281"/>
      <c r="DF58" s="281"/>
      <c r="DG58" s="281"/>
      <c r="DH58" s="281"/>
      <c r="DI58" s="281"/>
      <c r="DJ58" s="281"/>
      <c r="DK58"/>
      <c r="DL58"/>
      <c r="DM58" s="281"/>
      <c r="DN58" s="281"/>
      <c r="DO58" s="281"/>
      <c r="DP58" s="281"/>
      <c r="DQ58" s="281"/>
      <c r="DR58" s="281"/>
      <c r="DS58" s="281"/>
      <c r="DT58" s="281"/>
      <c r="DU58" s="281"/>
      <c r="DV58" s="281"/>
      <c r="DW58" s="281"/>
      <c r="DX58" s="281"/>
      <c r="DY58" s="281"/>
      <c r="DZ58" s="281"/>
      <c r="EA58" s="281"/>
      <c r="EB58" s="281"/>
      <c r="EC58" s="281"/>
      <c r="ED58" s="281"/>
      <c r="EE58" s="281"/>
      <c r="EF58" s="281"/>
      <c r="EG58" s="281"/>
      <c r="EH58" s="281"/>
      <c r="EI58" s="281"/>
      <c r="EJ58" s="281"/>
      <c r="EK58" s="281"/>
      <c r="EL58" s="281"/>
      <c r="EM58" s="218"/>
      <c r="EN58" s="179" t="str">
        <f>IF(modelloAUTO7=$B$46,IF(PROFlatRICH7="","STD",PROFlatRICH7),"")</f>
        <v/>
      </c>
      <c r="EO58" s="191" t="str">
        <f>IF(modelloAUTO7=$B$46,IF(PROFlatRICH7="",pezzi7*DUE*VLOOKUP($B$46,tabMODELLI,COLprofiliLATdiserie,FALSE),pezzi7*DUE),"")</f>
        <v/>
      </c>
      <c r="EP58" s="238" t="str">
        <f>IF(modelloAUTO7=$B$46,VLOOKUP($B$46,tabMODELLI,COLcoeffALTguarnINFERIOREschiacciata,FALSE)+(VLOOKUP($B$46,tabMODELLI,COLcoefALTdogaREALEda200,FALSE)+(VLOOKUP($B$46,tabMODELLI,COLcoefALTdogaSORMONTATAda200,FALSE)*(CEILING(altezza7*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8" s="218"/>
      <c r="ER58" s="218"/>
      <c r="ES58" s="218"/>
      <c r="ET58" s="218"/>
      <c r="EU58" s="276" t="str">
        <f ca="1">IF(OR(modelloAUTO7=$B$46,modelloAUTO7=CLICK_RAPIDxPRIVATO),INDEX(INDIRECT("TABnCHIAVISTELLOvert"&amp;$B$46),rif_alt7,rif_larg7)*pezzi7,"")</f>
        <v/>
      </c>
      <c r="EV58" s="443" t="str">
        <f ca="1">IF(AND(nCatenacci7&lt;&gt;"",profORIZZ7&lt;&gt;""),spessoreCATENACCIOverticale60X75X300,"")</f>
        <v/>
      </c>
      <c r="EW58" s="208" t="str">
        <f ca="1">IF(modelloAUTO7=$B$46,INDEX(INDIRECT("TABnMANIGLIEsuperiori"&amp;$B$46),rif_alt7,rif_larg7),"")</f>
        <v/>
      </c>
      <c r="EX58" s="243" t="str">
        <f ca="1">IF(modelloAUTO7=$B$46,(larghezza7-CATENACCIOLOorizzontaleINGOMBROclick_rapid-DUE)/INDEX(INDIRECT("TABnMANIGLIEsuperiori"&amp;$B$46),rif_alt7,rif_larg7),"")</f>
        <v/>
      </c>
      <c r="EZ58" s="209" t="str">
        <f ca="1">IF(modelloAUTO7=$B$46,INDEX(INDIRECT("TABnMANIGLIEfrontali"&amp;$B$46),rif_alt7,rif_larg7),"")</f>
        <v/>
      </c>
      <c r="FA58"/>
      <c r="FB58"/>
      <c r="FC58"/>
      <c r="FD58"/>
      <c r="FE58"/>
      <c r="FF58"/>
      <c r="FG58"/>
      <c r="FH58"/>
      <c r="FI58"/>
      <c r="FJ58"/>
      <c r="FK58"/>
      <c r="FL58"/>
      <c r="FM58"/>
      <c r="FN58"/>
      <c r="FO58"/>
      <c r="FP58"/>
      <c r="FQ58"/>
      <c r="FR58"/>
      <c r="FS58"/>
      <c r="FT58" s="241" t="str">
        <f ca="1">IF(OR(nCatenacci7=0,nCatenacci7="",),"",(CJ58+QUATTRO-(IF(nCatenacci7="",ZERO,SESSANTA*(nCatenacci7/PZCLICK_RAPID7))))/((nCatenacci7/PZCLICK_RAPID7)+UNO))</f>
        <v/>
      </c>
      <c r="FZ58"/>
      <c r="GA58"/>
      <c r="GB58"/>
      <c r="GI58" s="168">
        <v>7</v>
      </c>
      <c r="GJ58" s="204" t="str">
        <f>IF(modelloAUTO7=$B$46,IF(profORIZZ7="","",pezzi7),"")</f>
        <v/>
      </c>
      <c r="GK58" s="205" t="str">
        <f>IF(modelloAUTO7=$B$46,IF(profORIZZ7="","",CODpiattoORIZZsugg7),"")</f>
        <v/>
      </c>
      <c r="HM58" s="206" t="str">
        <f>IF(modelloAUTO7=$B$46,IF(profORIZZ7="","",larghezza7*DIECI+IF(PROFoTUBsxRICH7="",ZERO,VLOOKUP(PROFoTUBsxRICH7,TABprofOtubLATERALI,COLlargPROFoTUBlat,FALSE))+IF(PROFoTUBdxRICH7="",ZERO,VLOOKUP(PROFoTUBdxRICH7,TABprofOtubLATERALI,COLlargPROFoTUBlat,FALSE))),"")</f>
        <v/>
      </c>
      <c r="HO58"/>
      <c r="HQ58"/>
      <c r="HR58"/>
      <c r="HS58"/>
      <c r="HT58"/>
      <c r="HW58"/>
      <c r="II58" s="168">
        <v>7</v>
      </c>
      <c r="IJ58" s="210" t="str">
        <f>IF(modelloAUTO7=$B$46,IF(fornPIANTcentr7="","",fornPIANTcentr7*pezzi7),"")</f>
        <v/>
      </c>
      <c r="IK58" s="210" t="str">
        <f>IF(modelloAUTO7=$B$46,IF(fornPIANTcentr7="","",CODpiantCENTRsugg7),"")</f>
        <v/>
      </c>
      <c r="IM58" s="210" t="str">
        <f>IF(modelloAUTO7=$B$46,IF(CODpiantCENTRsuggAPPOG7="","",CODpiantCENTRdiAPPOGGIOrich7),"")</f>
        <v/>
      </c>
      <c r="IN58" s="210" t="str">
        <f>IF(modelloAUTO7=$B$46,IF(CODpiantCENTRsuggAPPOG7="","",CODpiantCENTRsuggAPPOG7),"")</f>
        <v/>
      </c>
      <c r="JS58" s="168">
        <v>7</v>
      </c>
      <c r="JT58" s="259" t="e">
        <f>IF(CI96="","",#REF!)</f>
        <v>#REF!</v>
      </c>
      <c r="JU58" s="236" t="e">
        <f>IF(CI96="","",#REF!-9)</f>
        <v>#REF!</v>
      </c>
      <c r="JV58" s="236" t="e">
        <f>IF(CI96="","",#REF!+16)</f>
        <v>#REF!</v>
      </c>
      <c r="JY58" s="230" t="str">
        <f>IF(modelloAUTO7=$B$46,larghezza7*DIECI+VLOOKUP($B$46,tabMODELLI,COLcoefAUMlargBUSTApvc,FALSE)+VLOOKUP($B$46,tabMODELLI,COLcoefAUMlargXprofILIlateraliBUSTApvc,FALSE)+IF(PROFoTUBsxRICH7="",ZERO,VLOOKUP(PROFoTUBsxRICH7,TABprofOtubLATERALI,COLlargPROFoTUBlatXimballaggio,FALSE)+profELETTRODOsaldaturaPVC)+IF(PROFoTUBdxRICH7="",ZERO,VLOOKUP(PROFoTUBdxRICH7,TABprofOtubLATERALI,COLlargPROFoTUBlatXimballaggio,FALSE)+profELETTRODOsaldaturaPVC),"")</f>
        <v/>
      </c>
      <c r="JZ58" s="230" t="str">
        <f>IF(modelloAUTO7=$B$46,altezza7*DIECI*DUE+VLOOKUP($B$46,tabMODELLI,COLcoefAUMaltBUSTApvc,FALSE),"")</f>
        <v/>
      </c>
      <c r="KA58" s="261"/>
      <c r="KB58" s="230" t="str">
        <f>IF(modelloAUTO7=$B$46,altezza7*DIECI+VLOOKUP($B$46,tabMODELLI,COLcoeffSALDATURAinALTbustaPVC,FALSE),"")</f>
        <v/>
      </c>
      <c r="KC58" s="230" t="str">
        <f>IF(modelloAUTO7=$B$46,VLOOKUP($B$46,tabMODELLI,COLcoeffSALDATURAinLARGperTASCAbustaPVC,FALSE),"")</f>
        <v/>
      </c>
      <c r="KD58" s="230" t="str">
        <f>IF(modelloAUTO7=$B$46,IF(PROFoTUBsxRICH7="","",VLOOKUP(PROFoTUBsxRICH7,TABprofOtubLATERALI,COLlargPROFoTUBlatXimballaggio,FALSE)),"")</f>
        <v/>
      </c>
      <c r="KE58" s="230" t="str">
        <f>IF(modelloAUTO7=$B$46,IF(PROFoTUBdxRICH7="","",VLOOKUP(PROFoTUBdxRICH7,TABprofOtubLATERALI,COLlargPROFoTUBlatXimballaggio,FALSE)),"")</f>
        <v/>
      </c>
      <c r="KG58" s="262" t="str">
        <f>IF(modelloAUTO7=$B$46,pezzi7*DUE,"")</f>
        <v/>
      </c>
      <c r="KH58" s="263" t="str">
        <f>IF(modelloAUTO7=$B$46,larghezza7+VLOOKUP($B$46,tabMODELLI,COLcoeffAUMoCALOinLARGpolistirolo,FALSE),"")</f>
        <v/>
      </c>
      <c r="KI58" s="263" t="str">
        <f>IF(modelloAUTO7=$B$46,altezza7+VLOOKUP($B$46,tabMODELLI,COLcoeffAUMoCALOinALTpolistirolo,FALSE),"")</f>
        <v/>
      </c>
      <c r="KK58" s="262" t="str">
        <f>IF(modelloAUTO7=$B$46,pezzi7*DUE,"")</f>
        <v/>
      </c>
      <c r="KL58" s="263" t="str">
        <f>IF(modelloAUTO7=$B$46,larghezza7+VLOOKUP($B$46,tabMODELLI,colCOEFFdellaLARGnelFIANCOpolistirolo,FALSE),"")</f>
        <v/>
      </c>
      <c r="KM58" s="263" t="str">
        <f>IF(modelloAUTO7=$B$46,VLOOKUP($B$46,tabMODELLI,COLdimstdSTRISCIAdelFIANCOxALT1polistirolo,FALSE),"")</f>
        <v/>
      </c>
      <c r="KO58" s="262" t="str">
        <f>IF(modelloAUTO7=$B$46,pezzi7*DUE,"")</f>
        <v/>
      </c>
      <c r="KP58" s="263" t="str">
        <f>IF(modelloAUTO7=$B$46,altezza7+VLOOKUP($B$46,tabMODELLI,colCOEFFdellaALTnelFIANCOpolistirolo,FALSE),"")</f>
        <v/>
      </c>
      <c r="KQ58" s="263" t="str">
        <f>IF(modelloAUTO7=$B$46,VLOOKUP($B$46,tabMODELLI,COLdimstdSTRISCIAdelFIANCOxALT1polistirolo,FALSE),"")</f>
        <v/>
      </c>
      <c r="KR58" s="150">
        <v>1</v>
      </c>
      <c r="KY58" s="168">
        <v>7</v>
      </c>
      <c r="KZ58" s="444" t="str">
        <f>IF(LA58="","",IF('[1]IMMISSIONE DATI'!AS58="",UNO,'[1]IMMISSIONE DATI'!AS58))</f>
        <v/>
      </c>
      <c r="LA58" s="234" t="str">
        <f>IF(modelloAUTO7="","",IF(modelloAUTO7=CLICK_RAPID,MINA(larghezza7,LargALT7)*DIECI,""))</f>
        <v/>
      </c>
      <c r="LB58" s="234" t="str">
        <f t="shared" ref="LB58:LB67" si="38">IF(modelloAUTO7=CLICK_RAPID,altezza7*DIECI,"")</f>
        <v/>
      </c>
      <c r="LD58" s="445" t="str">
        <f>IF(modelloAUTO7=CLICK_RAPID,INDEX(tabPESOparatiaSENZAimballo,rif_alt7,rif_larg7)*pezzi7,"")</f>
        <v/>
      </c>
      <c r="LG58" s="446" t="e">
        <f>#REF!</f>
        <v>#REF!</v>
      </c>
      <c r="LH58" s="447" t="e">
        <f>#REF!</f>
        <v>#REF!</v>
      </c>
      <c r="LI58" s="447" t="e">
        <f>#REF!</f>
        <v>#REF!</v>
      </c>
      <c r="LJ58" s="447" t="e">
        <f>#REF!</f>
        <v>#REF!</v>
      </c>
      <c r="LL58" s="269"/>
      <c r="LM58" s="270" t="e">
        <f>#REF!</f>
        <v>#REF!</v>
      </c>
      <c r="LN58" s="270" t="e">
        <f>#REF!</f>
        <v>#REF!</v>
      </c>
      <c r="LO58" s="270"/>
      <c r="LP58" s="270" t="str">
        <f t="shared" si="33"/>
        <v/>
      </c>
      <c r="LQ58" s="270" t="e">
        <f>#REF!</f>
        <v>#REF!</v>
      </c>
      <c r="LR58" s="270" t="str">
        <f t="shared" si="37"/>
        <v/>
      </c>
      <c r="LS58" s="271"/>
    </row>
    <row r="59" spans="1:331" s="150" customFormat="1" ht="32">
      <c r="A59" s="168">
        <v>8</v>
      </c>
      <c r="B59" s="260" t="str">
        <f>IF(modelloAUTO8=$B$46,stanza8,"")</f>
        <v/>
      </c>
      <c r="C59" s="170" t="str">
        <f>IF(modelloAUTO8="","",modelloAUTO8)</f>
        <v/>
      </c>
      <c r="D59" s="171" t="str">
        <f>IF(pezzi8="","",pezzi8)</f>
        <v/>
      </c>
      <c r="E59" s="172" t="str">
        <f>IF(larghezza8="","",LARGortogonalitaADEGUATA8)</f>
        <v/>
      </c>
      <c r="F59" s="173" t="str">
        <f>IF(altezza8="","",altezza8)</f>
        <v/>
      </c>
      <c r="G59" s="173"/>
      <c r="H59" s="173"/>
      <c r="I59" s="176" t="str">
        <f>IF(modelloAUTO8="","",IF(vernBarriera8="","",vernBarriera8))</f>
        <v/>
      </c>
      <c r="J59" s="177" t="str">
        <f>IF(modelloAUTO8=$B$46,IF(PELLICOLA8="","",pezzi8),"")</f>
        <v/>
      </c>
      <c r="K59" s="437"/>
      <c r="M59" s="179" t="str">
        <f>IF(modelloAUTO8=$B$46,IF(PROFlatAUTO8="ESCLUSI","",IF(PROFlatRICH8="","STD",PROFlatRICH8)),"")</f>
        <v/>
      </c>
      <c r="N59" s="176" t="str">
        <f>IF(modelloAUTO8="","",IF(copertina8="","",TIPOcopertina8))</f>
        <v/>
      </c>
      <c r="O59" s="196" t="str">
        <f>IF(AND(modelloAUTO8=$B$46,PROFlatAUTO8&lt;&gt;"ESCLUSI"),IF(ALTprofLATrich8="","STD",ALTprofLATrich8),"")</f>
        <v/>
      </c>
      <c r="P59" s="176" t="str">
        <f>IF(modelloAUTO8="","",IF(vernPROFlatTEN8="","",vernPROFlatTEN8))</f>
        <v/>
      </c>
      <c r="R59" s="176" t="str">
        <f>IF(PROFoTUBsxRICH8="","",PROFoTUBsxRICH8)</f>
        <v/>
      </c>
      <c r="S59" s="182"/>
      <c r="T59" s="176" t="str">
        <f>IF(modelloAUTO8="","",IF(PROFoTUBdxRICH8="","",PROFoTUBdxRICH8))</f>
        <v/>
      </c>
      <c r="U59" s="182"/>
      <c r="V59" s="183" t="str">
        <f>IF(modelloAUTO8="","",IF(PROFoTUBsxRICH8="","",IF(ALTprofOtubRICHsx8="","SX: STD","SX: "&amp;ALTprofOtubRICHsx8&amp;" - "))&amp;IF(PROFoTUBdxRICH8="","",IF(ALTprofOtubRICHdx8="","  DX: STD","DX :"&amp;ALTprofOtubRICHdx8)))</f>
        <v/>
      </c>
      <c r="W59" s="184" t="str">
        <f>IF(modello8="","",IF(vernPROFoTUBlatSX8="","","SX: "&amp;vernPROFoTUBlatSX8&amp;" - ")&amp;IF(vernPROFoTUBlatDX8="",""," DX: "&amp;vernPROFoTUBlatDX8))</f>
        <v/>
      </c>
      <c r="Y59" s="185" t="str">
        <f>IF(modelloAUTO8="","",IF(OR(larghezza8="",profORIZZ8=""),"",CODpiattoORIZZsugg8))</f>
        <v/>
      </c>
      <c r="Z59" s="186" t="str">
        <f>IF(modelloAUTO8="","",IF(profORIZZ8="","",larghezza8+IF(PROFoTUBsxRICH8="",0,VLOOKUP(PROFoTUBsxRICH8,TABprofOtubLATERALI,COLlargPROFoTUBlat,FALSE))+IF(PROFoTUBdxRICH8="",0,VLOOKUP(PROFoTUBdxRICH8,TABprofOtubLATERALI,COLlargPROFoTUBlat,FALSE))))</f>
        <v/>
      </c>
      <c r="AB59" s="187" t="str">
        <f>IF(modelloAUTO8="","",IF(CODpiantCENTRsugg8="","","N° "&amp;fornPIANTcentr8&amp;"-"&amp;IF(CODpiantCENTRsugg8=0,"ERRORE",CODpiantCENTRsugg8)))</f>
        <v/>
      </c>
      <c r="AC59" s="187" t="str">
        <f>IF(modelloAUTO8="","",IF(CODpiantCENTRsuggAPPOG8="","","N° "&amp;CODpiantCENTRdiAPPOGGIOrich8&amp;"-"&amp;IF(CODpiantCENTRsuggAPPOG8=0,"ERRORE",CODpiantCENTRsuggAPPOG8)))</f>
        <v/>
      </c>
      <c r="AE59" s="188" t="str">
        <f>IF(modelloAUTO8="","",IF(note_cliente8="","",note_cliente8))</f>
        <v/>
      </c>
      <c r="AF59" s="189" t="str">
        <f>IF(PesoTEORICOparatia8="","",PesoTEORICOparatia8)</f>
        <v/>
      </c>
      <c r="AG59" s="190">
        <v>8</v>
      </c>
      <c r="AI59" s="191" t="str">
        <f>IF(modelloAUTO8=$B$46,pezzi8*UNO,"")</f>
        <v/>
      </c>
      <c r="AJ59" s="438" t="str">
        <f>IF(modelloAUTO8=$B$46,larghezza8,"")</f>
        <v/>
      </c>
      <c r="AK59" s="212" t="str">
        <f>IF(modelloAUTO8=$B$46,altezza8,"")</f>
        <v/>
      </c>
      <c r="AL59" s="173"/>
      <c r="AM59" s="173"/>
      <c r="AN59" s="194"/>
      <c r="AO59"/>
      <c r="AQ59" s="439" t="str">
        <f>IF(modelloAUTO8=$B$46,IF(PROFlatRICH8="",pezzi8*DUE*VLOOKUP($B$46,tabMODELLI,COLprofiliLATdiserie,FALSE),pezzi8*DUE),"")</f>
        <v/>
      </c>
      <c r="AR59" s="179" t="str">
        <f>IF(modelloAUTO8=$B$46,IF(AND(VLOOKUP($B$46,tabMODELLI,COLprofiliLATdiserie,FALSE)=ZERO,PROFlatRICH8=""),"",IF(PROFlatAUTO8&lt;&gt;VLOOKUP($B$46,tabMODELLI,COLcodPROFILIlat,FALSE),PROFlatAUTO8,"STD")),"")</f>
        <v/>
      </c>
      <c r="AS59" s="196" t="str">
        <f>IF(AND(modelloAUTO8=$B$46,PROFlatAUTO8&lt;&gt;"ESCLUSI"),IF(ALTprofLATrich8="","STD",ALTprofLATrich8),"")</f>
        <v/>
      </c>
      <c r="AU59" s="272" t="str">
        <f>IF(modelloAUTO8=$B$46,IF(TIPOcopertina8="","",TIPOcopertina8),"")</f>
        <v/>
      </c>
      <c r="AW59" s="201" t="str">
        <f>IF(AND(modelloAUTO8=$B$46,PROFlatAUTO8&lt;&gt;"ESCLUSI"),IF(vernPROFlatTEN8="","OX ARGENTO",vernPROFlatTEN8),"")</f>
        <v/>
      </c>
      <c r="AY59" s="191" t="str">
        <f>IF(modelloAUTO8=$B$46,pezzi8*DUE,"")</f>
        <v/>
      </c>
      <c r="AZ59" s="199" t="str">
        <f>IF(modelloAUTO8=$B$46,IF(PROFoTUBsxRICH8="","",PROFoTUBsxRICH8),"")</f>
        <v/>
      </c>
      <c r="BA59" s="200" t="str">
        <f>IF(AND(modelloAUTO8=$B$46,PROFoTUBsxRICH8&lt;&gt;""),IF(ALTprofOtubRICHsx8="","STD",ALTprofOtubRICHsx8),"")</f>
        <v/>
      </c>
      <c r="BC59" s="201" t="str">
        <f>IF(modelloAUTO8=$B$46,IF(PROFoTUBsxRICH8="","",IF(vernPROFoTUBlatSX8="","OX ARGENTO",vernPROFoTUBlatSX8)),"")</f>
        <v/>
      </c>
      <c r="BE59" s="202" t="str">
        <f>IF(modelloAUTO8=$B$46,IF(PROFoTUBdxRICH8="","",PROFoTUBdxRICH8),"")</f>
        <v/>
      </c>
      <c r="BF59" s="200" t="str">
        <f>IF(AND(modelloAUTO8=$B$46,PROFoTUBdxRICH8&lt;&gt;""),IF(ALTprofOtubRICHdx8="","STD",ALTprofOtubRICHdx8),"")</f>
        <v/>
      </c>
      <c r="BH59" s="203" t="str">
        <f>IF(modelloAUTO8=$B$46,IF(PROFoTUBdxRICH8="","",IF(vernPROFoTUBlatDX8="","OX ARGENTO",vernPROFoTUBlatDX8)),"")</f>
        <v/>
      </c>
      <c r="BJ59" s="204" t="str">
        <f>IF(modelloAUTO8=$B$46,IF(profORIZZ8="","",pezzi8),"")</f>
        <v/>
      </c>
      <c r="BK59" s="205" t="str">
        <f>IF(modelloAUTO8=$B$46,IF(profORIZZ8="","",CODpiattoORIZZsugg8),"")</f>
        <v/>
      </c>
      <c r="BL59" s="206" t="str">
        <f>IF(modelloAUTO8=$B$46,IF(profORIZZ8="","",larghezza8*DIECI+IF(PROFoTUBsxRICH8="",ZERO,VLOOKUP(PROFoTUBsxRICH8,TABprofOtubLATERALI,COLlargPROFoTUBlat,FALSE))+IF(PROFoTUBdxRICH8="",ZERO,VLOOKUP(PROFoTUBdxRICH8,TABprofOtubLATERALI,COLlargPROFoTUBlat,FALSE))),"")</f>
        <v/>
      </c>
      <c r="BN59" s="207" t="str">
        <f ca="1">IF(modelloAUTO8=$B$46,INDEX(INDIRECT("TABnCHIAVISTELLOvert"&amp;$B$46),rif_alt8,rif_larg8)*pezzi8,"")</f>
        <v/>
      </c>
      <c r="BO59"/>
      <c r="BQ59" s="208" t="str">
        <f ca="1">IF(modelloAUTO8=$B$46,INDEX(INDIRECT("TABnMANIGLIEsuperiori"&amp;$B$46),rif_alt8,rif_larg8)+INDEX(INDIRECT("TABnMANIGLIEfrontali"&amp;$B$46),rif_alt8,rif_larg8),"")</f>
        <v/>
      </c>
      <c r="BR59" s="191" t="str">
        <f>IF(modelloAUTO8=$B$46,pezzi8*DUE,"")</f>
        <v/>
      </c>
      <c r="BS59" s="209" t="str">
        <f>IF(modelloAUTO8=$B$46,BQ59*DUE,"")</f>
        <v/>
      </c>
      <c r="BT59" s="209" t="str">
        <f>IF(modelloAUTO8=$B$46,BR59*TRE,"")</f>
        <v/>
      </c>
      <c r="BU59" s="441"/>
      <c r="BV59" s="441"/>
      <c r="BW59" s="441"/>
      <c r="BX59" s="441"/>
      <c r="BY59" s="441"/>
      <c r="CA59" s="210" t="str">
        <f>IF(modelloAUTO8=$B$46,IF(fornPIANTcentr8="","",fornPIANTcentr8*pezzi8),"")</f>
        <v/>
      </c>
      <c r="CB59" s="210" t="str">
        <f>IF(modelloAUTO8=$B$46,IF(fornPIANTcentr8="","",CODpiantCENTRsugg8),"")</f>
        <v/>
      </c>
      <c r="CD59" s="210" t="str">
        <f>IF(modelloAUTO8=$B$46,IF(CODpiantCENTRsuggAPPOG8="","",CODpiantCENTRdiAPPOGGIOrich8),"")</f>
        <v/>
      </c>
      <c r="CE59" s="210" t="str">
        <f>IF(modelloAUTO8=$B$46,IF(CODpiantCENTRsuggAPPOG8="","",CODpiantCENTRsuggAPPOG8),"")</f>
        <v/>
      </c>
      <c r="CG59" s="273">
        <v>8</v>
      </c>
      <c r="CI59" s="211" t="str">
        <f>IF(modelloAUTO8=$B$46,altezza8*DIECI/CEILING(VLOOKUP($B$46,tabMODELLI,COLcoefALTdogaSORMONTATAda200,FALSE),UNO)*pezzi8,"")</f>
        <v/>
      </c>
      <c r="CJ59" s="212" t="str">
        <f>IF(modelloAUTO8=$B$46,larghezza8*DIECI-VLOOKUP($B$46,tabMODELLI,COLcoeffTAGLIOdogaOPPURElastraINlarg,FALSE)-VLOOKUP(PROFlatAUTO8,TABprofLATten,COLcoeffCALOdoga,FALSE),"")</f>
        <v/>
      </c>
      <c r="CK59"/>
      <c r="CL59" s="203" t="str">
        <f>IF(modelloAUTO8=$B$46,IF(vernBarriera8="","STD",vernBarriera8),"")</f>
        <v/>
      </c>
      <c r="CM59" s="173"/>
      <c r="CN59" s="173"/>
      <c r="CO59"/>
      <c r="CP59"/>
      <c r="CQ59" s="216" t="str">
        <f>IF(modelloAUTO8=$B$46,pezzi8*DUE,"")</f>
        <v/>
      </c>
      <c r="CR59" s="212" t="str">
        <f>IF(modelloAUTO8=$B$46,altezza8*DIECI+VLOOKUP($B$46,tabMODELLI,COLcoeffTAGLIOPROFILIlateraliEverticaliAttaccatiALLAbarriera,FALSE),"")</f>
        <v/>
      </c>
      <c r="CS59"/>
      <c r="CT59" s="281"/>
      <c r="CU59" s="281"/>
      <c r="CV59"/>
      <c r="CW59" s="281"/>
      <c r="CX59" s="281"/>
      <c r="CY59" s="281"/>
      <c r="CZ59" s="281"/>
      <c r="DA59" s="281"/>
      <c r="DB59" s="281"/>
      <c r="DC59" s="281"/>
      <c r="DD59" s="281"/>
      <c r="DE59" s="281"/>
      <c r="DF59" s="281"/>
      <c r="DG59" s="281"/>
      <c r="DH59" s="281"/>
      <c r="DI59" s="281"/>
      <c r="DJ59" s="281"/>
      <c r="DK59"/>
      <c r="DL59"/>
      <c r="DM59" s="281"/>
      <c r="DN59" s="281"/>
      <c r="DO59" s="281"/>
      <c r="DP59" s="281"/>
      <c r="DQ59" s="281"/>
      <c r="DR59" s="281"/>
      <c r="DS59" s="281"/>
      <c r="DT59" s="281"/>
      <c r="DU59" s="281"/>
      <c r="DV59" s="281"/>
      <c r="DW59" s="281"/>
      <c r="DX59" s="281"/>
      <c r="DY59" s="281"/>
      <c r="DZ59" s="281"/>
      <c r="EA59" s="281"/>
      <c r="EB59" s="281"/>
      <c r="EC59" s="281"/>
      <c r="ED59" s="281"/>
      <c r="EE59" s="281"/>
      <c r="EF59" s="281"/>
      <c r="EG59" s="281"/>
      <c r="EH59" s="281"/>
      <c r="EI59" s="281"/>
      <c r="EJ59" s="281"/>
      <c r="EK59" s="281"/>
      <c r="EL59" s="281"/>
      <c r="EM59" s="218"/>
      <c r="EN59" s="179" t="str">
        <f>IF(modelloAUTO8=$B$46,IF(PROFlatRICH8="","STD",PROFlatRICH8),"")</f>
        <v/>
      </c>
      <c r="EO59" s="191" t="str">
        <f>IF(modelloAUTO8=$B$46,IF(PROFlatRICH8="",pezzi8*DUE*VLOOKUP($B$46,tabMODELLI,COLprofiliLATdiserie,FALSE),pezzi8*DUE),"")</f>
        <v/>
      </c>
      <c r="EP59" s="238" t="str">
        <f>IF(modelloAUTO8=$B$46,VLOOKUP($B$46,tabMODELLI,COLcoeffALTguarnINFERIOREschiacciata,FALSE)+(VLOOKUP($B$46,tabMODELLI,COLcoefALTdogaREALEda200,FALSE)+(VLOOKUP($B$46,tabMODELLI,COLcoefALTdogaSORMONTATAda200,FALSE)*(CEILING(altezza8*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59" s="218"/>
      <c r="ER59" s="218"/>
      <c r="ES59" s="218"/>
      <c r="ET59" s="218"/>
      <c r="EU59" s="276" t="str">
        <f ca="1">IF(OR(modelloAUTO8=$B$46,modelloAUTO8=CLICK_RAPIDxPRIVATO),INDEX(INDIRECT("TABnCHIAVISTELLOvert"&amp;$B$46),rif_alt8,rif_larg8)*pezzi8,"")</f>
        <v/>
      </c>
      <c r="EV59" s="443" t="str">
        <f ca="1">IF(AND(nCatenacci8&lt;&gt;"",profORIZZ8&lt;&gt;""),spessoreCATENACCIOverticale60X85X300,"")</f>
        <v/>
      </c>
      <c r="EW59" s="208" t="str">
        <f ca="1">IF(modelloAUTO8=$B$46,INDEX(INDIRECT("TABnMANIGLIEsuperiori"&amp;$B$46),rif_alt8,rif_larg8),"")</f>
        <v/>
      </c>
      <c r="EX59" s="243" t="str">
        <f ca="1">IF(modelloAUTO8=$B$46,(larghezza8-CATENACCIOLOorizzontaleINGOMBROclick_rapid-DUE)/INDEX(INDIRECT("TABnMANIGLIEsuperiori"&amp;$B$46),rif_alt8,rif_larg8),"")</f>
        <v/>
      </c>
      <c r="EZ59" s="209" t="str">
        <f ca="1">IF(modelloAUTO8=$B$46,INDEX(INDIRECT("TABnMANIGLIEfrontali"&amp;$B$46),rif_alt8,rif_larg8),"")</f>
        <v/>
      </c>
      <c r="FA59"/>
      <c r="FB59"/>
      <c r="FC59"/>
      <c r="FD59"/>
      <c r="FE59"/>
      <c r="FF59"/>
      <c r="FG59"/>
      <c r="FH59"/>
      <c r="FI59"/>
      <c r="FJ59"/>
      <c r="FK59"/>
      <c r="FL59"/>
      <c r="FM59"/>
      <c r="FN59"/>
      <c r="FO59"/>
      <c r="FP59"/>
      <c r="FQ59"/>
      <c r="FR59"/>
      <c r="FS59"/>
      <c r="FT59" s="241" t="str">
        <f ca="1">IF(OR(nCatenacci8=0,nCatenacci8="",),"",(CJ59+QUATTRO-(IF(nCatenacci8="",ZERO,SESSANTA*(nCatenacci8/PZCLICK_RAPID8))))/((nCatenacci8/PZCLICK_RAPID8)+UNO))</f>
        <v/>
      </c>
      <c r="FZ59"/>
      <c r="GA59"/>
      <c r="GB59"/>
      <c r="GI59" s="168">
        <v>8</v>
      </c>
      <c r="GJ59" s="204" t="str">
        <f>IF(modelloAUTO8=$B$46,IF(profORIZZ8="","",pezzi8),"")</f>
        <v/>
      </c>
      <c r="GK59" s="205" t="str">
        <f>IF(modelloAUTO8=$B$46,IF(profORIZZ8="","",CODpiattoORIZZsugg8),"")</f>
        <v/>
      </c>
      <c r="HM59" s="206" t="str">
        <f>IF(modelloAUTO8=$B$46,IF(profORIZZ8="","",larghezza8*DIECI+IF(PROFoTUBsxRICH8="",ZERO,VLOOKUP(PROFoTUBsxRICH8,TABprofOtubLATERALI,COLlargPROFoTUBlat,FALSE))+IF(PROFoTUBdxRICH8="",ZERO,VLOOKUP(PROFoTUBdxRICH8,TABprofOtubLATERALI,COLlargPROFoTUBlat,FALSE))),"")</f>
        <v/>
      </c>
      <c r="HO59"/>
      <c r="HQ59"/>
      <c r="HR59"/>
      <c r="HS59"/>
      <c r="HT59"/>
      <c r="HW59"/>
      <c r="II59" s="168">
        <v>8</v>
      </c>
      <c r="IJ59" s="210" t="str">
        <f>IF(modelloAUTO8=$B$46,IF(fornPIANTcentr8="","",fornPIANTcentr8*pezzi8),"")</f>
        <v/>
      </c>
      <c r="IK59" s="210" t="str">
        <f>IF(modelloAUTO8=$B$46,IF(fornPIANTcentr8="","",CODpiantCENTRsugg8),"")</f>
        <v/>
      </c>
      <c r="IM59" s="210" t="str">
        <f>IF(modelloAUTO8=$B$46,IF(CODpiantCENTRsuggAPPOG8="","",CODpiantCENTRdiAPPOGGIOrich8),"")</f>
        <v/>
      </c>
      <c r="IN59" s="210" t="str">
        <f>IF(modelloAUTO8=$B$46,IF(CODpiantCENTRsuggAPPOG8="","",CODpiantCENTRsuggAPPOG8),"")</f>
        <v/>
      </c>
      <c r="JS59" s="168">
        <v>8</v>
      </c>
      <c r="JT59" s="259" t="str">
        <f>IF(CI97="","",#REF!)</f>
        <v/>
      </c>
      <c r="JU59" s="236" t="str">
        <f>IF(CI97="","",#REF!-9)</f>
        <v/>
      </c>
      <c r="JV59" s="236" t="str">
        <f>IF(CI97="","",#REF!+16)</f>
        <v/>
      </c>
      <c r="JY59" s="230" t="str">
        <f>IF(modelloAUTO8=$B$46,larghezza8*DIECI+VLOOKUP($B$46,tabMODELLI,COLcoefAUMlargBUSTApvc,FALSE)+VLOOKUP($B$46,tabMODELLI,COLcoefAUMlargXprofILIlateraliBUSTApvc,FALSE)+IF(PROFoTUBsxRICH8="",ZERO,VLOOKUP(PROFoTUBsxRICH8,TABprofOtubLATERALI,COLlargPROFoTUBlatXimballaggio,FALSE)+profELETTRODOsaldaturaPVC)+IF(PROFoTUBdxRICH8="",ZERO,VLOOKUP(PROFoTUBdxRICH8,TABprofOtubLATERALI,COLlargPROFoTUBlatXimballaggio,FALSE)+profELETTRODOsaldaturaPVC),"")</f>
        <v/>
      </c>
      <c r="JZ59" s="230" t="str">
        <f>IF(modelloAUTO8=$B$46,altezza8*DIECI*DUE+VLOOKUP($B$46,tabMODELLI,COLcoefAUMaltBUSTApvc,FALSE),"")</f>
        <v/>
      </c>
      <c r="KA59" s="261"/>
      <c r="KB59" s="230" t="str">
        <f>IF(modelloAUTO8=$B$46,altezza8*DIECI+VLOOKUP($B$46,tabMODELLI,COLcoeffSALDATURAinALTbustaPVC,FALSE),"")</f>
        <v/>
      </c>
      <c r="KC59" s="230" t="str">
        <f>IF(modelloAUTO8=$B$46,VLOOKUP($B$46,tabMODELLI,COLcoeffSALDATURAinLARGperTASCAbustaPVC,FALSE),"")</f>
        <v/>
      </c>
      <c r="KD59" s="230" t="str">
        <f>IF(modelloAUTO8=$B$46,IF(PROFoTUBsxRICH8="","",VLOOKUP(PROFoTUBsxRICH8,TABprofOtubLATERALI,COLlargPROFoTUBlatXimballaggio,FALSE)),"")</f>
        <v/>
      </c>
      <c r="KE59" s="230" t="str">
        <f>IF(modelloAUTO8=$B$46,IF(PROFoTUBdxRICH8="","",VLOOKUP(PROFoTUBdxRICH8,TABprofOtubLATERALI,COLlargPROFoTUBlatXimballaggio,FALSE)),"")</f>
        <v/>
      </c>
      <c r="KG59" s="262" t="str">
        <f>IF(modelloAUTO8=$B$46,pezzi8*DUE,"")</f>
        <v/>
      </c>
      <c r="KH59" s="263" t="str">
        <f>IF(modelloAUTO8=$B$46,larghezza8+VLOOKUP($B$46,tabMODELLI,COLcoeffAUMoCALOinLARGpolistirolo,FALSE),"")</f>
        <v/>
      </c>
      <c r="KI59" s="263" t="str">
        <f>IF(modelloAUTO8=$B$46,altezza8+VLOOKUP($B$46,tabMODELLI,COLcoeffAUMoCALOinALTpolistirolo,FALSE),"")</f>
        <v/>
      </c>
      <c r="KK59" s="262" t="str">
        <f>IF(modelloAUTO8=$B$46,pezzi8*DUE,"")</f>
        <v/>
      </c>
      <c r="KL59" s="263" t="str">
        <f>IF(modelloAUTO8=$B$46,larghezza8+VLOOKUP($B$46,tabMODELLI,colCOEFFdellaLARGnelFIANCOpolistirolo,FALSE),"")</f>
        <v/>
      </c>
      <c r="KM59" s="263" t="str">
        <f>IF(modelloAUTO8=$B$46,VLOOKUP($B$46,tabMODELLI,COLdimstdSTRISCIAdelFIANCOxALT1polistirolo,FALSE),"")</f>
        <v/>
      </c>
      <c r="KO59" s="262" t="str">
        <f>IF(modelloAUTO8=$B$46,pezzi8*DUE,"")</f>
        <v/>
      </c>
      <c r="KP59" s="263" t="str">
        <f>IF(modelloAUTO8=$B$46,altezza8+VLOOKUP($B$46,tabMODELLI,colCOEFFdellaALTnelFIANCOpolistirolo,FALSE),"")</f>
        <v/>
      </c>
      <c r="KQ59" s="263" t="str">
        <f>IF(modelloAUTO8=$B$46,VLOOKUP($B$46,tabMODELLI,COLdimstdSTRISCIAdelFIANCOxALT1polistirolo,FALSE),"")</f>
        <v/>
      </c>
      <c r="KR59" s="150">
        <v>1</v>
      </c>
      <c r="KY59" s="168">
        <v>8</v>
      </c>
      <c r="KZ59" s="444" t="str">
        <f>IF(LA59="","",IF('[1]IMMISSIONE DATI'!AR59="",UNO,'[1]IMMISSIONE DATI'!AR59))</f>
        <v/>
      </c>
      <c r="LA59" s="234" t="str">
        <f>IF(modelloAUTO8="","",IF(modelloAUTO8=CLICK_RAPID,MINA(larghezza8,LargALT8)*DIECI,""))</f>
        <v/>
      </c>
      <c r="LB59" s="234" t="str">
        <f t="shared" si="38"/>
        <v/>
      </c>
      <c r="LD59" s="445" t="str">
        <f>IF(modelloAUTO8=CLICK_RAPID,INDEX(tabPESOparatiaSENZAimballo,rif_alt8,rif_larg8)*pezzi8,"")</f>
        <v/>
      </c>
      <c r="LG59" s="167">
        <f>nota_tubolare</f>
        <v>0</v>
      </c>
      <c r="LM59" s="271"/>
      <c r="LN59" s="271"/>
      <c r="LO59" s="271"/>
      <c r="LP59" s="271"/>
      <c r="LQ59" s="271"/>
      <c r="LR59" s="271"/>
      <c r="LS59" s="271"/>
    </row>
    <row r="60" spans="1:331" s="150" customFormat="1" ht="33" thickBot="1">
      <c r="A60" s="168">
        <v>9</v>
      </c>
      <c r="B60" s="260" t="str">
        <f>IF(modelloAUTO9=$B$46,stanza9,"")</f>
        <v/>
      </c>
      <c r="C60" s="170" t="str">
        <f>IF(modelloAUTO9="","",modelloAUTO9)</f>
        <v/>
      </c>
      <c r="D60" s="171" t="str">
        <f>IF(pezzi9="","",pezzi9)</f>
        <v/>
      </c>
      <c r="E60" s="172" t="str">
        <f>IF(larghezza9="","",LARGortogonalitaADEGUATA9)</f>
        <v/>
      </c>
      <c r="F60" s="173" t="str">
        <f>IF(altezza9="","",altezza9)</f>
        <v/>
      </c>
      <c r="G60" s="173"/>
      <c r="H60" s="173"/>
      <c r="I60" s="176" t="str">
        <f>IF(modelloAUTO9="","",IF(vernBarriera9="","",vernBarriera9))</f>
        <v/>
      </c>
      <c r="J60" s="177" t="str">
        <f>IF(modelloAUTO9=$B$46,IF(PELLICOLA9="","",pezzi9),"")</f>
        <v/>
      </c>
      <c r="K60" s="437"/>
      <c r="M60" s="179" t="str">
        <f>IF(modelloAUTO9=$B$46,IF(PROFlatAUTO9="ESCLUSI","",IF(PROFlatRICH9="","STD",PROFlatRICH9)),"")</f>
        <v/>
      </c>
      <c r="N60" s="176" t="str">
        <f>IF(modelloAUTO9="","",IF(copertina9="","",TIPOcopertina9))</f>
        <v/>
      </c>
      <c r="O60" s="196" t="str">
        <f>IF(AND(modelloAUTO9=$B$46,PROFlatAUTO9&lt;&gt;"ESCLUSI"),IF(ALTprofLATrich9="","STD",ALTprofLATrich9),"")</f>
        <v/>
      </c>
      <c r="P60" s="176" t="str">
        <f>IF(modelloAUTO9="","",IF(vernPROFlatTEN9="","",vernPROFlatTEN9))</f>
        <v/>
      </c>
      <c r="R60" s="176" t="str">
        <f>IF(PROFoTUBsxRICH9="","",PROFoTUBsxRICH9)</f>
        <v/>
      </c>
      <c r="S60" s="182"/>
      <c r="T60" s="176" t="str">
        <f>IF(modelloAUTO9="","",IF(PROFoTUBdxRICH9="","",PROFoTUBdxRICH9))</f>
        <v/>
      </c>
      <c r="U60" s="182"/>
      <c r="V60" s="183" t="str">
        <f>IF(modelloAUTO9="","",IF(PROFoTUBsxRICH9="","",IF(ALTprofOtubRICHsx9="","SX: STD","SX: "&amp;ALTprofOtubRICHsx9&amp;" - "))&amp;IF(PROFoTUBdxRICH9="","",IF(ALTprofOtubRICHdx9="","  DX: STD","DX :"&amp;ALTprofOtubRICHdx9)))</f>
        <v/>
      </c>
      <c r="W60" s="184" t="str">
        <f>IF(modello9="","",IF(vernPROFoTUBlatSX9="","","SX: "&amp;vernPROFoTUBlatSX9&amp;" - ")&amp;IF(vernPROFoTUBlatDX9="",""," DX: "&amp;vernPROFoTUBlatDX9))</f>
        <v/>
      </c>
      <c r="Y60" s="185" t="str">
        <f>IF(modelloAUTO9="","",IF(OR(larghezza9="",profORIZZ9=""),"",CODpiattoORIZZsugg9))</f>
        <v/>
      </c>
      <c r="Z60" s="186" t="str">
        <f>IF(modelloAUTO9="","",IF(profORIZZ9="","",larghezza9+IF(PROFoTUBsxRICH9="",0,VLOOKUP(PROFoTUBsxRICH9,TABprofOtubLATERALI,COLlargPROFoTUBlat,FALSE))+IF(PROFoTUBdxRICH9="",0,VLOOKUP(PROFoTUBdxRICH9,TABprofOtubLATERALI,COLlargPROFoTUBlat,FALSE))))</f>
        <v/>
      </c>
      <c r="AB60" s="187" t="str">
        <f>IF(modelloAUTO9="","",IF(CODpiantCENTRsugg9="","","N° "&amp;fornPIANTcentr9&amp;"-"&amp;IF(CODpiantCENTRsugg9=0,"ERRORE",CODpiantCENTRsugg9)))</f>
        <v/>
      </c>
      <c r="AC60" s="187" t="str">
        <f>IF(modelloAUTO9="","",IF(CODpiantCENTRsuggAPPOG9="","","N° "&amp;CODpiantCENTRdiAPPOGGIOrich9&amp;"-"&amp;IF(CODpiantCENTRsuggAPPOG9=0,"ERRORE",CODpiantCENTRsuggAPPOG9)))</f>
        <v/>
      </c>
      <c r="AE60" s="188" t="str">
        <f>IF(modelloAUTO9="","",IF(note_cliente9="","",note_cliente9))</f>
        <v/>
      </c>
      <c r="AF60" s="189" t="str">
        <f>IF(PesoTEORICOparatia9="","",PesoTEORICOparatia9)</f>
        <v/>
      </c>
      <c r="AG60" s="190">
        <v>9</v>
      </c>
      <c r="AI60" s="191" t="str">
        <f>IF(modelloAUTO9=$B$46,pezzi9*UNO,"")</f>
        <v/>
      </c>
      <c r="AJ60" s="438" t="str">
        <f>IF(modelloAUTO9=$B$46,larghezza9,"")</f>
        <v/>
      </c>
      <c r="AK60" s="212" t="str">
        <f>IF(modelloAUTO9=$B$46,altezza9,"")</f>
        <v/>
      </c>
      <c r="AL60" s="173"/>
      <c r="AM60" s="173"/>
      <c r="AN60" s="194"/>
      <c r="AO60"/>
      <c r="AQ60" s="439" t="str">
        <f>IF(modelloAUTO9=$B$46,IF(PROFlatRICH9="",pezzi9*DUE*VLOOKUP($B$46,tabMODELLI,COLprofiliLATdiserie,FALSE),pezzi9*DUE),"")</f>
        <v/>
      </c>
      <c r="AR60" s="179" t="str">
        <f>IF(modelloAUTO9=$B$46,IF(AND(VLOOKUP($B$46,tabMODELLI,COLprofiliLATdiserie,FALSE)=ZERO,PROFlatRICH9=""),"",IF(PROFlatAUTO9&lt;&gt;VLOOKUP($B$46,tabMODELLI,COLcodPROFILIlat,FALSE),PROFlatAUTO9,"STD")),"")</f>
        <v/>
      </c>
      <c r="AS60" s="196" t="str">
        <f>IF(AND(modelloAUTO9=$B$46,PROFlatAUTO9&lt;&gt;"ESCLUSI"),IF(ALTprofLATrich9="","STD",ALTprofLATrich9),"")</f>
        <v/>
      </c>
      <c r="AU60" s="272" t="str">
        <f>IF(modelloAUTO9=$B$46,IF(TIPOcopertina9="","",TIPOcopertina9),"")</f>
        <v/>
      </c>
      <c r="AW60" s="201" t="str">
        <f>IF(AND(modelloAUTO9=$B$46,PROFlatAUTO9&lt;&gt;"ESCLUSI"),IF(vernPROFlatTEN9="","OX ARGENTO",vernPROFlatTEN9),"")</f>
        <v/>
      </c>
      <c r="AY60" s="191" t="str">
        <f>IF(modelloAUTO9=$B$46,pezzi9*DUE,"")</f>
        <v/>
      </c>
      <c r="AZ60" s="278" t="str">
        <f>IF(modelloAUTO9=$B$46,IF(PROFoTUBsxRICH9="","",PROFoTUBsxRICH9),"")</f>
        <v/>
      </c>
      <c r="BA60" s="200" t="str">
        <f>IF(AND(modelloAUTO9=$B$46,PROFoTUBsxRICH9&lt;&gt;""),IF(ALTprofOtubRICHsx9="","STD",ALTprofOtubRICHsx9),"")</f>
        <v/>
      </c>
      <c r="BC60" s="201" t="str">
        <f>IF(modelloAUTO9=$B$46,IF(PROFoTUBsxRICH9="","",IF(vernPROFoTUBlatSX9="","OX ARGENTO",vernPROFoTUBlatSX9)),"")</f>
        <v/>
      </c>
      <c r="BE60" s="279" t="str">
        <f>IF(modelloAUTO9=$B$46,IF(PROFoTUBdxRICH9="","",PROFoTUBdxRICH9),"")</f>
        <v/>
      </c>
      <c r="BF60" s="200" t="str">
        <f>IF(AND(modelloAUTO9=$B$46,PROFoTUBdxRICH9&lt;&gt;""),IF(ALTprofOtubRICHdx9="","STD",ALTprofOtubRICHdx9),"")</f>
        <v/>
      </c>
      <c r="BH60" s="203" t="str">
        <f>IF(modelloAUTO9=$B$46,IF(PROFoTUBdxRICH9="","",IF(vernPROFoTUBlatDX9="","OX ARGENTO",vernPROFoTUBlatDX9)),"")</f>
        <v/>
      </c>
      <c r="BJ60" s="204" t="str">
        <f>IF(modelloAUTO9=$B$46,IF(profORIZZ9="","",pezzi9),"")</f>
        <v/>
      </c>
      <c r="BK60" s="205" t="str">
        <f>IF(modelloAUTO9=$B$46,IF(profORIZZ9="","",CODpiattoORIZZsugg9),"")</f>
        <v/>
      </c>
      <c r="BL60" s="206" t="str">
        <f>IF(modelloAUTO9=$B$46,IF(profORIZZ9="","",larghezza9*DIECI+IF(PROFoTUBsxRICH9="",ZERO,VLOOKUP(PROFoTUBsxRICH9,TABprofOtubLATERALI,COLlargPROFoTUBlat,FALSE))+IF(PROFoTUBdxRICH9="",ZERO,VLOOKUP(PROFoTUBdxRICH9,TABprofOtubLATERALI,COLlargPROFoTUBlat,FALSE))),"")</f>
        <v/>
      </c>
      <c r="BN60" s="207" t="str">
        <f ca="1">IF(modelloAUTO9=$B$46,INDEX(INDIRECT("TABnCHIAVISTELLOvert"&amp;$B$46),rif_alt9,rif_larg9)*pezzi9,"")</f>
        <v/>
      </c>
      <c r="BO60"/>
      <c r="BQ60" s="208" t="str">
        <f ca="1">IF(modelloAUTO9=$B$46,INDEX(INDIRECT("TABnMANIGLIEsuperiori"&amp;$B$46),rif_alt9,rif_larg9)+INDEX(INDIRECT("TABnMANIGLIEfrontali"&amp;$B$46),rif_alt9,rif_larg9),"")</f>
        <v/>
      </c>
      <c r="BR60" s="191" t="str">
        <f>IF(modelloAUTO9=$B$46,pezzi9*DUE,"")</f>
        <v/>
      </c>
      <c r="BS60" s="209" t="str">
        <f>IF(modelloAUTO9=$B$46,BQ60*DUE,"")</f>
        <v/>
      </c>
      <c r="BT60" s="209" t="str">
        <f>IF(modelloAUTO9=$B$46,BR60*TRE,"")</f>
        <v/>
      </c>
      <c r="BU60" s="441"/>
      <c r="BV60" s="441"/>
      <c r="BW60" s="441"/>
      <c r="BX60" s="441"/>
      <c r="BY60" s="441"/>
      <c r="CA60" s="210" t="str">
        <f>IF(modelloAUTO9=$B$46,IF(fornPIANTcentr9="","",fornPIANTcentr9*pezzi9),"")</f>
        <v/>
      </c>
      <c r="CB60" s="210" t="str">
        <f>IF(modelloAUTO9=$B$46,IF(fornPIANTcentr9="","",CODpiantCENTRsugg9),"")</f>
        <v/>
      </c>
      <c r="CD60" s="210" t="str">
        <f>IF(modelloAUTO9=$B$46,IF(CODpiantCENTRsuggAPPOG9="","",CODpiantCENTRdiAPPOGGIOrich9),"")</f>
        <v/>
      </c>
      <c r="CE60" s="210" t="str">
        <f>IF(modelloAUTO9=$B$46,IF(CODpiantCENTRsuggAPPOG9="","",CODpiantCENTRsuggAPPOG9),"")</f>
        <v/>
      </c>
      <c r="CG60" s="273">
        <v>9</v>
      </c>
      <c r="CI60" s="211" t="str">
        <f>IF(modelloAUTO9=$B$46,altezza9*DIECI/CEILING(VLOOKUP($B$46,tabMODELLI,COLcoefALTdogaSORMONTATAda200,FALSE),UNO)*pezzi9,"")</f>
        <v/>
      </c>
      <c r="CJ60" s="212" t="str">
        <f>IF(modelloAUTO9=$B$46,larghezza9*DIECI-VLOOKUP($B$46,tabMODELLI,COLcoeffTAGLIOdogaOPPURElastraINlarg,FALSE)-VLOOKUP(PROFlatAUTO9,TABprofLATten,COLcoeffCALOdoga,FALSE),"")</f>
        <v/>
      </c>
      <c r="CK60"/>
      <c r="CL60" s="203" t="str">
        <f>IF(modelloAUTO9=$B$46,IF(vernBarriera9="","STD",vernBarriera9),"")</f>
        <v/>
      </c>
      <c r="CM60" s="173"/>
      <c r="CN60" s="173"/>
      <c r="CO60"/>
      <c r="CP60"/>
      <c r="CQ60" s="216" t="str">
        <f>IF(modelloAUTO9=$B$46,pezzi9*DUE,"")</f>
        <v/>
      </c>
      <c r="CR60" s="212" t="str">
        <f>IF(modelloAUTO9=$B$46,altezza9*DIECI+VLOOKUP($B$46,tabMODELLI,COLcoeffTAGLIOPROFILIlateraliEverticaliAttaccatiALLAbarriera,FALSE),"")</f>
        <v/>
      </c>
      <c r="CS60"/>
      <c r="CT60" s="281"/>
      <c r="CU60" s="281"/>
      <c r="CV60"/>
      <c r="CW60" s="281"/>
      <c r="CX60" s="281"/>
      <c r="CY60" s="281"/>
      <c r="CZ60" s="281"/>
      <c r="DA60" s="281"/>
      <c r="DB60" s="281"/>
      <c r="DC60" s="281"/>
      <c r="DD60" s="281"/>
      <c r="DE60" s="281"/>
      <c r="DF60" s="281"/>
      <c r="DG60" s="281"/>
      <c r="DH60" s="281"/>
      <c r="DI60" s="281"/>
      <c r="DJ60" s="281"/>
      <c r="DK60"/>
      <c r="DL60"/>
      <c r="DM60" s="281"/>
      <c r="DN60" s="281"/>
      <c r="DO60" s="281"/>
      <c r="DP60" s="281"/>
      <c r="DQ60" s="281"/>
      <c r="DR60" s="281"/>
      <c r="DS60" s="281"/>
      <c r="DT60" s="281"/>
      <c r="DU60" s="281"/>
      <c r="DV60" s="281"/>
      <c r="DW60" s="281"/>
      <c r="DX60" s="281"/>
      <c r="DY60" s="281"/>
      <c r="DZ60" s="281"/>
      <c r="EA60" s="281"/>
      <c r="EB60" s="281"/>
      <c r="EC60" s="281"/>
      <c r="ED60" s="281"/>
      <c r="EE60" s="281"/>
      <c r="EF60" s="281"/>
      <c r="EG60" s="281"/>
      <c r="EH60" s="281"/>
      <c r="EI60" s="281"/>
      <c r="EJ60" s="281"/>
      <c r="EK60" s="281"/>
      <c r="EL60" s="281"/>
      <c r="EM60" s="218"/>
      <c r="EN60" s="179" t="str">
        <f>IF(modelloAUTO9=$B$46,IF(PROFlatRICH9="","STD",PROFlatRICH9),"")</f>
        <v/>
      </c>
      <c r="EO60" s="191" t="str">
        <f>IF(modelloAUTO9=$B$46,IF(PROFlatRICH9="",pezzi9*DUE*VLOOKUP($B$46,tabMODELLI,COLprofiliLATdiserie,FALSE),pezzi9*DUE),"")</f>
        <v/>
      </c>
      <c r="EP60" s="238" t="str">
        <f>IF(modelloAUTO9=$B$46,VLOOKUP($B$46,tabMODELLI,COLcoeffALTguarnINFERIOREschiacciata,FALSE)+(VLOOKUP($B$46,tabMODELLI,COLcoefALTdogaREALEda200,FALSE)+(VLOOKUP($B$46,tabMODELLI,COLcoefALTdogaSORMONTATAda200,FALSE)*(CEILING(altezza9*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0" s="218"/>
      <c r="ER60" s="218"/>
      <c r="ES60" s="218"/>
      <c r="ET60" s="218"/>
      <c r="EU60" s="276" t="str">
        <f ca="1">IF(OR(modelloAUTO9=$B$46,modelloAUTO9=CLICK_RAPIDxPRIVATO),INDEX(INDIRECT("TABnCHIAVISTELLOvert"&amp;$B$46),rif_alt9,rif_larg9)*pezzi9,"")</f>
        <v/>
      </c>
      <c r="EV60" s="443" t="str">
        <f ca="1">IF(AND(nCatenacci9&lt;&gt;"",profORIZZ9&lt;&gt;""),spessoreCATENACCIOverticale60X95X300,"")</f>
        <v/>
      </c>
      <c r="EW60" s="208" t="str">
        <f ca="1">IF(modelloAUTO9=$B$46,INDEX(INDIRECT("TABnMANIGLIEsuperiori"&amp;$B$46),rif_alt9,rif_larg9),"")</f>
        <v/>
      </c>
      <c r="EX60" s="243" t="str">
        <f ca="1">IF(modelloAUTO9=$B$46,(larghezza9-CATENACCIOLOorizzontaleINGOMBROclick_rapid-DUE)/INDEX(INDIRECT("TABnMANIGLIEsuperiori"&amp;$B$46),rif_alt9,rif_larg9),"")</f>
        <v/>
      </c>
      <c r="EZ60" s="209" t="str">
        <f ca="1">IF(modelloAUTO9=$B$46,INDEX(INDIRECT("TABnMANIGLIEfrontali"&amp;$B$46),rif_alt9,rif_larg9),"")</f>
        <v/>
      </c>
      <c r="FA60"/>
      <c r="FB60"/>
      <c r="FC60"/>
      <c r="FD60"/>
      <c r="FE60"/>
      <c r="FF60"/>
      <c r="FG60"/>
      <c r="FH60"/>
      <c r="FI60"/>
      <c r="FJ60"/>
      <c r="FK60"/>
      <c r="FL60"/>
      <c r="FM60"/>
      <c r="FN60"/>
      <c r="FO60"/>
      <c r="FP60"/>
      <c r="FQ60"/>
      <c r="FR60"/>
      <c r="FS60"/>
      <c r="FT60" s="241" t="str">
        <f ca="1">IF(OR(nCatenacci9=0,nCatenacci9="",),"",(CJ60+QUATTRO-(IF(nCatenacci9="",ZERO,SESSANTA*(nCatenacci9/PZCLICK_RAPID9))))/((nCatenacci9/PZCLICK_RAPID9)+UNO))</f>
        <v/>
      </c>
      <c r="FZ60"/>
      <c r="GA60"/>
      <c r="GB60"/>
      <c r="GI60" s="168">
        <v>9</v>
      </c>
      <c r="GJ60" s="204" t="str">
        <f>IF(modelloAUTO9=$B$46,IF(profORIZZ9="","",pezzi9),"")</f>
        <v/>
      </c>
      <c r="GK60" s="205" t="str">
        <f>IF(modelloAUTO9=$B$46,IF(profORIZZ9="","",CODpiattoORIZZsugg9),"")</f>
        <v/>
      </c>
      <c r="HM60" s="206" t="str">
        <f>IF(modelloAUTO9=$B$46,IF(profORIZZ9="","",larghezza9*DIECI+IF(PROFoTUBsxRICH9="",ZERO,VLOOKUP(PROFoTUBsxRICH9,TABprofOtubLATERALI,COLlargPROFoTUBlat,FALSE))+IF(PROFoTUBdxRICH9="",ZERO,VLOOKUP(PROFoTUBdxRICH9,TABprofOtubLATERALI,COLlargPROFoTUBlat,FALSE))),"")</f>
        <v/>
      </c>
      <c r="HO60"/>
      <c r="HQ60"/>
      <c r="HR60"/>
      <c r="HS60"/>
      <c r="HT60"/>
      <c r="HW60"/>
      <c r="II60" s="168">
        <v>9</v>
      </c>
      <c r="IJ60" s="210" t="str">
        <f>IF(modelloAUTO9=$B$46,IF(fornPIANTcentr9="","",fornPIANTcentr9*pezzi9),"")</f>
        <v/>
      </c>
      <c r="IK60" s="210" t="str">
        <f>IF(modelloAUTO9=$B$46,IF(fornPIANTcentr9="","",CODpiantCENTRsugg9),"")</f>
        <v/>
      </c>
      <c r="IM60" s="210" t="str">
        <f>IF(modelloAUTO9=$B$46,IF(CODpiantCENTRsuggAPPOG9="","",CODpiantCENTRdiAPPOGGIOrich9),"")</f>
        <v/>
      </c>
      <c r="IN60" s="210" t="str">
        <f>IF(modelloAUTO9=$B$46,IF(CODpiantCENTRsuggAPPOG9="","",CODpiantCENTRsuggAPPOG9),"")</f>
        <v/>
      </c>
      <c r="JS60" s="168">
        <v>9</v>
      </c>
      <c r="JT60" s="259" t="str">
        <f>IF(CI98="","",Z60)</f>
        <v/>
      </c>
      <c r="JU60" s="236" t="str">
        <f>IF(CI98="","",E60-9)</f>
        <v/>
      </c>
      <c r="JV60" s="236" t="str">
        <f>IF(CI98="","",F60+16)</f>
        <v/>
      </c>
      <c r="JY60" s="230" t="str">
        <f>IF(modelloAUTO9=$B$46,larghezza9*DIECI+VLOOKUP($B$46,tabMODELLI,COLcoefAUMlargBUSTApvc,FALSE)+VLOOKUP($B$46,tabMODELLI,COLcoefAUMlargXprofILIlateraliBUSTApvc,FALSE)+IF(PROFoTUBsxRICH9="",ZERO,VLOOKUP(PROFoTUBsxRICH9,TABprofOtubLATERALI,COLlargPROFoTUBlatXimballaggio,FALSE)+profELETTRODOsaldaturaPVC)+IF(PROFoTUBdxRICH9="",ZERO,VLOOKUP(PROFoTUBdxRICH9,TABprofOtubLATERALI,COLlargPROFoTUBlatXimballaggio,FALSE)+profELETTRODOsaldaturaPVC),"")</f>
        <v/>
      </c>
      <c r="JZ60" s="230" t="str">
        <f>IF(modelloAUTO9=$B$46,altezza9*DIECI*DUE+VLOOKUP($B$46,tabMODELLI,COLcoefAUMaltBUSTApvc,FALSE),"")</f>
        <v/>
      </c>
      <c r="KA60" s="261"/>
      <c r="KB60" s="230" t="str">
        <f>IF(modelloAUTO9=$B$46,altezza9*DIECI+VLOOKUP($B$46,tabMODELLI,COLcoeffSALDATURAinALTbustaPVC,FALSE),"")</f>
        <v/>
      </c>
      <c r="KC60" s="230" t="str">
        <f>IF(modelloAUTO9=$B$46,VLOOKUP($B$46,tabMODELLI,COLcoeffSALDATURAinLARGperTASCAbustaPVC,FALSE),"")</f>
        <v/>
      </c>
      <c r="KD60" s="230" t="str">
        <f>IF(modelloAUTO9=$B$46,IF(PROFoTUBsxRICH9="","",VLOOKUP(PROFoTUBsxRICH9,TABprofOtubLATERALI,COLlargPROFoTUBlatXimballaggio,FALSE)),"")</f>
        <v/>
      </c>
      <c r="KE60" s="230" t="str">
        <f>IF(modelloAUTO9=$B$46,IF(PROFoTUBdxRICH9="","",VLOOKUP(PROFoTUBdxRICH9,TABprofOtubLATERALI,COLlargPROFoTUBlatXimballaggio,FALSE)),"")</f>
        <v/>
      </c>
      <c r="KG60" s="262" t="str">
        <f>IF(modelloAUTO9=$B$46,pezzi9*DUE,"")</f>
        <v/>
      </c>
      <c r="KH60" s="263" t="str">
        <f>IF(modelloAUTO9=$B$46,larghezza9+VLOOKUP($B$46,tabMODELLI,COLcoeffAUMoCALOinLARGpolistirolo,FALSE),"")</f>
        <v/>
      </c>
      <c r="KI60" s="263" t="str">
        <f>IF(modelloAUTO9=$B$46,altezza9+VLOOKUP($B$46,tabMODELLI,COLcoeffAUMoCALOinALTpolistirolo,FALSE),"")</f>
        <v/>
      </c>
      <c r="KK60" s="262" t="str">
        <f>IF(modelloAUTO9=$B$46,pezzi9*DUE,"")</f>
        <v/>
      </c>
      <c r="KL60" s="263" t="str">
        <f>IF(modelloAUTO9=$B$46,larghezza9+VLOOKUP($B$46,tabMODELLI,colCOEFFdellaLARGnelFIANCOpolistirolo,FALSE),"")</f>
        <v/>
      </c>
      <c r="KM60" s="263" t="str">
        <f>IF(modelloAUTO9=$B$46,VLOOKUP($B$46,tabMODELLI,COLdimstdSTRISCIAdelFIANCOxALT1polistirolo,FALSE),"")</f>
        <v/>
      </c>
      <c r="KO60" s="262" t="str">
        <f>IF(modelloAUTO9=$B$46,pezzi9*DUE,"")</f>
        <v/>
      </c>
      <c r="KP60" s="263" t="str">
        <f>IF(modelloAUTO9=$B$46,altezza9+VLOOKUP($B$46,tabMODELLI,colCOEFFdellaALTnelFIANCOpolistirolo,FALSE),"")</f>
        <v/>
      </c>
      <c r="KQ60" s="263" t="str">
        <f>IF(modelloAUTO9=$B$46,VLOOKUP($B$46,tabMODELLI,COLdimstdSTRISCIAdelFIANCOxALT1polistirolo,FALSE),"")</f>
        <v/>
      </c>
      <c r="KR60" s="150">
        <v>1</v>
      </c>
      <c r="KY60" s="168">
        <v>9</v>
      </c>
      <c r="KZ60" s="444" t="str">
        <f>IF(LA60="","",IF('[1]IMMISSIONE DATI'!AR60="",UNO,'[1]IMMISSIONE DATI'!AR60))</f>
        <v/>
      </c>
      <c r="LA60" s="234" t="str">
        <f>IF(modelloAUTO9="","",IF(modelloAUTO9=CLICK_RAPID,MINA(larghezza9,LargALT9)*DIECI,""))</f>
        <v/>
      </c>
      <c r="LB60" s="234" t="str">
        <f t="shared" si="38"/>
        <v/>
      </c>
      <c r="LD60" s="445" t="str">
        <f>IF(modelloAUTO9=CLICK_RAPID,INDEX(tabPESOparatiaSENZAimballo,rif_alt9,rif_larg9)*pezzi9,"")</f>
        <v/>
      </c>
    </row>
    <row r="61" spans="1:331" s="150" customFormat="1" ht="33" thickBot="1">
      <c r="A61" s="168">
        <v>10</v>
      </c>
      <c r="B61" s="260" t="str">
        <f>IF(modelloAUTO10=$B$46,stanza10,"")</f>
        <v/>
      </c>
      <c r="C61" s="170" t="str">
        <f>IF(modelloAUTO10="","",modelloAUTO10)</f>
        <v/>
      </c>
      <c r="D61" s="171" t="str">
        <f>IF(pezzi10="","",pezzi10)</f>
        <v/>
      </c>
      <c r="E61" s="172" t="str">
        <f>IF(larghezza10="","",LARGortogonalitaADEGUATA10)</f>
        <v/>
      </c>
      <c r="F61" s="173" t="str">
        <f>IF(altezza10="","",altezza10)</f>
        <v/>
      </c>
      <c r="G61" s="173"/>
      <c r="H61" s="173"/>
      <c r="I61" s="176" t="str">
        <f>IF(modelloAUTO10="","",IF(vernBarriera10="","",vernBarriera10))</f>
        <v/>
      </c>
      <c r="J61" s="177" t="str">
        <f>IF(modelloAUTO10=$B$46,IF(PELLICOLA10="","",pezzi10),"")</f>
        <v/>
      </c>
      <c r="K61" s="437"/>
      <c r="M61" s="179" t="str">
        <f>IF(modelloAUTO10=$B$46,IF(PROFlatAUTO10="ESCLUSI","",IF(PROFlatRICH10="","STD",PROFlatRICH10)),"")</f>
        <v/>
      </c>
      <c r="N61" s="176" t="str">
        <f>IF(modelloAUTO10="","",IF(copertina10="","",TIPOcopertina10))</f>
        <v/>
      </c>
      <c r="O61" s="196" t="str">
        <f>IF(AND(modelloAUTO10=$B$46,PROFlatAUTO10&lt;&gt;"ESCLUSI"),IF(ALTprofLATrich10="","STD",ALTprofLATrich10),"")</f>
        <v/>
      </c>
      <c r="P61" s="176" t="str">
        <f>IF(modelloAUTO10="","",IF(vernPROFlatTEN10="","",vernPROFlatTEN10))</f>
        <v/>
      </c>
      <c r="R61" s="176" t="str">
        <f>IF(PROFoTUBsxRICH10="","",PROFoTUBsxRICH10)</f>
        <v/>
      </c>
      <c r="S61" s="182"/>
      <c r="T61" s="176" t="str">
        <f>IF(modelloAUTO10="","",IF(PROFoTUBdxRICH10="","",PROFoTUBdxRICH10))</f>
        <v/>
      </c>
      <c r="U61" s="182"/>
      <c r="V61" s="183" t="str">
        <f>IF(modelloAUTO10="","",IF(PROFoTUBsxRICH10="","",IF(ALTprofOtubRICHsx10="","SX: STD","SX: "&amp;ALTprofOtubRICHsx10&amp;" - "))&amp;IF(PROFoTUBdxRICH10="","",IF(ALTprofOtubRICHdx10="","  DX: STD","DX :"&amp;ALTprofOtubRICHdx10)))</f>
        <v/>
      </c>
      <c r="W61" s="184" t="str">
        <f>IF(modello10="","",IF(vernPROFoTUBlatSX10="","","SX: "&amp;vernPROFoTUBlatSX10&amp;" - ")&amp;IF(vernPROFoTUBlatDX10="",""," DX: "&amp;vernPROFoTUBlatDX10))</f>
        <v/>
      </c>
      <c r="Y61" s="185" t="str">
        <f>IF(modelloAUTO10="","",IF(OR(larghezza10="",profORIZZ10=""),"",CODpiattoORIZZsugg10))</f>
        <v/>
      </c>
      <c r="Z61" s="186" t="str">
        <f>IF(modelloAUTO10="","",IF(profORIZZ10="","",larghezza10+IF(PROFoTUBsxRICH10="",0,VLOOKUP(PROFoTUBsxRICH10,TABprofOtubLATERALI,COLlargPROFoTUBlat,FALSE))+IF(PROFoTUBdxRICH10="",0,VLOOKUP(PROFoTUBdxRICH10,TABprofOtubLATERALI,COLlargPROFoTUBlat,FALSE))))</f>
        <v/>
      </c>
      <c r="AB61" s="187" t="str">
        <f>IF(modelloAUTO10="","",IF(CODpiantCENTRsugg10="","","N° "&amp;fornPIANTcentr10&amp;"-"&amp;IF(CODpiantCENTRsugg10=0,"ERRORE",CODpiantCENTRsugg10)))</f>
        <v/>
      </c>
      <c r="AC61" s="187" t="str">
        <f>IF(modelloAUTO10="","",IF(CODpiantCENTRsuggAPPOG10="","","N° "&amp;CODpiantCENTRdiAPPOGGIOrich10&amp;"-"&amp;IF(CODpiantCENTRsuggAPPOG10=0,"ERRORE",CODpiantCENTRsuggAPPOG10)))</f>
        <v/>
      </c>
      <c r="AE61" s="188" t="str">
        <f>IF(modelloAUTO10="","",IF(note_cliente10="","",note_cliente10))</f>
        <v/>
      </c>
      <c r="AF61" s="189" t="str">
        <f>IF(PesoTEORICOparatia10="","",PesoTEORICOparatia10)</f>
        <v/>
      </c>
      <c r="AG61" s="190">
        <v>10</v>
      </c>
      <c r="AI61" s="191" t="str">
        <f>IF(modelloAUTO10=$B$46,pezzi10*UNO,"")</f>
        <v/>
      </c>
      <c r="AJ61" s="438" t="str">
        <f>IF(modelloAUTO10=$B$46,larghezza10,"")</f>
        <v/>
      </c>
      <c r="AK61" s="212" t="str">
        <f>IF(modelloAUTO10=$B$46,altezza10,"")</f>
        <v/>
      </c>
      <c r="AL61" s="173"/>
      <c r="AM61" s="173"/>
      <c r="AN61" s="194"/>
      <c r="AO61"/>
      <c r="AQ61" s="439" t="str">
        <f>IF(modelloAUTO10=$B$46,IF(PROFlatRICH10="",pezzi10*DUE*VLOOKUP($B$46,tabMODELLI,COLprofiliLATdiserie,FALSE),pezzi10*DUE),"")</f>
        <v/>
      </c>
      <c r="AR61" s="179" t="str">
        <f>IF(modelloAUTO10=$B$46,IF(AND(VLOOKUP($B$46,tabMODELLI,COLprofiliLATdiserie,FALSE)=ZERO,PROFlatRICH10=""),"",IF(PROFlatAUTO10&lt;&gt;VLOOKUP($B$46,tabMODELLI,COLcodPROFILIlat,FALSE),PROFlatAUTO10,"STD")),"")</f>
        <v/>
      </c>
      <c r="AS61" s="196" t="str">
        <f>IF(AND(modelloAUTO10=$B$46,PROFlatAUTO10&lt;&gt;"ESCLUSI"),IF(ALTprofLATrich10="","STD",ALTprofLATrich10),"")</f>
        <v/>
      </c>
      <c r="AU61" s="272" t="str">
        <f>IF(modelloAUTO10=$B$46,IF(TIPOcopertina10="","",TIPOcopertina10),"")</f>
        <v/>
      </c>
      <c r="AW61" s="201" t="str">
        <f>IF(AND(modelloAUTO10=$B$46,PROFlatAUTO10&lt;&gt;"ESCLUSI"),IF(vernPROFlatTEN10="","OX ARGENTO",vernPROFlatTEN10),"")</f>
        <v/>
      </c>
      <c r="AY61" s="191" t="str">
        <f>IF(modelloAUTO10=$B$46,pezzi10*DUE,"")</f>
        <v/>
      </c>
      <c r="AZ61" s="278" t="str">
        <f>IF(modelloAUTO10=$B$46,IF(PROFoTUBsxRICH10="","",PROFoTUBsxRICH10),"")</f>
        <v/>
      </c>
      <c r="BA61" s="200" t="str">
        <f>IF(AND(modelloAUTO10=$B$46,PROFoTUBsxRICH10&lt;&gt;""),IF(ALTprofOtubRICHsx10="","STD",ALTprofOtubRICHsx10),"")</f>
        <v/>
      </c>
      <c r="BC61" s="201" t="str">
        <f>IF(modelloAUTO10=$B$46,IF(PROFoTUBsxRICH10="","",IF(vernPROFoTUBlatSX10="","OX ARGENTO",vernPROFoTUBlatSX10)),"")</f>
        <v/>
      </c>
      <c r="BE61" s="279" t="str">
        <f>IF(modelloAUTO10=$B$46,IF(PROFoTUBdxRICH10="","",PROFoTUBdxRICH10),"")</f>
        <v/>
      </c>
      <c r="BF61" s="200" t="str">
        <f>IF(AND(modelloAUTO10=$B$46,PROFoTUBdxRICH10&lt;&gt;""),IF(ALTprofOtubRICHdx10="","STD",ALTprofOtubRICHdx10),"")</f>
        <v/>
      </c>
      <c r="BH61" s="203" t="str">
        <f>IF(modelloAUTO10=$B$46,IF(PROFoTUBdxRICH10="","",IF(vernPROFoTUBlatDX10="","OX ARGENTO",vernPROFoTUBlatDX10)),"")</f>
        <v/>
      </c>
      <c r="BJ61" s="204" t="str">
        <f>IF(modelloAUTO10=$B$46,IF(profORIZZ10="","",pezzi10),"")</f>
        <v/>
      </c>
      <c r="BK61" s="205" t="str">
        <f>IF(modelloAUTO10=$B$46,IF(profORIZZ10="","",CODpiattoORIZZsugg10),"")</f>
        <v/>
      </c>
      <c r="BL61" s="206" t="str">
        <f>IF(modelloAUTO10=$B$46,IF(profORIZZ10="","",larghezza10*DIECI+IF(PROFoTUBsxRICH10="",ZERO,VLOOKUP(PROFoTUBsxRICH10,TABprofOtubLATERALI,COLlargPROFoTUBlat,FALSE))+IF(PROFoTUBdxRICH10="",ZERO,VLOOKUP(PROFoTUBdxRICH10,TABprofOtubLATERALI,COLlargPROFoTUBlat,FALSE))),"")</f>
        <v/>
      </c>
      <c r="BN61" s="207" t="str">
        <f ca="1">IF(modelloAUTO10=$B$46,INDEX(INDIRECT("TABnCHIAVISTELLOvert"&amp;$B$46),rif_alt10,rif_larg10)*pezzi10,"")</f>
        <v/>
      </c>
      <c r="BO61"/>
      <c r="BQ61" s="208" t="str">
        <f ca="1">IF(modelloAUTO10=$B$46,INDEX(INDIRECT("TABnMANIGLIEsuperiori"&amp;$B$46),rif_alt10,rif_larg10)+INDEX(INDIRECT("TABnMANIGLIEfrontali"&amp;$B$46),rif_alt10,rif_larg10),"")</f>
        <v/>
      </c>
      <c r="BR61" s="191" t="str">
        <f>IF(modelloAUTO10=$B$46,pezzi10*DUE,"")</f>
        <v/>
      </c>
      <c r="BS61" s="209" t="str">
        <f>IF(modelloAUTO10=$B$46,BQ61*DUE,"")</f>
        <v/>
      </c>
      <c r="BT61" s="209" t="str">
        <f>IF(modelloAUTO10=$B$46,BR61*TRE,"")</f>
        <v/>
      </c>
      <c r="BU61" s="441"/>
      <c r="BV61" s="441"/>
      <c r="BW61" s="441"/>
      <c r="BX61" s="441"/>
      <c r="BY61" s="441"/>
      <c r="CA61" s="210" t="str">
        <f>IF(modelloAUTO10=$B$46,IF(fornPIANTcentr10="","",fornPIANTcentr10*pezzi10),"")</f>
        <v/>
      </c>
      <c r="CB61" s="210" t="str">
        <f>IF(modelloAUTO10=$B$46,IF(fornPIANTcentr10="","",CODpiantCENTRsugg10),"")</f>
        <v/>
      </c>
      <c r="CD61" s="210" t="str">
        <f>IF(modelloAUTO10=$B$46,IF(CODpiantCENTRsuggAPPOG10="","",CODpiantCENTRdiAPPOGGIOrich10),"")</f>
        <v/>
      </c>
      <c r="CE61" s="210" t="str">
        <f>IF(modelloAUTO10=$B$46,IF(CODpiantCENTRsuggAPPOG10="","",CODpiantCENTRsuggAPPOG10),"")</f>
        <v/>
      </c>
      <c r="CG61" s="273">
        <v>10</v>
      </c>
      <c r="CI61" s="211" t="str">
        <f>IF(modelloAUTO10=$B$46,altezza10*DIECI/CEILING(VLOOKUP($B$46,tabMODELLI,COLcoefALTdogaSORMONTATAda200,FALSE),UNO)*pezzi10,"")</f>
        <v/>
      </c>
      <c r="CJ61" s="212" t="str">
        <f>IF(modelloAUTO10=$B$46,larghezza10*DIECI-VLOOKUP($B$46,tabMODELLI,COLcoeffTAGLIOdogaOPPURElastraINlarg,FALSE)-VLOOKUP(PROFlatAUTO10,TABprofLATten,COLcoeffCALOdoga,FALSE),"")</f>
        <v/>
      </c>
      <c r="CK61"/>
      <c r="CL61" s="203" t="str">
        <f>IF(modelloAUTO10=$B$46,IF(vernBarriera10="","STD",vernBarriera10),"")</f>
        <v/>
      </c>
      <c r="CM61" s="173"/>
      <c r="CN61" s="173"/>
      <c r="CO61"/>
      <c r="CP61"/>
      <c r="CQ61" s="216" t="str">
        <f>IF(modelloAUTO10=$B$46,pezzi10*DUE,"")</f>
        <v/>
      </c>
      <c r="CR61" s="212" t="str">
        <f>IF(modelloAUTO10=$B$46,altezza10*DIECI+VLOOKUP($B$46,tabMODELLI,COLcoeffTAGLIOPROFILIlateraliEverticaliAttaccatiALLAbarriera,FALSE),"")</f>
        <v/>
      </c>
      <c r="CS61"/>
      <c r="CT61" s="281"/>
      <c r="CU61" s="281"/>
      <c r="CV61"/>
      <c r="CW61" s="281"/>
      <c r="CX61" s="281"/>
      <c r="CY61" s="281"/>
      <c r="CZ61" s="281"/>
      <c r="DA61" s="281"/>
      <c r="DB61" s="281"/>
      <c r="DC61" s="281"/>
      <c r="DD61" s="281"/>
      <c r="DE61" s="281"/>
      <c r="DF61" s="281"/>
      <c r="DG61" s="281"/>
      <c r="DH61" s="281"/>
      <c r="DI61" s="281"/>
      <c r="DJ61" s="281"/>
      <c r="DK61"/>
      <c r="DL61"/>
      <c r="DM61" s="281"/>
      <c r="DN61" s="281"/>
      <c r="DO61" s="281"/>
      <c r="DP61" s="281"/>
      <c r="DQ61" s="281"/>
      <c r="DR61" s="281"/>
      <c r="DS61" s="281"/>
      <c r="DT61" s="281"/>
      <c r="DU61" s="281"/>
      <c r="DV61" s="281"/>
      <c r="DW61" s="281"/>
      <c r="DX61" s="281"/>
      <c r="DY61" s="281"/>
      <c r="DZ61" s="281"/>
      <c r="EA61" s="281"/>
      <c r="EB61" s="281"/>
      <c r="EC61" s="281"/>
      <c r="ED61" s="281"/>
      <c r="EE61" s="281"/>
      <c r="EF61" s="281"/>
      <c r="EG61" s="281"/>
      <c r="EH61" s="281"/>
      <c r="EI61" s="281"/>
      <c r="EJ61" s="281"/>
      <c r="EK61" s="281"/>
      <c r="EL61" s="281"/>
      <c r="EM61" s="218"/>
      <c r="EN61" s="179" t="str">
        <f>IF(modelloAUTO10=$B$46,IF(PROFlatRICH10="","STD",PROFlatRICH10),"")</f>
        <v/>
      </c>
      <c r="EO61" s="191" t="str">
        <f>IF(modelloAUTO10=$B$46,IF(PROFlatRICH10="",pezzi10*DUE*VLOOKUP($B$46,tabMODELLI,COLprofiliLATdiserie,FALSE),pezzi10*DUE),"")</f>
        <v/>
      </c>
      <c r="EP61" s="238" t="str">
        <f>IF(modelloAUTO10=$B$46,VLOOKUP($B$46,tabMODELLI,COLcoeffALTguarnINFERIOREschiacciata,FALSE)+(VLOOKUP($B$46,tabMODELLI,COLcoefALTdogaREALEda200,FALSE)+(VLOOKUP($B$46,tabMODELLI,COLcoefALTdogaSORMONTATAda200,FALSE)*(CEILING(altezza10*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1" s="218"/>
      <c r="ER61" s="218"/>
      <c r="ES61" s="218"/>
      <c r="ET61" s="218"/>
      <c r="EU61" s="276" t="str">
        <f ca="1">IF(OR(modelloAUTO10=$B$46,modelloAUTO10=CLICK_RAPIDxPRIVATO),INDEX(INDIRECT("TABnCHIAVISTELLOvert"&amp;$B$46),rif_alt10,rif_larg10)*pezzi10,"")</f>
        <v/>
      </c>
      <c r="EV61" s="443" t="str">
        <f ca="1">IF(AND(nCatenacci10&lt;&gt;"",profORIZZ10&lt;&gt;""),spessoreCATENACCIOverticale60X105X300,"")</f>
        <v/>
      </c>
      <c r="EW61" s="208" t="str">
        <f ca="1">IF(modelloAUTO10=$B$46,INDEX(INDIRECT("TABnMANIGLIEsuperiori"&amp;$B$46),rif_alt10,rif_larg10),"")</f>
        <v/>
      </c>
      <c r="EX61" s="243" t="str">
        <f ca="1">IF(modelloAUTO10=$B$46,(larghezza10-CATENACCIOLOorizzontaleINGOMBROclick_rapid-DUE)/INDEX(INDIRECT("TABnMANIGLIEsuperiori"&amp;$B$46),rif_alt10,rif_larg10),"")</f>
        <v/>
      </c>
      <c r="EZ61" s="209" t="str">
        <f ca="1">IF(modelloAUTO10=$B$46,INDEX(INDIRECT("TABnMANIGLIEfrontali"&amp;$B$46),rif_alt10,rif_larg10),"")</f>
        <v/>
      </c>
      <c r="FA61"/>
      <c r="FB61"/>
      <c r="FC61"/>
      <c r="FD61"/>
      <c r="FE61"/>
      <c r="FF61"/>
      <c r="FG61"/>
      <c r="FH61"/>
      <c r="FI61"/>
      <c r="FJ61"/>
      <c r="FK61"/>
      <c r="FL61"/>
      <c r="FM61"/>
      <c r="FN61"/>
      <c r="FO61"/>
      <c r="FP61"/>
      <c r="FQ61"/>
      <c r="FR61"/>
      <c r="FS61"/>
      <c r="FT61" s="241" t="str">
        <f ca="1">IF(OR(nCatenacci10=0,nCatenacci10="",),"",(CJ61+QUATTRO-(IF(nCatenacci10="",ZERO,SESSANTA*(nCatenacci10/PZCLICK_RAPID10))))/((nCatenacci10/PZCLICK_RAPID10)+UNO))</f>
        <v/>
      </c>
      <c r="FZ61"/>
      <c r="GA61"/>
      <c r="GB61"/>
      <c r="GI61" s="168">
        <v>10</v>
      </c>
      <c r="GJ61" s="204" t="str">
        <f>IF(modelloAUTO10=$B$46,IF(profORIZZ10="","",pezzi10),"")</f>
        <v/>
      </c>
      <c r="GK61" s="205" t="str">
        <f>IF(modelloAUTO10=$B$46,IF(profORIZZ10="","",CODpiattoORIZZsugg10),"")</f>
        <v/>
      </c>
      <c r="HM61" s="206" t="str">
        <f>IF(modelloAUTO10=$B$46,IF(profORIZZ10="","",larghezza10*DIECI+IF(PROFoTUBsxRICH10="",ZERO,VLOOKUP(PROFoTUBsxRICH10,TABprofOtubLATERALI,COLlargPROFoTUBlat,FALSE))+IF(PROFoTUBdxRICH10="",ZERO,VLOOKUP(PROFoTUBdxRICH10,TABprofOtubLATERALI,COLlargPROFoTUBlat,FALSE))),"")</f>
        <v/>
      </c>
      <c r="HO61"/>
      <c r="HQ61"/>
      <c r="HR61"/>
      <c r="HS61"/>
      <c r="HT61"/>
      <c r="HW61"/>
      <c r="II61" s="168">
        <v>10</v>
      </c>
      <c r="IJ61" s="210" t="str">
        <f>IF(modelloAUTO10=$B$46,IF(fornPIANTcentr10="","",fornPIANTcentr10*pezzi10),"")</f>
        <v/>
      </c>
      <c r="IK61" s="210" t="str">
        <f>IF(modelloAUTO10=$B$46,IF(fornPIANTcentr10="","",CODpiantCENTRsugg10),"")</f>
        <v/>
      </c>
      <c r="IM61" s="210" t="str">
        <f>IF(modelloAUTO10=$B$46,IF(CODpiantCENTRsuggAPPOG10="","",CODpiantCENTRdiAPPOGGIOrich10),"")</f>
        <v/>
      </c>
      <c r="IN61" s="210" t="str">
        <f>IF(modelloAUTO10=$B$46,IF(CODpiantCENTRsuggAPPOG10="","",CODpiantCENTRsuggAPPOG10),"")</f>
        <v/>
      </c>
      <c r="JS61" s="168">
        <v>10</v>
      </c>
      <c r="JT61" s="259"/>
      <c r="JU61" s="236"/>
      <c r="JV61" s="236"/>
      <c r="JY61" s="230" t="str">
        <f>IF(modelloAUTO10=$B$46,larghezza10*DIECI+VLOOKUP($B$46,tabMODELLI,COLcoefAUMlargBUSTApvc,FALSE)+VLOOKUP($B$46,tabMODELLI,COLcoefAUMlargXprofILIlateraliBUSTApvc,FALSE)+IF(PROFoTUBsxRICH10="",ZERO,VLOOKUP(PROFoTUBsxRICH10,TABprofOtubLATERALI,COLlargPROFoTUBlatXimballaggio,FALSE)+profELETTRODOsaldaturaPVC)+IF(PROFoTUBdxRICH10="",ZERO,VLOOKUP(PROFoTUBdxRICH10,TABprofOtubLATERALI,COLlargPROFoTUBlatXimballaggio,FALSE)+profELETTRODOsaldaturaPVC),"")</f>
        <v/>
      </c>
      <c r="JZ61" s="230" t="str">
        <f>IF(modelloAUTO10=$B$46,altezza10*DIECI*DUE+VLOOKUP($B$46,tabMODELLI,COLcoefAUMaltBUSTApvc,FALSE),"")</f>
        <v/>
      </c>
      <c r="KA61" s="261"/>
      <c r="KB61" s="230" t="str">
        <f>IF(modelloAUTO10=$B$46,altezza10*DIECI+VLOOKUP($B$46,tabMODELLI,COLcoeffSALDATURAinALTbustaPVC,FALSE),"")</f>
        <v/>
      </c>
      <c r="KC61" s="230" t="str">
        <f>IF(modelloAUTO10=$B$46,VLOOKUP($B$46,tabMODELLI,COLcoeffSALDATURAinLARGperTASCAbustaPVC,FALSE),"")</f>
        <v/>
      </c>
      <c r="KD61" s="230" t="str">
        <f>IF(modelloAUTO10=$B$46,IF(PROFoTUBsxRICH10="","",VLOOKUP(PROFoTUBsxRICH10,TABprofOtubLATERALI,COLlargPROFoTUBlatXimballaggio,FALSE)),"")</f>
        <v/>
      </c>
      <c r="KE61" s="230" t="str">
        <f>IF(modelloAUTO10=$B$46,IF(PROFoTUBdxRICH10="","",VLOOKUP(PROFoTUBdxRICH10,TABprofOtubLATERALI,COLlargPROFoTUBlatXimballaggio,FALSE)),"")</f>
        <v/>
      </c>
      <c r="KG61" s="262" t="str">
        <f>IF(modelloAUTO10=$B$46,pezzi10*DUE,"")</f>
        <v/>
      </c>
      <c r="KH61" s="263" t="str">
        <f>IF(modelloAUTO10=$B$46,larghezza10+VLOOKUP($B$46,tabMODELLI,COLcoeffAUMoCALOinLARGpolistirolo,FALSE),"")</f>
        <v/>
      </c>
      <c r="KI61" s="263" t="str">
        <f>IF(modelloAUTO10=$B$46,altezza10+VLOOKUP($B$46,tabMODELLI,COLcoeffAUMoCALOinALTpolistirolo,FALSE),"")</f>
        <v/>
      </c>
      <c r="KK61" s="262" t="str">
        <f>IF(modelloAUTO10=$B$46,pezzi10*DUE,"")</f>
        <v/>
      </c>
      <c r="KL61" s="263" t="str">
        <f>IF(modelloAUTO10=$B$46,larghezza10+VLOOKUP($B$46,tabMODELLI,colCOEFFdellaLARGnelFIANCOpolistirolo,FALSE),"")</f>
        <v/>
      </c>
      <c r="KM61" s="263" t="str">
        <f>IF(modelloAUTO10=$B$46,VLOOKUP($B$46,tabMODELLI,COLdimstdSTRISCIAdelFIANCOxALT1polistirolo,FALSE),"")</f>
        <v/>
      </c>
      <c r="KO61" s="262" t="str">
        <f>IF(modelloAUTO10=$B$46,pezzi10*DUE,"")</f>
        <v/>
      </c>
      <c r="KP61" s="263" t="str">
        <f>IF(modelloAUTO10=$B$46,altezza10+VLOOKUP($B$46,tabMODELLI,colCOEFFdellaALTnelFIANCOpolistirolo,FALSE),"")</f>
        <v/>
      </c>
      <c r="KQ61" s="263" t="str">
        <f>IF(modelloAUTO10=$B$46,VLOOKUP($B$46,tabMODELLI,COLdimstdSTRISCIAdelFIANCOxALT1polistirolo,FALSE),"")</f>
        <v/>
      </c>
      <c r="KR61" s="150">
        <v>1</v>
      </c>
      <c r="KY61" s="168">
        <v>10</v>
      </c>
      <c r="KZ61" s="448"/>
      <c r="LB61" s="234" t="str">
        <f t="shared" si="38"/>
        <v/>
      </c>
    </row>
    <row r="62" spans="1:331" s="150" customFormat="1" ht="35.25" customHeight="1" thickBot="1">
      <c r="A62" s="168">
        <v>11</v>
      </c>
      <c r="B62" s="260" t="str">
        <f>IF(modelloAUTO11=$B$46,stanza11,"")</f>
        <v/>
      </c>
      <c r="C62" s="170" t="str">
        <f>IF(modelloAUTO11="","",modelloAUTO11)</f>
        <v/>
      </c>
      <c r="D62" s="171" t="str">
        <f>IF(pezzi11="","",pezzi11)</f>
        <v/>
      </c>
      <c r="E62" s="172" t="str">
        <f>IF(larghezza11="","",LARGortogonalitaADEGUATA11)</f>
        <v/>
      </c>
      <c r="F62" s="173" t="str">
        <f>IF(altezza11="","",altezza11)</f>
        <v/>
      </c>
      <c r="G62" s="173"/>
      <c r="H62" s="173"/>
      <c r="I62" s="176" t="str">
        <f>IF(modelloAUTO11="","",IF(vernBarriera11="","",vernBarriera11))</f>
        <v/>
      </c>
      <c r="J62" s="177" t="str">
        <f>IF(modelloAUTO11=$B$46,IF(PELLICOLA11="","",pezzi11),"")</f>
        <v/>
      </c>
      <c r="K62" s="437"/>
      <c r="M62" s="179" t="str">
        <f>IF(modelloAUTO11=$B$46,IF(PROFlatAUTO11="ESCLUSI","",IF(PROFlatRICH11="","STD",PROFlatRICH11)),"")</f>
        <v/>
      </c>
      <c r="N62" s="176" t="str">
        <f>IF(modelloAUTO11="","",IF(copertina11="","",TIPOcopertina11))</f>
        <v/>
      </c>
      <c r="O62" s="196" t="str">
        <f>IF(AND(modelloAUTO11=$B$46,PROFlatAUTO11&lt;&gt;"ESCLUSI"),IF(ALTprofLATrich11="","STD",ALTprofLATrich11),"")</f>
        <v/>
      </c>
      <c r="P62" s="176" t="str">
        <f>IF(modelloAUTO11="","",IF(vernPROFlatTEN11="","",vernPROFlatTEN11))</f>
        <v/>
      </c>
      <c r="R62" s="176" t="str">
        <f>IF(PROFoTUBsxRICH11="","",PROFoTUBsxRICH11)</f>
        <v/>
      </c>
      <c r="S62" s="182"/>
      <c r="T62" s="176" t="str">
        <f>IF(modelloAUTO11="","",IF(PROFoTUBdxRICH11="","",PROFoTUBdxRICH11))</f>
        <v/>
      </c>
      <c r="U62" s="182"/>
      <c r="V62" s="183" t="str">
        <f>IF(modelloAUTO11="","",IF(PROFoTUBsxRICH11="","",IF(ALTprofOtubRICHsx11="","SX: STD","SX: "&amp;ALTprofOtubRICHsx11&amp;" - "))&amp;IF(PROFoTUBdxRICH11="","",IF(ALTprofOtubRICHdx11="","  DX: STD","DX :"&amp;ALTprofOtubRICHdx11)))</f>
        <v/>
      </c>
      <c r="W62" s="184" t="str">
        <f>IF(modello11="","",IF(vernPROFoTUBlatSX11="","","SX: "&amp;vernPROFoTUBlatSX11&amp;" - ")&amp;IF(vernPROFoTUBlatDX11="",""," DX: "&amp;vernPROFoTUBlatDX11))</f>
        <v/>
      </c>
      <c r="Y62" s="185" t="str">
        <f>IF(modelloAUTO11="","",IF(OR(larghezza11="",profORIZZ11=""),"",CODpiattoORIZZsugg11))</f>
        <v/>
      </c>
      <c r="Z62" s="186" t="str">
        <f>IF(modelloAUTO11="","",IF(profORIZZ11="","",larghezza11+IF(PROFoTUBsxRICH11="",0,VLOOKUP(PROFoTUBsxRICH11,TABprofOtubLATERALI,COLlargPROFoTUBlat,FALSE))+IF(PROFoTUBdxRICH11="",0,VLOOKUP(PROFoTUBdxRICH11,TABprofOtubLATERALI,COLlargPROFoTUBlat,FALSE))))</f>
        <v/>
      </c>
      <c r="AB62" s="187" t="str">
        <f>IF(modelloAUTO11="","",IF(CODpiantCENTRsugg11="","","N° "&amp;fornPIANTcentr11&amp;"-"&amp;IF(CODpiantCENTRsugg11=0,"ERRORE",CODpiantCENTRsugg11)))</f>
        <v/>
      </c>
      <c r="AC62" s="187" t="str">
        <f>IF(modelloAUTO11="","",IF(CODpiantCENTRsuggAPPOG11="","","N° "&amp;CODpiantCENTRdiAPPOGGIOrich11&amp;"-"&amp;IF(CODpiantCENTRsuggAPPOG11=0,"ERRORE",CODpiantCENTRsuggAPPOG11)))</f>
        <v/>
      </c>
      <c r="AE62" s="188" t="str">
        <f>IF(modelloAUTO11="","",IF(note_cliente11="","",note_cliente11))</f>
        <v/>
      </c>
      <c r="AF62" s="189" t="str">
        <f>IF(PesoTEORICOparatia11="","",PesoTEORICOparatia11)</f>
        <v/>
      </c>
      <c r="AG62" s="190">
        <v>11</v>
      </c>
      <c r="AI62" s="191" t="str">
        <f>IF(modelloAUTO11=$B$46,pezzi11*UNO,"")</f>
        <v/>
      </c>
      <c r="AJ62" s="438" t="str">
        <f>IF(modelloAUTO11=$B$46,larghezza11,"")</f>
        <v/>
      </c>
      <c r="AK62" s="212" t="str">
        <f>IF(modelloAUTO11=$B$46,altezza11,"")</f>
        <v/>
      </c>
      <c r="AL62" s="173"/>
      <c r="AM62" s="173"/>
      <c r="AN62" s="194"/>
      <c r="AO62"/>
      <c r="AQ62" s="439" t="str">
        <f>IF(modelloAUTO11=$B$46,IF(PROFlatRICH11="",pezzi11*DUE*VLOOKUP($B$46,tabMODELLI,COLprofiliLATdiserie,FALSE),pezzi11*DUE),"")</f>
        <v/>
      </c>
      <c r="AR62" s="179" t="str">
        <f>IF(modelloAUTO11=$B$46,IF(AND(VLOOKUP($B$46,tabMODELLI,COLprofiliLATdiserie,FALSE)=ZERO,PROFlatRICH11=""),"",IF(PROFlatAUTO11&lt;&gt;VLOOKUP($B$46,tabMODELLI,COLcodPROFILIlat,FALSE),PROFlatAUTO11,"STD")),"")</f>
        <v/>
      </c>
      <c r="AS62" s="196" t="str">
        <f>IF(AND(modelloAUTO11=$B$46,PROFlatAUTO11&lt;&gt;"ESCLUSI"),IF(ALTprofLATrich11="","STD",ALTprofLATrich11),"")</f>
        <v/>
      </c>
      <c r="AU62" s="272" t="str">
        <f>IF(modelloAUTO11=$B$46,IF(TIPOcopertina11="","",TIPOcopertina11),"")</f>
        <v/>
      </c>
      <c r="AW62" s="201" t="str">
        <f>IF(AND(modelloAUTO11=$B$46,PROFlatAUTO11&lt;&gt;"ESCLUSI"),IF(vernPROFlatTEN11="","OX ARGENTO",vernPROFlatTEN11),"")</f>
        <v/>
      </c>
      <c r="AY62" s="191" t="str">
        <f>IF(modelloAUTO11=$B$46,pezzi11*DUE,"")</f>
        <v/>
      </c>
      <c r="AZ62" s="278" t="str">
        <f>IF(modelloAUTO11=$B$46,IF(PROFoTUBsxRICH11="","",PROFoTUBsxRICH11),"")</f>
        <v/>
      </c>
      <c r="BA62" s="200" t="str">
        <f>IF(AND(modelloAUTO11=$B$46,PROFoTUBsxRICH11&lt;&gt;""),IF(ALTprofOtubRICHsx11="","STD",ALTprofOtubRICHsx11),"")</f>
        <v/>
      </c>
      <c r="BC62" s="201" t="str">
        <f>IF(modelloAUTO11=$B$46,IF(PROFoTUBsxRICH11="","",IF(vernPROFoTUBlatSX11="","OX ARGENTO",vernPROFoTUBlatSX11)),"")</f>
        <v/>
      </c>
      <c r="BE62" s="279" t="str">
        <f>IF(modelloAUTO11=$B$46,IF(PROFoTUBdxRICH11="","",PROFoTUBdxRICH11),"")</f>
        <v/>
      </c>
      <c r="BF62" s="200" t="str">
        <f>IF(AND(modelloAUTO11=$B$46,PROFoTUBdxRICH11&lt;&gt;""),IF(ALTprofOtubRICHdx11="","STD",ALTprofOtubRICHdx11),"")</f>
        <v/>
      </c>
      <c r="BH62" s="203" t="str">
        <f>IF(modelloAUTO11=$B$46,IF(PROFoTUBdxRICH11="","",IF(vernPROFoTUBlatDX11="","OX ARGENTO",vernPROFoTUBlatDX11)),"")</f>
        <v/>
      </c>
      <c r="BJ62" s="204" t="str">
        <f>IF(modelloAUTO11=$B$46,IF(profORIZZ11="","",pezzi11),"")</f>
        <v/>
      </c>
      <c r="BK62" s="205" t="str">
        <f>IF(modelloAUTO11=$B$46,IF(profORIZZ11="","",CODpiattoORIZZsugg11),"")</f>
        <v/>
      </c>
      <c r="BL62" s="206" t="str">
        <f>IF(modelloAUTO11=$B$46,IF(profORIZZ11="","",larghezza11*DIECI+IF(PROFoTUBsxRICH11="",ZERO,VLOOKUP(PROFoTUBsxRICH11,TABprofOtubLATERALI,COLlargPROFoTUBlat,FALSE))+IF(PROFoTUBdxRICH11="",ZERO,VLOOKUP(PROFoTUBdxRICH11,TABprofOtubLATERALI,COLlargPROFoTUBlat,FALSE))),"")</f>
        <v/>
      </c>
      <c r="BN62" s="207" t="str">
        <f ca="1">IF(modelloAUTO11=$B$46,INDEX(INDIRECT("TABnCHIAVISTELLOvert"&amp;$B$46),rif_alt11,rif_larg11)*pezzi11,"")</f>
        <v/>
      </c>
      <c r="BO62"/>
      <c r="BQ62" s="208" t="str">
        <f ca="1">IF(modelloAUTO11=$B$46,INDEX(INDIRECT("TABnMANIGLIEsuperiori"&amp;$B$46),rif_alt11,rif_larg11)+INDEX(INDIRECT("TABnMANIGLIEfrontali"&amp;$B$46),rif_alt11,rif_larg11),"")</f>
        <v/>
      </c>
      <c r="BR62" s="191" t="str">
        <f>IF(modelloAUTO11=$B$46,pezzi11*DUE,"")</f>
        <v/>
      </c>
      <c r="BS62" s="209" t="str">
        <f>IF(modelloAUTO11=$B$46,BQ62*DUE,"")</f>
        <v/>
      </c>
      <c r="BT62" s="209" t="str">
        <f>IF(modelloAUTO11=$B$46,BR62*TRE,"")</f>
        <v/>
      </c>
      <c r="BU62" s="441"/>
      <c r="BV62" s="441"/>
      <c r="BW62" s="441"/>
      <c r="BX62" s="441"/>
      <c r="BY62" s="441"/>
      <c r="CA62" s="210" t="str">
        <f>IF(modelloAUTO11=$B$46,IF(fornPIANTcentr11="","",fornPIANTcentr11*pezzi11),"")</f>
        <v/>
      </c>
      <c r="CB62" s="210" t="str">
        <f>IF(modelloAUTO11=$B$46,IF(fornPIANTcentr11="","",CODpiantCENTRsugg11),"")</f>
        <v/>
      </c>
      <c r="CD62" s="210" t="str">
        <f>IF(modelloAUTO11=$B$46,IF(CODpiantCENTRsuggAPPOG11="","",CODpiantCENTRdiAPPOGGIOrich11),"")</f>
        <v/>
      </c>
      <c r="CE62" s="210" t="str">
        <f>IF(modelloAUTO11=$B$46,IF(CODpiantCENTRsuggAPPOG11="","",CODpiantCENTRsuggAPPOG11),"")</f>
        <v/>
      </c>
      <c r="CG62" s="273">
        <v>11</v>
      </c>
      <c r="CI62" s="211" t="str">
        <f>IF(modelloAUTO11=$B$46,altezza11*DIECI/CEILING(VLOOKUP($B$46,tabMODELLI,COLcoefALTdogaSORMONTATAda200,FALSE),UNO)*pezzi11,"")</f>
        <v/>
      </c>
      <c r="CJ62" s="212" t="str">
        <f>IF(modelloAUTO11=$B$46,larghezza11*DIECI-VLOOKUP($B$46,tabMODELLI,COLcoeffTAGLIOdogaOPPURElastraINlarg,FALSE)-VLOOKUP(PROFlatAUTO11,TABprofLATten,COLcoeffCALOdoga,FALSE),"")</f>
        <v/>
      </c>
      <c r="CK62"/>
      <c r="CL62" s="203" t="str">
        <f>IF(modelloAUTO11=$B$46,IF(vernBarriera11="","STD",vernBarriera11),"")</f>
        <v/>
      </c>
      <c r="CM62" s="173"/>
      <c r="CN62" s="173"/>
      <c r="CO62"/>
      <c r="CP62"/>
      <c r="CQ62" s="216" t="str">
        <f>IF(modelloAUTO11=$B$46,pezzi11*DUE,"")</f>
        <v/>
      </c>
      <c r="CR62" s="212" t="str">
        <f>IF(modelloAUTO11=$B$46,altezza11*DIECI+VLOOKUP($B$46,tabMODELLI,COLcoeffTAGLIOPROFILIlateraliEverticaliAttaccatiALLAbarriera,FALSE),"")</f>
        <v/>
      </c>
      <c r="CS62"/>
      <c r="CT62" s="281"/>
      <c r="CU62" s="281"/>
      <c r="CV62"/>
      <c r="CW62" s="281"/>
      <c r="CX62" s="281"/>
      <c r="CY62" s="281"/>
      <c r="CZ62" s="281"/>
      <c r="DA62" s="281"/>
      <c r="DB62" s="281"/>
      <c r="DC62" s="281"/>
      <c r="DD62" s="281"/>
      <c r="DE62" s="281"/>
      <c r="DF62" s="281"/>
      <c r="DG62" s="281"/>
      <c r="DH62" s="281"/>
      <c r="DI62" s="281"/>
      <c r="DJ62" s="281"/>
      <c r="DK62"/>
      <c r="DL62"/>
      <c r="DM62" s="281"/>
      <c r="DN62" s="281"/>
      <c r="DO62" s="281"/>
      <c r="DP62" s="281"/>
      <c r="DQ62" s="281"/>
      <c r="DR62" s="281"/>
      <c r="DS62" s="281"/>
      <c r="DT62" s="281"/>
      <c r="DU62" s="281"/>
      <c r="DV62" s="281"/>
      <c r="DW62" s="281"/>
      <c r="DX62" s="281"/>
      <c r="DY62" s="281"/>
      <c r="DZ62" s="281"/>
      <c r="EA62" s="281"/>
      <c r="EB62" s="281"/>
      <c r="EC62" s="281"/>
      <c r="ED62" s="281"/>
      <c r="EE62" s="281"/>
      <c r="EF62" s="281"/>
      <c r="EG62" s="281"/>
      <c r="EH62" s="281"/>
      <c r="EI62" s="281"/>
      <c r="EJ62" s="281"/>
      <c r="EK62" s="281"/>
      <c r="EL62" s="281"/>
      <c r="EM62" s="218"/>
      <c r="EN62" s="179" t="str">
        <f>IF(modelloAUTO11=$B$46,IF(PROFlatRICH11="","STD",PROFlatRICH11),"")</f>
        <v/>
      </c>
      <c r="EO62" s="191" t="str">
        <f>IF(modelloAUTO11=$B$46,IF(PROFlatRICH11="",pezzi11*DUE*VLOOKUP($B$46,tabMODELLI,COLprofiliLATdiserie,FALSE),pezzi11*DUE),"")</f>
        <v/>
      </c>
      <c r="EP62" s="238" t="str">
        <f>IF(modelloAUTO11=$B$46,VLOOKUP($B$46,tabMODELLI,COLcoeffALTguarnINFERIOREschiacciata,FALSE)+(VLOOKUP($B$46,tabMODELLI,COLcoefALTdogaREALEda200,FALSE)+(VLOOKUP($B$46,tabMODELLI,COLcoefALTdogaSORMONTATAda200,FALSE)*(CEILING(altezza11*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2" s="218"/>
      <c r="ER62" s="218"/>
      <c r="ES62" s="218"/>
      <c r="ET62" s="218"/>
      <c r="EU62" s="276" t="str">
        <f ca="1">IF(OR(modelloAUTO11=$B$46,modelloAUTO11=CLICK_RAPIDxPRIVATO),INDEX(INDIRECT("TABnCHIAVISTELLOvert"&amp;$B$46),rif_alt11,rif_larg11)*pezzi11,"")</f>
        <v/>
      </c>
      <c r="EV62" s="443" t="str">
        <f ca="1">IF(AND(nCatenacci11&lt;&gt;"",profORIZZ11&lt;&gt;""),spessoreCATENACCIOverticale60X115X300,"")</f>
        <v/>
      </c>
      <c r="EW62" s="208" t="str">
        <f ca="1">IF(modelloAUTO11=$B$46,INDEX(INDIRECT("TABnMANIGLIEsuperiori"&amp;$B$46),rif_alt11,rif_larg11),"")</f>
        <v/>
      </c>
      <c r="EX62" s="243" t="str">
        <f ca="1">IF(modelloAUTO11=$B$46,(larghezza11-CATENACCIOLOorizzontaleINGOMBROclick_rapid-DUE)/INDEX(INDIRECT("TABnMANIGLIEsuperiori"&amp;$B$46),rif_alt11,rif_larg11),"")</f>
        <v/>
      </c>
      <c r="EZ62" s="209" t="str">
        <f ca="1">IF(modelloAUTO11=$B$46,INDEX(INDIRECT("TABnMANIGLIEfrontali"&amp;$B$46),rif_alt11,rif_larg11),"")</f>
        <v/>
      </c>
      <c r="FA62"/>
      <c r="FB62"/>
      <c r="FC62"/>
      <c r="FD62"/>
      <c r="FE62"/>
      <c r="FF62"/>
      <c r="FG62"/>
      <c r="FH62"/>
      <c r="FI62"/>
      <c r="FJ62"/>
      <c r="FK62"/>
      <c r="FL62"/>
      <c r="FM62"/>
      <c r="FN62"/>
      <c r="FO62"/>
      <c r="FP62"/>
      <c r="FQ62"/>
      <c r="FR62"/>
      <c r="FS62"/>
      <c r="FT62" s="241" t="str">
        <f ca="1">IF(OR(nCatenacci11=0,nCatenacci11="",),"",(CJ62+QUATTRO-(IF(nCatenacci11="",ZERO,SESSANTA*(nCatenacci11/PZCLICK_RAPID11))))/((nCatenacci11/PZCLICK_RAPID11)+UNO))</f>
        <v/>
      </c>
      <c r="FZ62"/>
      <c r="GA62"/>
      <c r="GB62"/>
      <c r="GI62" s="168">
        <v>11</v>
      </c>
      <c r="GJ62" s="204" t="str">
        <f>IF(modelloAUTO11=$B$46,IF(profORIZZ11="","",pezzi11),"")</f>
        <v/>
      </c>
      <c r="GK62" s="205" t="str">
        <f>IF(modelloAUTO11=$B$46,IF(profORIZZ11="","",CODpiattoORIZZsugg11),"")</f>
        <v/>
      </c>
      <c r="HM62" s="206" t="str">
        <f>IF(modelloAUTO11=$B$46,IF(profORIZZ11="","",larghezza11*DIECI+IF(PROFoTUBsxRICH11="",ZERO,VLOOKUP(PROFoTUBsxRICH11,TABprofOtubLATERALI,COLlargPROFoTUBlat,FALSE))+IF(PROFoTUBdxRICH11="",ZERO,VLOOKUP(PROFoTUBdxRICH11,TABprofOtubLATERALI,COLlargPROFoTUBlat,FALSE))),"")</f>
        <v/>
      </c>
      <c r="HO62"/>
      <c r="HQ62"/>
      <c r="HR62"/>
      <c r="HS62"/>
      <c r="HT62"/>
      <c r="HW62"/>
      <c r="II62" s="168">
        <v>11</v>
      </c>
      <c r="IJ62" s="210" t="str">
        <f>IF(modelloAUTO11=$B$46,IF(fornPIANTcentr11="","",fornPIANTcentr11*pezzi11),"")</f>
        <v/>
      </c>
      <c r="IK62" s="210" t="str">
        <f>IF(modelloAUTO11=$B$46,IF(fornPIANTcentr11="","",CODpiantCENTRsugg11),"")</f>
        <v/>
      </c>
      <c r="IM62" s="210" t="str">
        <f>IF(modelloAUTO11=$B$46,IF(CODpiantCENTRsuggAPPOG11="","",CODpiantCENTRdiAPPOGGIOrich11),"")</f>
        <v/>
      </c>
      <c r="IN62" s="210" t="str">
        <f>IF(modelloAUTO11=$B$46,IF(CODpiantCENTRsuggAPPOG11="","",CODpiantCENTRsuggAPPOG11),"")</f>
        <v/>
      </c>
      <c r="JS62" s="168">
        <v>11</v>
      </c>
      <c r="JT62" s="259"/>
      <c r="JU62" s="236"/>
      <c r="JV62" s="236"/>
      <c r="JY62" s="230" t="str">
        <f>IF(modelloAUTO11=$B$46,larghezza11*DIECI+VLOOKUP($B$46,tabMODELLI,COLcoefAUMlargBUSTApvc,FALSE)+VLOOKUP($B$46,tabMODELLI,COLcoefAUMlargXprofILIlateraliBUSTApvc,FALSE)+IF(PROFoTUBsxRICH11="",ZERO,VLOOKUP(PROFoTUBsxRICH11,TABprofOtubLATERALI,COLlargPROFoTUBlatXimballaggio,FALSE)+profELETTRODOsaldaturaPVC)+IF(PROFoTUBdxRICH11="",ZERO,VLOOKUP(PROFoTUBdxRICH11,TABprofOtubLATERALI,COLlargPROFoTUBlatXimballaggio,FALSE)+profELETTRODOsaldaturaPVC),"")</f>
        <v/>
      </c>
      <c r="JZ62" s="230" t="str">
        <f>IF(modelloAUTO11=$B$46,altezza11*DIECI*DUE+VLOOKUP($B$46,tabMODELLI,COLcoefAUMaltBUSTApvc,FALSE),"")</f>
        <v/>
      </c>
      <c r="KA62" s="261"/>
      <c r="KB62" s="230" t="str">
        <f>IF(modelloAUTO11=$B$46,altezza11*DIECI+VLOOKUP($B$46,tabMODELLI,COLcoeffSALDATURAinALTbustaPVC,FALSE),"")</f>
        <v/>
      </c>
      <c r="KC62" s="230" t="str">
        <f>IF(modelloAUTO11=$B$46,VLOOKUP($B$46,tabMODELLI,COLcoeffSALDATURAinLARGperTASCAbustaPVC,FALSE),"")</f>
        <v/>
      </c>
      <c r="KD62" s="230" t="str">
        <f>IF(modelloAUTO11=$B$46,IF(PROFoTUBsxRICH11="","",VLOOKUP(PROFoTUBsxRICH11,TABprofOtubLATERALI,COLlargPROFoTUBlatXimballaggio,FALSE)),"")</f>
        <v/>
      </c>
      <c r="KE62" s="230" t="str">
        <f>IF(modelloAUTO11=$B$46,IF(PROFoTUBdxRICH11="","",VLOOKUP(PROFoTUBdxRICH11,TABprofOtubLATERALI,COLlargPROFoTUBlatXimballaggio,FALSE)),"")</f>
        <v/>
      </c>
      <c r="KG62" s="262" t="str">
        <f>IF(modelloAUTO11=$B$46,pezzi11*DUE,"")</f>
        <v/>
      </c>
      <c r="KH62" s="263" t="str">
        <f>IF(modelloAUTO11=$B$46,larghezza11+VLOOKUP($B$46,tabMODELLI,COLcoeffAUMoCALOinLARGpolistirolo,FALSE),"")</f>
        <v/>
      </c>
      <c r="KI62" s="263" t="str">
        <f>IF(modelloAUTO11=$B$46,altezza11+VLOOKUP($B$46,tabMODELLI,COLcoeffAUMoCALOinALTpolistirolo,FALSE),"")</f>
        <v/>
      </c>
      <c r="KK62" s="262" t="str">
        <f>IF(modelloAUTO11=$B$46,pezzi11*DUE,"")</f>
        <v/>
      </c>
      <c r="KL62" s="263" t="str">
        <f>IF(modelloAUTO11=$B$46,larghezza11+VLOOKUP($B$46,tabMODELLI,colCOEFFdellaLARGnelFIANCOpolistirolo,FALSE),"")</f>
        <v/>
      </c>
      <c r="KM62" s="263" t="str">
        <f>IF(modelloAUTO11=$B$46,VLOOKUP($B$46,tabMODELLI,COLdimstdSTRISCIAdelFIANCOxALT1polistirolo,FALSE),"")</f>
        <v/>
      </c>
      <c r="KO62" s="262" t="str">
        <f>IF(modelloAUTO11=$B$46,pezzi11*DUE,"")</f>
        <v/>
      </c>
      <c r="KP62" s="263" t="str">
        <f>IF(modelloAUTO11=$B$46,altezza11+VLOOKUP($B$46,tabMODELLI,colCOEFFdellaALTnelFIANCOpolistirolo,FALSE),"")</f>
        <v/>
      </c>
      <c r="KQ62" s="263" t="str">
        <f>IF(modelloAUTO11=$B$46,VLOOKUP($B$46,tabMODELLI,COLdimstdSTRISCIAdelFIANCOxALT1polistirolo,FALSE),"")</f>
        <v/>
      </c>
      <c r="KR62" s="150">
        <v>1</v>
      </c>
      <c r="KY62" s="168">
        <v>11</v>
      </c>
      <c r="KZ62" s="448"/>
      <c r="LB62" s="234" t="str">
        <f t="shared" si="38"/>
        <v/>
      </c>
    </row>
    <row r="63" spans="1:331" s="150" customFormat="1" ht="33" thickBot="1">
      <c r="A63" s="168">
        <v>12</v>
      </c>
      <c r="B63" s="260" t="str">
        <f>IF(modelloAUTO12=$B$46,stanza12,"")</f>
        <v/>
      </c>
      <c r="C63" s="170" t="str">
        <f>IF(modelloAUTO12="","",modelloAUTO12)</f>
        <v/>
      </c>
      <c r="D63" s="171" t="str">
        <f>IF(pezzi12="","",pezzi12)</f>
        <v/>
      </c>
      <c r="E63" s="172" t="str">
        <f>IF(larghezza12="","",LARGortogonalitaADEGUATA12)</f>
        <v/>
      </c>
      <c r="F63" s="173" t="str">
        <f>IF(altezza12="","",altezza12)</f>
        <v/>
      </c>
      <c r="G63" s="173"/>
      <c r="H63" s="173"/>
      <c r="I63" s="176" t="str">
        <f>IF(modelloAUTO12="","",IF(vernBarriera12="","",vernBarriera12))</f>
        <v/>
      </c>
      <c r="J63" s="177" t="str">
        <f>IF(modelloAUTO12=$B$46,IF(PELLICOLA12="","",pezzi12),"")</f>
        <v/>
      </c>
      <c r="K63" s="437"/>
      <c r="M63" s="179" t="str">
        <f>IF(modelloAUTO12=$B$46,IF(PROFlatAUTO12="ESCLUSI","",IF(PROFlatRICH12="","STD",PROFlatRICH12)),"")</f>
        <v/>
      </c>
      <c r="N63" s="176" t="str">
        <f>IF(modelloAUTO12="","",IF(copertina12="","",TIPOcopertina12))</f>
        <v/>
      </c>
      <c r="O63" s="196" t="str">
        <f>IF(AND(modelloAUTO12=$B$46,PROFlatAUTO12&lt;&gt;"ESCLUSI"),IF(ALTprofLATrich12="","STD",ALTprofLATrich12),"")</f>
        <v/>
      </c>
      <c r="P63" s="176" t="str">
        <f>IF(modelloAUTO12="","",IF(vernPROFlatTEN12="","",vernPROFlatTEN12))</f>
        <v/>
      </c>
      <c r="R63" s="176" t="str">
        <f>IF(PROFoTUBsxRICH12="","",PROFoTUBsxRICH12)</f>
        <v/>
      </c>
      <c r="S63" s="182"/>
      <c r="T63" s="176" t="str">
        <f>IF(modelloAUTO12="","",IF(PROFoTUBdxRICH12="","",PROFoTUBdxRICH12))</f>
        <v/>
      </c>
      <c r="U63" s="182"/>
      <c r="V63" s="183" t="str">
        <f>IF(modelloAUTO12="","",IF(PROFoTUBsxRICH12="","",IF(ALTprofOtubRICHsx12="","SX: STD","SX: "&amp;ALTprofOtubRICHsx12&amp;" - "))&amp;IF(PROFoTUBdxRICH12="","",IF(ALTprofOtubRICHdx12="","  DX: STD","DX :"&amp;ALTprofOtubRICHdx12)))</f>
        <v/>
      </c>
      <c r="W63" s="184" t="str">
        <f>IF(modello12="","",IF(vernPROFoTUBlatSX12="","","SX: "&amp;vernPROFoTUBlatSX12&amp;" - ")&amp;IF(vernPROFoTUBlatDX12="",""," DX: "&amp;vernPROFoTUBlatDX12))</f>
        <v/>
      </c>
      <c r="Y63" s="185" t="str">
        <f>IF(modelloAUTO12="","",IF(OR(larghezza12="",profORIZZ12=""),"",CODpiattoORIZZsugg12))</f>
        <v/>
      </c>
      <c r="Z63" s="186" t="str">
        <f>IF(modelloAUTO12="","",IF(profORIZZ12="","",larghezza12+IF(PROFoTUBsxRICH12="",0,VLOOKUP(PROFoTUBsxRICH12,TABprofOtubLATERALI,COLlargPROFoTUBlat,FALSE))+IF(PROFoTUBdxRICH12="",0,VLOOKUP(PROFoTUBdxRICH12,TABprofOtubLATERALI,COLlargPROFoTUBlat,FALSE))))</f>
        <v/>
      </c>
      <c r="AB63" s="187" t="str">
        <f>IF(modelloAUTO12="","",IF(CODpiantCENTRsugg12="","","N° "&amp;fornPIANTcentr12&amp;"-"&amp;IF(CODpiantCENTRsugg12=0,"ERRORE",CODpiantCENTRsugg12)))</f>
        <v/>
      </c>
      <c r="AC63" s="187" t="str">
        <f>IF(modelloAUTO12="","",IF(CODpiantCENTRsuggAPPOG12="","","N° "&amp;CODpiantCENTRdiAPPOGGIOrich12&amp;"-"&amp;IF(CODpiantCENTRsuggAPPOG12=0,"ERRORE",CODpiantCENTRsuggAPPOG12)))</f>
        <v/>
      </c>
      <c r="AE63" s="188" t="str">
        <f>IF(modelloAUTO12="","",IF(note_cliente12="","",note_cliente12))</f>
        <v/>
      </c>
      <c r="AF63" s="189" t="str">
        <f>IF(PesoTEORICOparatia12="","",PesoTEORICOparatia12)</f>
        <v/>
      </c>
      <c r="AG63" s="190">
        <v>12</v>
      </c>
      <c r="AI63" s="191" t="str">
        <f>IF(modelloAUTO12=$B$46,pezzi12*UNO,"")</f>
        <v/>
      </c>
      <c r="AJ63" s="438" t="str">
        <f>IF(modelloAUTO12=$B$46,larghezza12,"")</f>
        <v/>
      </c>
      <c r="AK63" s="212" t="str">
        <f>IF(modelloAUTO12=$B$46,altezza12,"")</f>
        <v/>
      </c>
      <c r="AL63" s="173"/>
      <c r="AM63" s="173"/>
      <c r="AN63" s="194"/>
      <c r="AO63"/>
      <c r="AQ63" s="439" t="str">
        <f>IF(modelloAUTO12=$B$46,IF(PROFlatRICH12="",pezzi12*DUE*VLOOKUP($B$46,tabMODELLI,COLprofiliLATdiserie,FALSE),pezzi12*DUE),"")</f>
        <v/>
      </c>
      <c r="AR63" s="179" t="str">
        <f>IF(modelloAUTO12=$B$46,IF(AND(VLOOKUP($B$46,tabMODELLI,COLprofiliLATdiserie,FALSE)=ZERO,PROFlatRICH12=""),"",IF(PROFlatAUTO12&lt;&gt;VLOOKUP($B$46,tabMODELLI,COLcodPROFILIlat,FALSE),PROFlatAUTO12,"STD")),"")</f>
        <v/>
      </c>
      <c r="AS63" s="196" t="str">
        <f>IF(AND(modelloAUTO12=$B$46,PROFlatAUTO12&lt;&gt;"ESCLUSI"),IF(ALTprofLATrich12="","STD",ALTprofLATrich12),"")</f>
        <v/>
      </c>
      <c r="AU63" s="272" t="str">
        <f>IF(modelloAUTO12=$B$46,IF(TIPOcopertina12="","",TIPOcopertina12),"")</f>
        <v/>
      </c>
      <c r="AW63" s="201" t="str">
        <f>IF(AND(modelloAUTO12=$B$46,PROFlatAUTO12&lt;&gt;"ESCLUSI"),IF(vernPROFlatTEN12="","OX ARGENTO",vernPROFlatTEN12),"")</f>
        <v/>
      </c>
      <c r="AY63" s="191" t="str">
        <f>IF(modelloAUTO12=$B$46,pezzi12*DUE,"")</f>
        <v/>
      </c>
      <c r="AZ63" s="278" t="str">
        <f>IF(modelloAUTO12=$B$46,IF(PROFoTUBsxRICH12="","",PROFoTUBsxRICH12),"")</f>
        <v/>
      </c>
      <c r="BA63" s="200" t="str">
        <f>IF(AND(modelloAUTO12=$B$46,PROFoTUBsxRICH12&lt;&gt;""),IF(ALTprofOtubRICHsx12="","STD",ALTprofOtubRICHsx12),"")</f>
        <v/>
      </c>
      <c r="BC63" s="201" t="str">
        <f>IF(modelloAUTO12=$B$46,IF(PROFoTUBsxRICH12="","",IF(vernPROFoTUBlatSX12="","OX ARGENTO",vernPROFoTUBlatSX12)),"")</f>
        <v/>
      </c>
      <c r="BE63" s="279" t="str">
        <f>IF(modelloAUTO12=$B$46,IF(PROFoTUBdxRICH12="","",PROFoTUBdxRICH12),"")</f>
        <v/>
      </c>
      <c r="BF63" s="200" t="str">
        <f>IF(AND(modelloAUTO12=$B$46,PROFoTUBdxRICH12&lt;&gt;""),IF(ALTprofOtubRICHdx12="","STD",ALTprofOtubRICHdx12),"")</f>
        <v/>
      </c>
      <c r="BH63" s="203" t="str">
        <f>IF(modelloAUTO12=$B$46,IF(PROFoTUBdxRICH12="","",IF(vernPROFoTUBlatDX12="","OX ARGENTO",vernPROFoTUBlatDX12)),"")</f>
        <v/>
      </c>
      <c r="BJ63" s="204" t="str">
        <f>IF(modelloAUTO12=$B$46,IF(profORIZZ12="","",pezzi12),"")</f>
        <v/>
      </c>
      <c r="BK63" s="205" t="str">
        <f>IF(modelloAUTO12=$B$46,IF(profORIZZ12="","",CODpiattoORIZZsugg12),"")</f>
        <v/>
      </c>
      <c r="BL63" s="206" t="str">
        <f>IF(modelloAUTO12=$B$46,IF(profORIZZ12="","",larghezza12*DIECI+IF(PROFoTUBsxRICH12="",ZERO,VLOOKUP(PROFoTUBsxRICH12,TABprofOtubLATERALI,COLlargPROFoTUBlat,FALSE))+IF(PROFoTUBdxRICH12="",ZERO,VLOOKUP(PROFoTUBdxRICH12,TABprofOtubLATERALI,COLlargPROFoTUBlat,FALSE))),"")</f>
        <v/>
      </c>
      <c r="BN63" s="207" t="str">
        <f ca="1">IF(modelloAUTO12=$B$46,INDEX(INDIRECT("TABnCHIAVISTELLOvert"&amp;$B$46),rif_alt12,rif_larg12)*pezzi12,"")</f>
        <v/>
      </c>
      <c r="BO63"/>
      <c r="BQ63" s="208" t="str">
        <f ca="1">IF(modelloAUTO12=$B$46,INDEX(INDIRECT("TABnMANIGLIEsuperiori"&amp;$B$46),rif_alt12,rif_larg12)+INDEX(INDIRECT("TABnMANIGLIEfrontali"&amp;$B$46),rif_alt12,rif_larg12),"")</f>
        <v/>
      </c>
      <c r="BR63" s="191" t="str">
        <f>IF(modelloAUTO12=$B$46,pezzi12*DUE,"")</f>
        <v/>
      </c>
      <c r="BS63" s="209" t="str">
        <f>IF(modelloAUTO12=$B$46,BQ63*DUE,"")</f>
        <v/>
      </c>
      <c r="BT63" s="209" t="str">
        <f>IF(modelloAUTO12=$B$46,BR63*TRE,"")</f>
        <v/>
      </c>
      <c r="BU63" s="441"/>
      <c r="BV63" s="441"/>
      <c r="BW63" s="441"/>
      <c r="BX63" s="441"/>
      <c r="BY63" s="441"/>
      <c r="CA63" s="210" t="str">
        <f>IF(modelloAUTO12=$B$46,IF(fornPIANTcentr12="","",fornPIANTcentr12*pezzi12),"")</f>
        <v/>
      </c>
      <c r="CB63" s="210" t="str">
        <f>IF(modelloAUTO12=$B$46,IF(fornPIANTcentr12="","",CODpiantCENTRsugg12),"")</f>
        <v/>
      </c>
      <c r="CD63" s="210" t="str">
        <f>IF(modelloAUTO12=$B$46,IF(CODpiantCENTRsuggAPPOG12="","",CODpiantCENTRdiAPPOGGIOrich12),"")</f>
        <v/>
      </c>
      <c r="CE63" s="210" t="str">
        <f>IF(modelloAUTO12=$B$46,IF(CODpiantCENTRsuggAPPOG12="","",CODpiantCENTRsuggAPPOG12),"")</f>
        <v/>
      </c>
      <c r="CG63" s="273">
        <v>12</v>
      </c>
      <c r="CI63" s="211" t="str">
        <f>IF(modelloAUTO12=$B$46,altezza12*DIECI/CEILING(VLOOKUP($B$46,tabMODELLI,COLcoefALTdogaSORMONTATAda200,FALSE),UNO)*pezzi12,"")</f>
        <v/>
      </c>
      <c r="CJ63" s="212" t="str">
        <f>IF(modelloAUTO12=$B$46,larghezza12*DIECI-VLOOKUP($B$46,tabMODELLI,COLcoeffTAGLIOdogaOPPURElastraINlarg,FALSE)-VLOOKUP(PROFlatAUTO12,TABprofLATten,COLcoeffCALOdoga,FALSE),"")</f>
        <v/>
      </c>
      <c r="CK63"/>
      <c r="CL63" s="203" t="str">
        <f>IF(modelloAUTO12=$B$46,IF(vernBarriera12="","STD",vernBarriera12),"")</f>
        <v/>
      </c>
      <c r="CM63" s="173"/>
      <c r="CN63" s="173"/>
      <c r="CO63"/>
      <c r="CP63"/>
      <c r="CQ63" s="216" t="str">
        <f>IF(modelloAUTO12=$B$46,pezzi12*DUE,"")</f>
        <v/>
      </c>
      <c r="CR63" s="212" t="str">
        <f>IF(modelloAUTO12=$B$46,altezza12*DIECI+VLOOKUP($B$46,tabMODELLI,COLcoeffTAGLIOPROFILIlateraliEverticaliAttaccatiALLAbarriera,FALSE),"")</f>
        <v/>
      </c>
      <c r="CS63"/>
      <c r="CT63" s="281"/>
      <c r="CU63" s="281"/>
      <c r="CV63"/>
      <c r="CW63" s="281"/>
      <c r="CX63" s="281"/>
      <c r="CY63" s="281"/>
      <c r="CZ63" s="281"/>
      <c r="DA63" s="281"/>
      <c r="DB63" s="281"/>
      <c r="DC63" s="281"/>
      <c r="DD63" s="281"/>
      <c r="DE63" s="281"/>
      <c r="DF63" s="281"/>
      <c r="DG63" s="281"/>
      <c r="DH63" s="281"/>
      <c r="DI63" s="281"/>
      <c r="DJ63" s="281"/>
      <c r="DK63"/>
      <c r="DL63"/>
      <c r="DM63" s="281"/>
      <c r="DN63" s="281"/>
      <c r="DO63" s="281"/>
      <c r="DP63" s="281"/>
      <c r="DQ63" s="281"/>
      <c r="DR63" s="281"/>
      <c r="DS63" s="281"/>
      <c r="DT63" s="281"/>
      <c r="DU63" s="281"/>
      <c r="DV63" s="281"/>
      <c r="DW63" s="281"/>
      <c r="DX63" s="281"/>
      <c r="DY63" s="281"/>
      <c r="DZ63" s="281"/>
      <c r="EA63" s="281"/>
      <c r="EB63" s="281"/>
      <c r="EC63" s="281"/>
      <c r="ED63" s="281"/>
      <c r="EE63" s="281"/>
      <c r="EF63" s="281"/>
      <c r="EG63" s="281"/>
      <c r="EH63" s="281"/>
      <c r="EI63" s="281"/>
      <c r="EJ63" s="281"/>
      <c r="EK63" s="281"/>
      <c r="EL63" s="281"/>
      <c r="EM63" s="218"/>
      <c r="EN63" s="179" t="str">
        <f>IF(modelloAUTO12=$B$46,IF(PROFlatRICH12="","STD",PROFlatRICH12),"")</f>
        <v/>
      </c>
      <c r="EO63" s="191" t="str">
        <f>IF(modelloAUTO12=$B$46,IF(PROFlatRICH12="",pezzi12*DUE*VLOOKUP($B$46,tabMODELLI,COLprofiliLATdiserie,FALSE),pezzi12*DUE),"")</f>
        <v/>
      </c>
      <c r="EP63" s="238" t="str">
        <f>IF(modelloAUTO12=$B$46,VLOOKUP($B$46,tabMODELLI,COLcoeffALTguarnINFERIOREschiacciata,FALSE)+(VLOOKUP($B$46,tabMODELLI,COLcoefALTdogaREALEda200,FALSE)+(VLOOKUP($B$46,tabMODELLI,COLcoefALTdogaSORMONTATAda200,FALSE)*(CEILING(altezza12*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3" s="218"/>
      <c r="ER63" s="218"/>
      <c r="ES63" s="218"/>
      <c r="ET63" s="218"/>
      <c r="EU63" s="276" t="str">
        <f ca="1">IF(OR(modelloAUTO12=$B$46,modelloAUTO12=CLICK_RAPIDxPRIVATO),INDEX(INDIRECT("TABnCHIAVISTELLOvert"&amp;$B$46),rif_alt12,rif_larg12)*pezzi12,"")</f>
        <v/>
      </c>
      <c r="EV63" s="443" t="str">
        <f ca="1">IF(AND(nCatenacci12&lt;&gt;"",profORIZZ12&lt;&gt;""),spessoreCATENACCIOverticale60X125X300,"")</f>
        <v/>
      </c>
      <c r="EW63" s="208" t="str">
        <f ca="1">IF(modelloAUTO12=$B$46,INDEX(INDIRECT("TABnMANIGLIEsuperiori"&amp;$B$46),rif_alt12,rif_larg12),"")</f>
        <v/>
      </c>
      <c r="EX63" s="243" t="str">
        <f ca="1">IF(modelloAUTO12=$B$46,(larghezza12-CATENACCIOLOorizzontaleINGOMBROclick_rapid-DUE)/INDEX(INDIRECT("TABnMANIGLIEsuperiori"&amp;$B$46),rif_alt12,rif_larg12),"")</f>
        <v/>
      </c>
      <c r="EZ63" s="209" t="str">
        <f ca="1">IF(modelloAUTO12=$B$46,INDEX(INDIRECT("TABnMANIGLIEfrontali"&amp;$B$46),rif_alt12,rif_larg12),"")</f>
        <v/>
      </c>
      <c r="FA63"/>
      <c r="FB63"/>
      <c r="FC63"/>
      <c r="FD63"/>
      <c r="FE63"/>
      <c r="FF63"/>
      <c r="FG63"/>
      <c r="FH63"/>
      <c r="FI63"/>
      <c r="FJ63"/>
      <c r="FK63"/>
      <c r="FL63"/>
      <c r="FM63"/>
      <c r="FN63"/>
      <c r="FO63"/>
      <c r="FP63"/>
      <c r="FQ63"/>
      <c r="FR63"/>
      <c r="FS63"/>
      <c r="FT63" s="241" t="str">
        <f ca="1">IF(OR(nCatenacci12=0,nCatenacci12="",),"",(CJ63+QUATTRO-(IF(nCatenacci12="",ZERO,SESSANTA*(nCatenacci12/PZCLICK_RAPID12))))/((nCatenacci12/PZCLICK_RAPID12)+UNO))</f>
        <v/>
      </c>
      <c r="FZ63"/>
      <c r="GA63"/>
      <c r="GB63"/>
      <c r="GI63" s="168">
        <v>12</v>
      </c>
      <c r="GJ63" s="204" t="str">
        <f>IF(modelloAUTO12=$B$46,IF(profORIZZ12="","",pezzi12),"")</f>
        <v/>
      </c>
      <c r="GK63" s="205" t="str">
        <f>IF(modelloAUTO12=$B$46,IF(profORIZZ12="","",CODpiattoORIZZsugg12),"")</f>
        <v/>
      </c>
      <c r="HM63" s="206" t="str">
        <f>IF(modelloAUTO12=$B$46,IF(profORIZZ12="","",larghezza12*DIECI+IF(PROFoTUBsxRICH12="",ZERO,VLOOKUP(PROFoTUBsxRICH12,TABprofOtubLATERALI,COLlargPROFoTUBlat,FALSE))+IF(PROFoTUBdxRICH12="",ZERO,VLOOKUP(PROFoTUBdxRICH12,TABprofOtubLATERALI,COLlargPROFoTUBlat,FALSE))),"")</f>
        <v/>
      </c>
      <c r="HO63"/>
      <c r="HQ63"/>
      <c r="HR63"/>
      <c r="HS63"/>
      <c r="HT63"/>
      <c r="HW63"/>
      <c r="II63" s="168">
        <v>12</v>
      </c>
      <c r="IJ63" s="210" t="str">
        <f>IF(modelloAUTO12=$B$46,IF(fornPIANTcentr12="","",fornPIANTcentr12*pezzi12),"")</f>
        <v/>
      </c>
      <c r="IK63" s="210" t="str">
        <f>IF(modelloAUTO12=$B$46,IF(fornPIANTcentr12="","",CODpiantCENTRsugg12),"")</f>
        <v/>
      </c>
      <c r="IM63" s="210" t="str">
        <f>IF(modelloAUTO12=$B$46,IF(CODpiantCENTRsuggAPPOG12="","",CODpiantCENTRdiAPPOGGIOrich12),"")</f>
        <v/>
      </c>
      <c r="IN63" s="210" t="str">
        <f>IF(modelloAUTO12=$B$46,IF(CODpiantCENTRsuggAPPOG12="","",CODpiantCENTRsuggAPPOG12),"")</f>
        <v/>
      </c>
      <c r="JS63" s="168">
        <v>12</v>
      </c>
      <c r="JT63" s="259"/>
      <c r="JU63" s="236"/>
      <c r="JV63" s="236"/>
      <c r="JY63" s="230" t="str">
        <f>IF(modelloAUTO12=$B$46,larghezza12*DIECI+VLOOKUP($B$46,tabMODELLI,COLcoefAUMlargBUSTApvc,FALSE)+VLOOKUP($B$46,tabMODELLI,COLcoefAUMlargXprofILIlateraliBUSTApvc,FALSE)+IF(PROFoTUBsxRICH12="",ZERO,VLOOKUP(PROFoTUBsxRICH12,TABprofOtubLATERALI,COLlargPROFoTUBlatXimballaggio,FALSE)+profELETTRODOsaldaturaPVC)+IF(PROFoTUBdxRICH12="",ZERO,VLOOKUP(PROFoTUBdxRICH12,TABprofOtubLATERALI,COLlargPROFoTUBlatXimballaggio,FALSE)+profELETTRODOsaldaturaPVC),"")</f>
        <v/>
      </c>
      <c r="JZ63" s="230" t="str">
        <f>IF(modelloAUTO12=$B$46,altezza12*DIECI*DUE+VLOOKUP($B$46,tabMODELLI,COLcoefAUMaltBUSTApvc,FALSE),"")</f>
        <v/>
      </c>
      <c r="KA63" s="261"/>
      <c r="KB63" s="230" t="str">
        <f>IF(modelloAUTO12=$B$46,altezza12*DIECI+VLOOKUP($B$46,tabMODELLI,COLcoeffSALDATURAinALTbustaPVC,FALSE),"")</f>
        <v/>
      </c>
      <c r="KC63" s="230" t="str">
        <f>IF(modelloAUTO12=$B$46,VLOOKUP($B$46,tabMODELLI,COLcoeffSALDATURAinLARGperTASCAbustaPVC,FALSE),"")</f>
        <v/>
      </c>
      <c r="KD63" s="230" t="str">
        <f>IF(modelloAUTO12=$B$46,IF(PROFoTUBsxRICH12="","",VLOOKUP(PROFoTUBsxRICH12,TABprofOtubLATERALI,COLlargPROFoTUBlatXimballaggio,FALSE)),"")</f>
        <v/>
      </c>
      <c r="KE63" s="230" t="str">
        <f>IF(modelloAUTO12=$B$46,IF(PROFoTUBdxRICH12="","",VLOOKUP(PROFoTUBdxRICH12,TABprofOtubLATERALI,COLlargPROFoTUBlatXimballaggio,FALSE)),"")</f>
        <v/>
      </c>
      <c r="KG63" s="262" t="str">
        <f>IF(modelloAUTO12=$B$46,pezzi12*DUE,"")</f>
        <v/>
      </c>
      <c r="KH63" s="263" t="str">
        <f>IF(modelloAUTO12=$B$46,larghezza12+VLOOKUP($B$46,tabMODELLI,COLcoeffAUMoCALOinLARGpolistirolo,FALSE),"")</f>
        <v/>
      </c>
      <c r="KI63" s="263" t="str">
        <f>IF(modelloAUTO12=$B$46,altezza12+VLOOKUP($B$46,tabMODELLI,COLcoeffAUMoCALOinALTpolistirolo,FALSE),"")</f>
        <v/>
      </c>
      <c r="KK63" s="262" t="str">
        <f>IF(modelloAUTO12=$B$46,pezzi12*DUE,"")</f>
        <v/>
      </c>
      <c r="KL63" s="263" t="str">
        <f>IF(modelloAUTO12=$B$46,larghezza12+VLOOKUP($B$46,tabMODELLI,colCOEFFdellaLARGnelFIANCOpolistirolo,FALSE),"")</f>
        <v/>
      </c>
      <c r="KM63" s="263" t="str">
        <f>IF(modelloAUTO12=$B$46,VLOOKUP($B$46,tabMODELLI,COLdimstdSTRISCIAdelFIANCOxALT1polistirolo,FALSE),"")</f>
        <v/>
      </c>
      <c r="KO63" s="262" t="str">
        <f>IF(modelloAUTO12=$B$46,pezzi12*DUE,"")</f>
        <v/>
      </c>
      <c r="KP63" s="263" t="str">
        <f>IF(modelloAUTO12=$B$46,altezza12+VLOOKUP($B$46,tabMODELLI,colCOEFFdellaALTnelFIANCOpolistirolo,FALSE),"")</f>
        <v/>
      </c>
      <c r="KQ63" s="263" t="str">
        <f>IF(modelloAUTO12=$B$46,VLOOKUP($B$46,tabMODELLI,COLdimstdSTRISCIAdelFIANCOxALT1polistirolo,FALSE),"")</f>
        <v/>
      </c>
      <c r="KR63" s="150">
        <v>1</v>
      </c>
      <c r="KY63" s="168">
        <v>12</v>
      </c>
      <c r="KZ63" s="448"/>
      <c r="LB63" s="234" t="str">
        <f t="shared" si="38"/>
        <v/>
      </c>
    </row>
    <row r="64" spans="1:331" s="150" customFormat="1" ht="33" thickBot="1">
      <c r="A64" s="168">
        <v>13</v>
      </c>
      <c r="B64" s="260" t="str">
        <f>IF(modelloAUTO13=$B$46,stanza13,"")</f>
        <v/>
      </c>
      <c r="C64" s="170" t="str">
        <f>IF(modelloAUTO13="","",modelloAUTO13)</f>
        <v/>
      </c>
      <c r="D64" s="171" t="str">
        <f>IF(pezzi13="","",pezzi13)</f>
        <v/>
      </c>
      <c r="E64" s="172" t="str">
        <f>IF(larghezza13="","",LARGortogonalitaADEGUATA13)</f>
        <v/>
      </c>
      <c r="F64" s="173" t="str">
        <f>IF(altezza13="","",altezza13)</f>
        <v/>
      </c>
      <c r="G64" s="173"/>
      <c r="H64" s="173"/>
      <c r="I64" s="176" t="str">
        <f>IF(modelloAUTO13="","",IF(vernBarriera13="","",vernBarriera13))</f>
        <v/>
      </c>
      <c r="J64" s="177" t="str">
        <f>IF(modelloAUTO13=$B$46,IF(PELLICOLA13="","",pezzi13),"")</f>
        <v/>
      </c>
      <c r="K64" s="437"/>
      <c r="M64" s="179" t="str">
        <f>IF(modelloAUTO13=$B$46,IF(PROFlatAUTO13="ESCLUSI","",IF(PROFlatRICH13="","STD",PROFlatRICH13)),"")</f>
        <v/>
      </c>
      <c r="N64" s="176" t="str">
        <f>IF(modelloAUTO13="","",IF(copertina13="","",TIPOcopertina13))</f>
        <v/>
      </c>
      <c r="O64" s="196" t="str">
        <f>IF(AND(modelloAUTO13=$B$46,PROFlatAUTO13&lt;&gt;"ESCLUSI"),IF(ALTprofLATrich13="","STD",ALTprofLATrich13),"")</f>
        <v/>
      </c>
      <c r="P64" s="176" t="str">
        <f>IF(modelloAUTO13="","",IF(vernPROFlatTEN13="","",vernPROFlatTEN13))</f>
        <v/>
      </c>
      <c r="R64" s="176" t="str">
        <f>IF(PROFoTUBsxRICH13="","",PROFoTUBsxRICH13)</f>
        <v/>
      </c>
      <c r="S64" s="182"/>
      <c r="T64" s="176" t="str">
        <f>IF(modelloAUTO13="","",IF(PROFoTUBdxRICH13="","",PROFoTUBdxRICH13))</f>
        <v/>
      </c>
      <c r="U64" s="182"/>
      <c r="V64" s="183" t="str">
        <f>IF(modelloAUTO13="","",IF(PROFoTUBsxRICH13="","",IF(ALTprofOtubRICHsx13="","SX: STD","SX: "&amp;ALTprofOtubRICHsx13&amp;" - "))&amp;IF(PROFoTUBdxRICH13="","",IF(ALTprofOtubRICHdx13="","  DX: STD","DX :"&amp;ALTprofOtubRICHdx13)))</f>
        <v/>
      </c>
      <c r="W64" s="184" t="str">
        <f>IF(modello13="","",IF(vernPROFoTUBlatSX13="","","SX: "&amp;vernPROFoTUBlatSX13&amp;" - ")&amp;IF(vernPROFoTUBlatDX13="",""," DX: "&amp;vernPROFoTUBlatDX13))</f>
        <v/>
      </c>
      <c r="Y64" s="185" t="str">
        <f>IF(modelloAUTO13="","",IF(OR(larghezza13="",profORIZZ13=""),"",CODpiattoORIZZsugg13))</f>
        <v/>
      </c>
      <c r="Z64" s="186" t="str">
        <f>IF(modelloAUTO13="","",IF(profORIZZ13="","",larghezza13+IF(PROFoTUBsxRICH13="",0,VLOOKUP(PROFoTUBsxRICH13,TABprofOtubLATERALI,COLlargPROFoTUBlat,FALSE))+IF(PROFoTUBdxRICH13="",0,VLOOKUP(PROFoTUBdxRICH13,TABprofOtubLATERALI,COLlargPROFoTUBlat,FALSE))))</f>
        <v/>
      </c>
      <c r="AB64" s="187" t="str">
        <f>IF(modelloAUTO13="","",IF(CODpiantCENTRsugg13="","","N° "&amp;fornPIANTcentr13&amp;"-"&amp;IF(CODpiantCENTRsugg13=0,"ERRORE",CODpiantCENTRsugg13)))</f>
        <v/>
      </c>
      <c r="AC64" s="187" t="str">
        <f>IF(modelloAUTO13="","",IF(CODpiantCENTRsuggAPPOG13="","","N° "&amp;CODpiantCENTRdiAPPOGGIOrich13&amp;"-"&amp;IF(CODpiantCENTRsuggAPPOG13=0,"ERRORE",CODpiantCENTRsuggAPPOG13)))</f>
        <v/>
      </c>
      <c r="AE64" s="188" t="str">
        <f>IF(modelloAUTO13="","",IF(note_cliente13="","",note_cliente13))</f>
        <v/>
      </c>
      <c r="AF64" s="189" t="str">
        <f>IF(PesoTEORICOparatia13="","",PesoTEORICOparatia13)</f>
        <v/>
      </c>
      <c r="AG64" s="190">
        <v>13</v>
      </c>
      <c r="AI64" s="191" t="str">
        <f>IF(modelloAUTO13=$B$46,pezzi13*UNO,"")</f>
        <v/>
      </c>
      <c r="AJ64" s="438" t="str">
        <f>IF(modelloAUTO13=$B$46,larghezza13,"")</f>
        <v/>
      </c>
      <c r="AK64" s="212" t="str">
        <f>IF(modelloAUTO13=$B$46,altezza13,"")</f>
        <v/>
      </c>
      <c r="AL64" s="173"/>
      <c r="AM64" s="173"/>
      <c r="AN64" s="194"/>
      <c r="AO64"/>
      <c r="AQ64" s="439" t="str">
        <f>IF(modelloAUTO13=$B$46,IF(PROFlatRICH13="",pezzi13*DUE*VLOOKUP($B$46,tabMODELLI,COLprofiliLATdiserie,FALSE),pezzi13*DUE),"")</f>
        <v/>
      </c>
      <c r="AR64" s="179" t="str">
        <f>IF(modelloAUTO13=$B$46,IF(AND(VLOOKUP($B$46,tabMODELLI,COLprofiliLATdiserie,FALSE)=ZERO,PROFlatRICH13=""),"",IF(PROFlatAUTO13&lt;&gt;VLOOKUP($B$46,tabMODELLI,COLcodPROFILIlat,FALSE),PROFlatAUTO13,"STD")),"")</f>
        <v/>
      </c>
      <c r="AS64" s="196" t="str">
        <f>IF(AND(modelloAUTO13=$B$46,PROFlatAUTO13&lt;&gt;"ESCLUSI"),IF(ALTprofLATrich13="","STD",ALTprofLATrich13),"")</f>
        <v/>
      </c>
      <c r="AU64" s="272" t="str">
        <f>IF(modelloAUTO13=$B$46,IF(TIPOcopertina13="","",TIPOcopertina13),"")</f>
        <v/>
      </c>
      <c r="AW64" s="201" t="str">
        <f>IF(AND(modelloAUTO13=$B$46,PROFlatAUTO13&lt;&gt;"ESCLUSI"),IF(vernPROFlatTEN13="","OX ARGENTO",vernPROFlatTEN13),"")</f>
        <v/>
      </c>
      <c r="AY64" s="191" t="str">
        <f>IF(modelloAUTO13=$B$46,pezzi13*DUE,"")</f>
        <v/>
      </c>
      <c r="AZ64" s="278" t="str">
        <f>IF(modelloAUTO13=$B$46,IF(PROFoTUBsxRICH13="","",PROFoTUBsxRICH13),"")</f>
        <v/>
      </c>
      <c r="BA64" s="200" t="str">
        <f>IF(AND(modelloAUTO13=$B$46,PROFoTUBsxRICH13&lt;&gt;""),IF(ALTprofOtubRICHsx13="","STD",ALTprofOtubRICHsx13),"")</f>
        <v/>
      </c>
      <c r="BC64" s="201" t="str">
        <f>IF(modelloAUTO13=$B$46,IF(PROFoTUBsxRICH13="","",IF(vernPROFoTUBlatSX13="","OX ARGENTO",vernPROFoTUBlatSX13)),"")</f>
        <v/>
      </c>
      <c r="BE64" s="279" t="str">
        <f>IF(modelloAUTO13=$B$46,IF(PROFoTUBdxRICH13="","",PROFoTUBdxRICH13),"")</f>
        <v/>
      </c>
      <c r="BF64" s="200" t="str">
        <f>IF(AND(modelloAUTO13=$B$46,PROFoTUBdxRICH13&lt;&gt;""),IF(ALTprofOtubRICHdx13="","STD",ALTprofOtubRICHdx13),"")</f>
        <v/>
      </c>
      <c r="BH64" s="203" t="str">
        <f>IF(modelloAUTO13=$B$46,IF(PROFoTUBdxRICH13="","",IF(vernPROFoTUBlatDX13="","OX ARGENTO",vernPROFoTUBlatDX13)),"")</f>
        <v/>
      </c>
      <c r="BJ64" s="204" t="str">
        <f>IF(modelloAUTO13=$B$46,IF(profORIZZ13="","",pezzi13),"")</f>
        <v/>
      </c>
      <c r="BK64" s="205" t="str">
        <f>IF(modelloAUTO13=$B$46,IF(profORIZZ13="","",CODpiattoORIZZsugg13),"")</f>
        <v/>
      </c>
      <c r="BL64" s="206" t="str">
        <f>IF(modelloAUTO13=$B$46,IF(profORIZZ13="","",larghezza13*DIECI+IF(PROFoTUBsxRICH13="",ZERO,VLOOKUP(PROFoTUBsxRICH13,TABprofOtubLATERALI,COLlargPROFoTUBlat,FALSE))+IF(PROFoTUBdxRICH13="",ZERO,VLOOKUP(PROFoTUBdxRICH13,TABprofOtubLATERALI,COLlargPROFoTUBlat,FALSE))),"")</f>
        <v/>
      </c>
      <c r="BN64" s="207" t="str">
        <f ca="1">IF(modelloAUTO13=$B$46,INDEX(INDIRECT("TABnCHIAVISTELLOvert"&amp;$B$46),rif_alt13,rif_larg13)*pezzi13,"")</f>
        <v/>
      </c>
      <c r="BO64"/>
      <c r="BQ64" s="208" t="str">
        <f ca="1">IF(modelloAUTO13=$B$46,INDEX(INDIRECT("TABnMANIGLIEsuperiori"&amp;$B$46),rif_alt13,rif_larg13)+INDEX(INDIRECT("TABnMANIGLIEfrontali"&amp;$B$46),rif_alt13,rif_larg13),"")</f>
        <v/>
      </c>
      <c r="BR64" s="191" t="str">
        <f>IF(modelloAUTO13=$B$46,pezzi13*DUE,"")</f>
        <v/>
      </c>
      <c r="BS64" s="209" t="str">
        <f>IF(modelloAUTO13=$B$46,BQ64*DUE,"")</f>
        <v/>
      </c>
      <c r="BT64" s="209" t="str">
        <f>IF(modelloAUTO13=$B$46,BR64*TRE,"")</f>
        <v/>
      </c>
      <c r="BU64" s="441"/>
      <c r="BV64" s="441"/>
      <c r="BW64" s="441"/>
      <c r="BX64" s="441"/>
      <c r="BY64" s="441"/>
      <c r="CA64" s="210" t="str">
        <f>IF(modelloAUTO13=$B$46,IF(fornPIANTcentr13="","",fornPIANTcentr13*pezzi13),"")</f>
        <v/>
      </c>
      <c r="CB64" s="210" t="str">
        <f>IF(modelloAUTO13=$B$46,IF(fornPIANTcentr13="","",CODpiantCENTRsugg13),"")</f>
        <v/>
      </c>
      <c r="CD64" s="210" t="str">
        <f>IF(modelloAUTO13=$B$46,IF(CODpiantCENTRsuggAPPOG13="","",CODpiantCENTRdiAPPOGGIOrich13),"")</f>
        <v/>
      </c>
      <c r="CE64" s="210" t="str">
        <f>IF(modelloAUTO13=$B$46,IF(CODpiantCENTRsuggAPPOG13="","",CODpiantCENTRsuggAPPOG13),"")</f>
        <v/>
      </c>
      <c r="CG64" s="273">
        <v>13</v>
      </c>
      <c r="CI64" s="211" t="str">
        <f>IF(modelloAUTO13=$B$46,altezza13*DIECI/CEILING(VLOOKUP($B$46,tabMODELLI,COLcoefALTdogaSORMONTATAda200,FALSE),UNO)*pezzi13,"")</f>
        <v/>
      </c>
      <c r="CJ64" s="212" t="str">
        <f>IF(modelloAUTO13=$B$46,larghezza13*DIECI-VLOOKUP($B$46,tabMODELLI,COLcoeffTAGLIOdogaOPPURElastraINlarg,FALSE)-VLOOKUP(PROFlatAUTO13,TABprofLATten,COLcoeffCALOdoga,FALSE),"")</f>
        <v/>
      </c>
      <c r="CK64"/>
      <c r="CL64" s="203" t="str">
        <f>IF(modelloAUTO13=$B$46,IF(vernBarriera13="","STD",vernBarriera13),"")</f>
        <v/>
      </c>
      <c r="CM64" s="173"/>
      <c r="CN64" s="173"/>
      <c r="CO64"/>
      <c r="CP64"/>
      <c r="CQ64" s="216" t="str">
        <f>IF(modelloAUTO13=$B$46,pezzi13*DUE,"")</f>
        <v/>
      </c>
      <c r="CR64" s="212" t="str">
        <f>IF(modelloAUTO13=$B$46,altezza13*DIECI+VLOOKUP($B$46,tabMODELLI,COLcoeffTAGLIOPROFILIlateraliEverticaliAttaccatiALLAbarriera,FALSE),"")</f>
        <v/>
      </c>
      <c r="CS64"/>
      <c r="CT64" s="281"/>
      <c r="CU64" s="281"/>
      <c r="CV64"/>
      <c r="CW64" s="281"/>
      <c r="CX64" s="281"/>
      <c r="CY64" s="281"/>
      <c r="CZ64" s="281"/>
      <c r="DA64" s="281"/>
      <c r="DB64" s="281"/>
      <c r="DC64" s="281"/>
      <c r="DD64" s="281"/>
      <c r="DE64" s="281"/>
      <c r="DF64" s="281"/>
      <c r="DG64" s="281"/>
      <c r="DH64" s="281"/>
      <c r="DI64" s="281"/>
      <c r="DJ64" s="281"/>
      <c r="DK64"/>
      <c r="DL64"/>
      <c r="DM64" s="281"/>
      <c r="DN64" s="281"/>
      <c r="DO64" s="281"/>
      <c r="DP64" s="281"/>
      <c r="DQ64" s="281"/>
      <c r="DR64" s="281"/>
      <c r="DS64" s="281"/>
      <c r="DT64" s="281"/>
      <c r="DU64" s="281"/>
      <c r="DV64" s="281"/>
      <c r="DW64" s="281"/>
      <c r="DX64" s="281"/>
      <c r="DY64" s="281"/>
      <c r="DZ64" s="281"/>
      <c r="EA64" s="281"/>
      <c r="EB64" s="281"/>
      <c r="EC64" s="281"/>
      <c r="ED64" s="281"/>
      <c r="EE64" s="281"/>
      <c r="EF64" s="281"/>
      <c r="EG64" s="281"/>
      <c r="EH64" s="281"/>
      <c r="EI64" s="281"/>
      <c r="EJ64" s="281"/>
      <c r="EK64" s="281"/>
      <c r="EL64" s="281"/>
      <c r="EM64" s="218"/>
      <c r="EN64" s="179" t="str">
        <f>IF(modelloAUTO13=$B$46,IF(PROFlatRICH13="","STD",PROFlatRICH13),"")</f>
        <v/>
      </c>
      <c r="EO64" s="191" t="str">
        <f>IF(modelloAUTO13=$B$46,IF(PROFlatRICH13="",pezzi13*DUE*VLOOKUP($B$46,tabMODELLI,COLprofiliLATdiserie,FALSE),pezzi13*DUE),"")</f>
        <v/>
      </c>
      <c r="EP64" s="238" t="str">
        <f>IF(modelloAUTO13=$B$46,VLOOKUP($B$46,tabMODELLI,COLcoeffALTguarnINFERIOREschiacciata,FALSE)+(VLOOKUP($B$46,tabMODELLI,COLcoefALTdogaREALEda200,FALSE)+(VLOOKUP($B$46,tabMODELLI,COLcoefALTdogaSORMONTATAda200,FALSE)*(CEILING(altezza13*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4" s="218"/>
      <c r="ER64" s="218"/>
      <c r="ES64" s="218"/>
      <c r="ET64" s="218"/>
      <c r="EU64" s="276" t="str">
        <f ca="1">IF(OR(modelloAUTO13=$B$46,modelloAUTO13=CLICK_RAPIDxPRIVATO),INDEX(INDIRECT("TABnCHIAVISTELLOvert"&amp;$B$46),rif_alt13,rif_larg13)*pezzi13,"")</f>
        <v/>
      </c>
      <c r="EV64" s="443" t="str">
        <f ca="1">IF(AND(nCatenacci13&lt;&gt;"",profORIZZ13&lt;&gt;""),spessoreCATENACCIOverticale60X135X300,"")</f>
        <v/>
      </c>
      <c r="EW64" s="208" t="str">
        <f ca="1">IF(modelloAUTO13=$B$46,INDEX(INDIRECT("TABnMANIGLIEsuperiori"&amp;$B$46),rif_alt13,rif_larg13),"")</f>
        <v/>
      </c>
      <c r="EX64" s="243" t="str">
        <f ca="1">IF(modelloAUTO13=$B$46,(larghezza13-CATENACCIOLOorizzontaleINGOMBROclick_rapid-DUE)/INDEX(INDIRECT("TABnMANIGLIEsuperiori"&amp;$B$46),rif_alt13,rif_larg13),"")</f>
        <v/>
      </c>
      <c r="EZ64" s="209" t="str">
        <f ca="1">IF(modelloAUTO13=$B$46,INDEX(INDIRECT("TABnMANIGLIEfrontali"&amp;$B$46),rif_alt13,rif_larg13),"")</f>
        <v/>
      </c>
      <c r="FA64"/>
      <c r="FB64"/>
      <c r="FC64"/>
      <c r="FD64"/>
      <c r="FE64"/>
      <c r="FF64"/>
      <c r="FG64"/>
      <c r="FH64"/>
      <c r="FI64"/>
      <c r="FJ64"/>
      <c r="FK64"/>
      <c r="FL64"/>
      <c r="FM64"/>
      <c r="FN64"/>
      <c r="FO64"/>
      <c r="FP64"/>
      <c r="FQ64"/>
      <c r="FR64"/>
      <c r="FS64"/>
      <c r="FT64" s="241" t="str">
        <f ca="1">IF(OR(nCatenacci13=0,nCatenacci13="",),"",(CJ64+QUATTRO-(IF(nCatenacci13="",ZERO,SESSANTA*(nCatenacci13/PZCLICK_RAPID13))))/((nCatenacci13/PZCLICK_RAPID13)+UNO))</f>
        <v/>
      </c>
      <c r="FZ64"/>
      <c r="GA64"/>
      <c r="GB64"/>
      <c r="GI64" s="168">
        <v>13</v>
      </c>
      <c r="GJ64" s="204" t="str">
        <f>IF(modelloAUTO13=$B$46,IF(profORIZZ13="","",pezzi13),"")</f>
        <v/>
      </c>
      <c r="GK64" s="205" t="str">
        <f>IF(modelloAUTO13=$B$46,IF(profORIZZ13="","",CODpiattoORIZZsugg13),"")</f>
        <v/>
      </c>
      <c r="HM64" s="206" t="str">
        <f>IF(modelloAUTO13=$B$46,IF(profORIZZ13="","",larghezza13*DIECI+IF(PROFoTUBsxRICH13="",ZERO,VLOOKUP(PROFoTUBsxRICH13,TABprofOtubLATERALI,COLlargPROFoTUBlat,FALSE))+IF(PROFoTUBdxRICH13="",ZERO,VLOOKUP(PROFoTUBdxRICH13,TABprofOtubLATERALI,COLlargPROFoTUBlat,FALSE))),"")</f>
        <v/>
      </c>
      <c r="HO64"/>
      <c r="HQ64"/>
      <c r="HR64"/>
      <c r="HS64"/>
      <c r="HT64"/>
      <c r="HW64"/>
      <c r="II64" s="168">
        <v>13</v>
      </c>
      <c r="IJ64" s="210" t="str">
        <f>IF(modelloAUTO13=$B$46,IF(fornPIANTcentr13="","",fornPIANTcentr13*pezzi13),"")</f>
        <v/>
      </c>
      <c r="IK64" s="210" t="str">
        <f>IF(modelloAUTO13=$B$46,IF(fornPIANTcentr13="","",CODpiantCENTRsugg13),"")</f>
        <v/>
      </c>
      <c r="IM64" s="210" t="str">
        <f>IF(modelloAUTO13=$B$46,IF(CODpiantCENTRsuggAPPOG13="","",CODpiantCENTRdiAPPOGGIOrich13),"")</f>
        <v/>
      </c>
      <c r="IN64" s="210" t="str">
        <f>IF(modelloAUTO13=$B$46,IF(CODpiantCENTRsuggAPPOG13="","",CODpiantCENTRsuggAPPOG13),"")</f>
        <v/>
      </c>
      <c r="JS64" s="168">
        <v>13</v>
      </c>
      <c r="JT64" s="259"/>
      <c r="JU64" s="236"/>
      <c r="JV64" s="236"/>
      <c r="JY64" s="230" t="str">
        <f>IF(modelloAUTO13=$B$46,larghezza13*DIECI+VLOOKUP($B$46,tabMODELLI,COLcoefAUMlargBUSTApvc,FALSE)+VLOOKUP($B$46,tabMODELLI,COLcoefAUMlargXprofILIlateraliBUSTApvc,FALSE)+IF(PROFoTUBsxRICH13="",ZERO,VLOOKUP(PROFoTUBsxRICH13,TABprofOtubLATERALI,COLlargPROFoTUBlatXimballaggio,FALSE)+profELETTRODOsaldaturaPVC)+IF(PROFoTUBdxRICH13="",ZERO,VLOOKUP(PROFoTUBdxRICH13,TABprofOtubLATERALI,COLlargPROFoTUBlatXimballaggio,FALSE)+profELETTRODOsaldaturaPVC),"")</f>
        <v/>
      </c>
      <c r="JZ64" s="230" t="str">
        <f>IF(modelloAUTO13=$B$46,altezza13*DIECI*DUE+VLOOKUP($B$46,tabMODELLI,COLcoefAUMaltBUSTApvc,FALSE),"")</f>
        <v/>
      </c>
      <c r="KA64" s="261"/>
      <c r="KB64" s="230" t="str">
        <f>IF(modelloAUTO13=$B$46,altezza13*DIECI+VLOOKUP($B$46,tabMODELLI,COLcoeffSALDATURAinALTbustaPVC,FALSE),"")</f>
        <v/>
      </c>
      <c r="KC64" s="230" t="str">
        <f>IF(modelloAUTO13=$B$46,VLOOKUP($B$46,tabMODELLI,COLcoeffSALDATURAinLARGperTASCAbustaPVC,FALSE),"")</f>
        <v/>
      </c>
      <c r="KD64" s="230" t="str">
        <f>IF(modelloAUTO13=$B$46,IF(PROFoTUBsxRICH13="","",VLOOKUP(PROFoTUBsxRICH13,TABprofOtubLATERALI,COLlargPROFoTUBlatXimballaggio,FALSE)),"")</f>
        <v/>
      </c>
      <c r="KE64" s="230" t="str">
        <f>IF(modelloAUTO13=$B$46,IF(PROFoTUBdxRICH13="","",VLOOKUP(PROFoTUBdxRICH13,TABprofOtubLATERALI,COLlargPROFoTUBlatXimballaggio,FALSE)),"")</f>
        <v/>
      </c>
      <c r="KG64" s="262" t="str">
        <f>IF(modelloAUTO13=$B$46,pezzi13*DUE,"")</f>
        <v/>
      </c>
      <c r="KH64" s="263" t="str">
        <f>IF(modelloAUTO13=$B$46,larghezza13+VLOOKUP($B$46,tabMODELLI,COLcoeffAUMoCALOinLARGpolistirolo,FALSE),"")</f>
        <v/>
      </c>
      <c r="KI64" s="263" t="str">
        <f>IF(modelloAUTO13=$B$46,altezza13+VLOOKUP($B$46,tabMODELLI,COLcoeffAUMoCALOinALTpolistirolo,FALSE),"")</f>
        <v/>
      </c>
      <c r="KK64" s="262" t="str">
        <f>IF(modelloAUTO13=$B$46,pezzi13*DUE,"")</f>
        <v/>
      </c>
      <c r="KL64" s="263" t="str">
        <f>IF(modelloAUTO13=$B$46,larghezza13+VLOOKUP($B$46,tabMODELLI,colCOEFFdellaLARGnelFIANCOpolistirolo,FALSE),"")</f>
        <v/>
      </c>
      <c r="KM64" s="263" t="str">
        <f>IF(modelloAUTO13=$B$46,VLOOKUP($B$46,tabMODELLI,COLdimstdSTRISCIAdelFIANCOxALT1polistirolo,FALSE),"")</f>
        <v/>
      </c>
      <c r="KO64" s="262" t="str">
        <f>IF(modelloAUTO13=$B$46,pezzi13*DUE,"")</f>
        <v/>
      </c>
      <c r="KP64" s="263" t="str">
        <f>IF(modelloAUTO13=$B$46,altezza13+VLOOKUP($B$46,tabMODELLI,colCOEFFdellaALTnelFIANCOpolistirolo,FALSE),"")</f>
        <v/>
      </c>
      <c r="KQ64" s="263" t="str">
        <f>IF(modelloAUTO13=$B$46,VLOOKUP($B$46,tabMODELLI,COLdimstdSTRISCIAdelFIANCOxALT1polistirolo,FALSE),"")</f>
        <v/>
      </c>
      <c r="KR64" s="150">
        <v>1</v>
      </c>
      <c r="KY64" s="168">
        <v>13</v>
      </c>
      <c r="KZ64" s="448"/>
      <c r="LB64" s="234" t="str">
        <f t="shared" si="38"/>
        <v/>
      </c>
    </row>
    <row r="65" spans="1:334" s="150" customFormat="1" ht="33" thickBot="1">
      <c r="A65" s="168">
        <v>14</v>
      </c>
      <c r="B65" s="260" t="str">
        <f>IF(modelloAUTO14=$B$46,stanza14,"")</f>
        <v/>
      </c>
      <c r="C65" s="170" t="str">
        <f>IF(modelloAUTO14="","",modelloAUTO14)</f>
        <v/>
      </c>
      <c r="D65" s="171" t="str">
        <f>IF(pezzi14="","",pezzi14)</f>
        <v/>
      </c>
      <c r="E65" s="172" t="str">
        <f>IF(larghezza14="","",LARGortogonalitaADEGUATA14)</f>
        <v/>
      </c>
      <c r="F65" s="173" t="str">
        <f>IF(altezza14="","",altezza14)</f>
        <v/>
      </c>
      <c r="G65" s="173"/>
      <c r="H65" s="173"/>
      <c r="I65" s="176" t="str">
        <f>IF(modelloAUTO14="","",IF(vernBarriera14="","",vernBarriera14))</f>
        <v/>
      </c>
      <c r="J65" s="177" t="str">
        <f>IF(modelloAUTO14=$B$46,IF(PELLICOLA14="","",pezzi14),"")</f>
        <v/>
      </c>
      <c r="K65" s="437"/>
      <c r="M65" s="179" t="str">
        <f>IF(modelloAUTO14=$B$46,IF(PROFlatAUTO14="ESCLUSI","",IF(PROFlatRICH14="","STD",PROFlatRICH14)),"")</f>
        <v/>
      </c>
      <c r="N65" s="176" t="str">
        <f>IF(modelloAUTO14="","",IF(copertina14="","",TIPOcopertina14))</f>
        <v/>
      </c>
      <c r="O65" s="196" t="str">
        <f>IF(AND(modelloAUTO14=$B$46,PROFlatAUTO14&lt;&gt;"ESCLUSI"),IF(ALTprofLATrich14="","STD",ALTprofLATrich14),"")</f>
        <v/>
      </c>
      <c r="P65" s="176" t="str">
        <f>IF(modelloAUTO14="","",IF(vernPROFlatTEN14="","",vernPROFlatTEN14))</f>
        <v/>
      </c>
      <c r="R65" s="176" t="str">
        <f>IF(PROFoTUBsxRICH14="","",PROFoTUBsxRICH14)</f>
        <v/>
      </c>
      <c r="S65" s="182"/>
      <c r="T65" s="176" t="str">
        <f>IF(modelloAUTO14="","",IF(PROFoTUBdxRICH14="","",PROFoTUBdxRICH14))</f>
        <v/>
      </c>
      <c r="U65" s="182"/>
      <c r="V65" s="183" t="str">
        <f>IF(modelloAUTO14="","",IF(PROFoTUBsxRICH14="","",IF(ALTprofOtubRICHsx14="","SX: STD","SX: "&amp;ALTprofOtubRICHsx14&amp;" - "))&amp;IF(PROFoTUBdxRICH14="","",IF(ALTprofOtubRICHdx14="","  DX: STD","DX :"&amp;ALTprofOtubRICHdx14)))</f>
        <v/>
      </c>
      <c r="W65" s="184" t="str">
        <f>IF(modello14="","",IF(vernPROFoTUBlatSX14="","","SX: "&amp;vernPROFoTUBlatSX14&amp;" - ")&amp;IF(vernPROFoTUBlatDX14="",""," DX: "&amp;vernPROFoTUBlatDX14))</f>
        <v/>
      </c>
      <c r="Y65" s="185" t="str">
        <f>IF(modelloAUTO14="","",IF(OR(larghezza14="",profORIZZ14=""),"",CODpiattoORIZZsugg14))</f>
        <v/>
      </c>
      <c r="Z65" s="186" t="str">
        <f>IF(modelloAUTO14="","",IF(profORIZZ14="","",larghezza14+IF(PROFoTUBsxRICH14="",0,VLOOKUP(PROFoTUBsxRICH14,TABprofOtubLATERALI,COLlargPROFoTUBlat,FALSE))+IF(PROFoTUBdxRICH14="",0,VLOOKUP(PROFoTUBdxRICH14,TABprofOtubLATERALI,COLlargPROFoTUBlat,FALSE))))</f>
        <v/>
      </c>
      <c r="AB65" s="187" t="str">
        <f>IF(modelloAUTO14="","",IF(CODpiantCENTRsugg14="","","N° "&amp;fornPIANTcentr14&amp;"-"&amp;IF(CODpiantCENTRsugg14=0,"ERRORE",CODpiantCENTRsugg14)))</f>
        <v/>
      </c>
      <c r="AC65" s="187" t="str">
        <f>IF(modelloAUTO14="","",IF(CODpiantCENTRsuggAPPOG14="","","N° "&amp;CODpiantCENTRdiAPPOGGIOrich14&amp;"-"&amp;IF(CODpiantCENTRsuggAPPOG14=0,"ERRORE",CODpiantCENTRsuggAPPOG14)))</f>
        <v/>
      </c>
      <c r="AE65" s="188" t="str">
        <f>IF(modelloAUTO14="","",IF(note_cliente14="","",note_cliente14))</f>
        <v/>
      </c>
      <c r="AF65" s="189" t="str">
        <f>IF(PesoTEORICOparatia14="","",PesoTEORICOparatia14)</f>
        <v/>
      </c>
      <c r="AG65" s="190">
        <v>14</v>
      </c>
      <c r="AI65" s="191" t="str">
        <f>IF(modelloAUTO14=$B$46,pezzi14*UNO,"")</f>
        <v/>
      </c>
      <c r="AJ65" s="438" t="str">
        <f>IF(modelloAUTO14=$B$46,larghezza14,"")</f>
        <v/>
      </c>
      <c r="AK65" s="212" t="str">
        <f>IF(modelloAUTO14=$B$46,altezza14,"")</f>
        <v/>
      </c>
      <c r="AL65" s="173"/>
      <c r="AM65" s="173"/>
      <c r="AN65" s="194"/>
      <c r="AO65"/>
      <c r="AQ65" s="439" t="str">
        <f>IF(modelloAUTO14=$B$46,IF(PROFlatRICH14="",pezzi14*DUE*VLOOKUP($B$46,tabMODELLI,COLprofiliLATdiserie,FALSE),pezzi14*DUE),"")</f>
        <v/>
      </c>
      <c r="AR65" s="179" t="str">
        <f>IF(modelloAUTO14=$B$46,IF(AND(VLOOKUP($B$46,tabMODELLI,COLprofiliLATdiserie,FALSE)=ZERO,PROFlatRICH14=""),"",IF(PROFlatAUTO14&lt;&gt;VLOOKUP($B$46,tabMODELLI,COLcodPROFILIlat,FALSE),PROFlatAUTO14,"STD")),"")</f>
        <v/>
      </c>
      <c r="AS65" s="196" t="str">
        <f>IF(AND(modelloAUTO14=$B$46,PROFlatAUTO14&lt;&gt;"ESCLUSI"),IF(ALTprofLATrich14="","STD",ALTprofLATrich14),"")</f>
        <v/>
      </c>
      <c r="AU65" s="272" t="str">
        <f>IF(modelloAUTO14=$B$46,IF(TIPOcopertina14="","",TIPOcopertina14),"")</f>
        <v/>
      </c>
      <c r="AW65" s="201" t="str">
        <f>IF(AND(modelloAUTO14=$B$46,PROFlatAUTO14&lt;&gt;"ESCLUSI"),IF(vernPROFlatTEN14="","OX ARGENTO",vernPROFlatTEN14),"")</f>
        <v/>
      </c>
      <c r="AY65" s="191" t="str">
        <f>IF(modelloAUTO14=$B$46,pezzi14*DUE,"")</f>
        <v/>
      </c>
      <c r="AZ65" s="278" t="str">
        <f>IF(modelloAUTO14=$B$46,IF(PROFoTUBsxRICH14="","",PROFoTUBsxRICH14),"")</f>
        <v/>
      </c>
      <c r="BA65" s="200" t="str">
        <f>IF(AND(modelloAUTO14=$B$46,PROFoTUBsxRICH14&lt;&gt;""),IF(ALTprofOtubRICHsx14="","STD",ALTprofOtubRICHsx14),"")</f>
        <v/>
      </c>
      <c r="BC65" s="201" t="str">
        <f>IF(modelloAUTO14=$B$46,IF(PROFoTUBsxRICH14="","",IF(vernPROFoTUBlatSX14="","OX ARGENTO",vernPROFoTUBlatSX14)),"")</f>
        <v/>
      </c>
      <c r="BE65" s="279" t="str">
        <f>IF(modelloAUTO14=$B$46,IF(PROFoTUBdxRICH14="","",PROFoTUBdxRICH14),"")</f>
        <v/>
      </c>
      <c r="BF65" s="200" t="str">
        <f>IF(AND(modelloAUTO14=$B$46,PROFoTUBdxRICH14&lt;&gt;""),IF(ALTprofOtubRICHdx14="","STD",ALTprofOtubRICHdx14),"")</f>
        <v/>
      </c>
      <c r="BH65" s="203" t="str">
        <f>IF(modelloAUTO14=$B$46,IF(PROFoTUBdxRICH14="","",IF(vernPROFoTUBlatDX14="","OX ARGENTO",vernPROFoTUBlatDX14)),"")</f>
        <v/>
      </c>
      <c r="BJ65" s="204" t="str">
        <f>IF(modelloAUTO14=$B$46,IF(profORIZZ14="","",pezzi14),"")</f>
        <v/>
      </c>
      <c r="BK65" s="205" t="str">
        <f>IF(modelloAUTO14=$B$46,IF(profORIZZ14="","",CODpiattoORIZZsugg14),"")</f>
        <v/>
      </c>
      <c r="BL65" s="206" t="str">
        <f>IF(modelloAUTO14=$B$46,IF(profORIZZ14="","",larghezza14*DIECI+IF(PROFoTUBsxRICH14="",ZERO,VLOOKUP(PROFoTUBsxRICH14,TABprofOtubLATERALI,COLlargPROFoTUBlat,FALSE))+IF(PROFoTUBdxRICH14="",ZERO,VLOOKUP(PROFoTUBdxRICH14,TABprofOtubLATERALI,COLlargPROFoTUBlat,FALSE))),"")</f>
        <v/>
      </c>
      <c r="BN65" s="207" t="str">
        <f ca="1">IF(modelloAUTO14=$B$46,INDEX(INDIRECT("TABnCHIAVISTELLOvert"&amp;$B$46),rif_alt14,rif_larg14)*pezzi14,"")</f>
        <v/>
      </c>
      <c r="BO65"/>
      <c r="BQ65" s="208" t="str">
        <f ca="1">IF(modelloAUTO14=$B$46,INDEX(INDIRECT("TABnMANIGLIEsuperiori"&amp;$B$46),rif_alt14,rif_larg14)+INDEX(INDIRECT("TABnMANIGLIEfrontali"&amp;$B$46),rif_alt14,rif_larg14),"")</f>
        <v/>
      </c>
      <c r="BR65" s="191" t="str">
        <f>IF(modelloAUTO14=$B$46,pezzi14*DUE,"")</f>
        <v/>
      </c>
      <c r="BS65" s="209" t="str">
        <f>IF(modelloAUTO14=$B$46,BQ65*DUE,"")</f>
        <v/>
      </c>
      <c r="BT65" s="209" t="str">
        <f>IF(modelloAUTO14=$B$46,BR65*TRE,"")</f>
        <v/>
      </c>
      <c r="BU65" s="441"/>
      <c r="BV65" s="441"/>
      <c r="BW65" s="441"/>
      <c r="BX65" s="441"/>
      <c r="BY65" s="441"/>
      <c r="CA65" s="210" t="str">
        <f>IF(modelloAUTO14=$B$46,IF(fornPIANTcentr14="","",fornPIANTcentr14*pezzi14),"")</f>
        <v/>
      </c>
      <c r="CB65" s="210" t="str">
        <f>IF(modelloAUTO14=$B$46,IF(fornPIANTcentr14="","",CODpiantCENTRsugg14),"")</f>
        <v/>
      </c>
      <c r="CD65" s="210" t="str">
        <f>IF(modelloAUTO14=$B$46,IF(CODpiantCENTRsuggAPPOG14="","",CODpiantCENTRdiAPPOGGIOrich14),"")</f>
        <v/>
      </c>
      <c r="CE65" s="210" t="str">
        <f>IF(modelloAUTO14=$B$46,IF(CODpiantCENTRsuggAPPOG14="","",CODpiantCENTRsuggAPPOG14),"")</f>
        <v/>
      </c>
      <c r="CG65" s="273">
        <v>14</v>
      </c>
      <c r="CI65" s="211" t="str">
        <f>IF(modelloAUTO14=$B$46,altezza14*DIECI/CEILING(VLOOKUP($B$46,tabMODELLI,COLcoefALTdogaSORMONTATAda200,FALSE),UNO)*pezzi14,"")</f>
        <v/>
      </c>
      <c r="CJ65" s="212" t="str">
        <f>IF(modelloAUTO14=$B$46,larghezza14*DIECI-VLOOKUP($B$46,tabMODELLI,COLcoeffTAGLIOdogaOPPURElastraINlarg,FALSE)-VLOOKUP(PROFlatAUTO14,TABprofLATten,COLcoeffCALOdoga,FALSE),"")</f>
        <v/>
      </c>
      <c r="CK65"/>
      <c r="CL65" s="203" t="str">
        <f>IF(modelloAUTO14=$B$46,IF(vernBarriera14="","STD",vernBarriera14),"")</f>
        <v/>
      </c>
      <c r="CM65" s="173"/>
      <c r="CN65" s="173"/>
      <c r="CO65"/>
      <c r="CP65"/>
      <c r="CQ65" s="216" t="str">
        <f>IF(modelloAUTO14=$B$46,pezzi14*DUE,"")</f>
        <v/>
      </c>
      <c r="CR65" s="212" t="str">
        <f>IF(modelloAUTO14=$B$46,altezza14*DIECI+VLOOKUP($B$46,tabMODELLI,COLcoeffTAGLIOPROFILIlateraliEverticaliAttaccatiALLAbarriera,FALSE),"")</f>
        <v/>
      </c>
      <c r="CS65"/>
      <c r="CT65" s="281"/>
      <c r="CU65" s="281"/>
      <c r="CV65"/>
      <c r="CW65" s="281"/>
      <c r="CX65" s="281"/>
      <c r="CY65" s="281"/>
      <c r="CZ65" s="281"/>
      <c r="DA65" s="281"/>
      <c r="DB65" s="281"/>
      <c r="DC65" s="281"/>
      <c r="DD65" s="281"/>
      <c r="DE65" s="281"/>
      <c r="DF65" s="281"/>
      <c r="DG65" s="281"/>
      <c r="DH65" s="281"/>
      <c r="DI65" s="281"/>
      <c r="DJ65" s="281"/>
      <c r="DK65"/>
      <c r="DL65"/>
      <c r="DM65" s="281"/>
      <c r="DN65" s="281"/>
      <c r="DO65" s="281"/>
      <c r="DP65" s="281"/>
      <c r="DQ65" s="281"/>
      <c r="DR65" s="281"/>
      <c r="DS65" s="281"/>
      <c r="DT65" s="281"/>
      <c r="DU65" s="281"/>
      <c r="DV65" s="281"/>
      <c r="DW65" s="281"/>
      <c r="DX65" s="281"/>
      <c r="DY65" s="281"/>
      <c r="DZ65" s="281"/>
      <c r="EA65" s="281"/>
      <c r="EB65" s="281"/>
      <c r="EC65" s="281"/>
      <c r="ED65" s="281"/>
      <c r="EE65" s="281"/>
      <c r="EF65" s="281"/>
      <c r="EG65" s="281"/>
      <c r="EH65" s="281"/>
      <c r="EI65" s="281"/>
      <c r="EJ65" s="281"/>
      <c r="EK65" s="281"/>
      <c r="EL65" s="281"/>
      <c r="EM65" s="218"/>
      <c r="EN65" s="179" t="str">
        <f>IF(modelloAUTO14=$B$46,IF(PROFlatRICH14="","STD",PROFlatRICH14),"")</f>
        <v/>
      </c>
      <c r="EO65" s="191" t="str">
        <f>IF(modelloAUTO14=$B$46,IF(PROFlatRICH14="",pezzi14*DUE*VLOOKUP($B$46,tabMODELLI,COLprofiliLATdiserie,FALSE),pezzi14*DUE),"")</f>
        <v/>
      </c>
      <c r="EP65" s="238" t="str">
        <f>IF(modelloAUTO14=$B$46,VLOOKUP($B$46,tabMODELLI,COLcoeffALTguarnINFERIOREschiacciata,FALSE)+(VLOOKUP($B$46,tabMODELLI,COLcoefALTdogaREALEda200,FALSE)+(VLOOKUP($B$46,tabMODELLI,COLcoefALTdogaSORMONTATAda200,FALSE)*(CEILING(altezza14*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5" s="218"/>
      <c r="ER65" s="218"/>
      <c r="ES65" s="218"/>
      <c r="ET65" s="218"/>
      <c r="EU65" s="276" t="str">
        <f ca="1">IF(OR(modelloAUTO14=$B$46,modelloAUTO14=CLICK_RAPIDxPRIVATO),INDEX(INDIRECT("TABnCHIAVISTELLOvert"&amp;$B$46),rif_alt14,rif_larg14)*pezzi14,"")</f>
        <v/>
      </c>
      <c r="EV65" s="443" t="str">
        <f ca="1">IF(AND(nCatenacci14&lt;&gt;"",profORIZZ14&lt;&gt;""),spessoreCATENACCIOverticale60X145X300,"")</f>
        <v/>
      </c>
      <c r="EW65" s="208" t="str">
        <f ca="1">IF(modelloAUTO14=$B$46,INDEX(INDIRECT("TABnMANIGLIEsuperiori"&amp;$B$46),rif_alt14,rif_larg14),"")</f>
        <v/>
      </c>
      <c r="EX65" s="243" t="str">
        <f ca="1">IF(modelloAUTO14=$B$46,(larghezza14-CATENACCIOLOorizzontaleINGOMBROclick_rapid-DUE)/INDEX(INDIRECT("TABnMANIGLIEsuperiori"&amp;$B$46),rif_alt14,rif_larg14),"")</f>
        <v/>
      </c>
      <c r="EZ65" s="209" t="str">
        <f ca="1">IF(modelloAUTO14=$B$46,INDEX(INDIRECT("TABnMANIGLIEfrontali"&amp;$B$46),rif_alt14,rif_larg14),"")</f>
        <v/>
      </c>
      <c r="FA65"/>
      <c r="FB65"/>
      <c r="FC65"/>
      <c r="FD65"/>
      <c r="FE65"/>
      <c r="FF65"/>
      <c r="FG65"/>
      <c r="FH65"/>
      <c r="FI65"/>
      <c r="FJ65"/>
      <c r="FK65"/>
      <c r="FL65"/>
      <c r="FM65"/>
      <c r="FN65"/>
      <c r="FO65"/>
      <c r="FP65"/>
      <c r="FQ65"/>
      <c r="FR65"/>
      <c r="FS65"/>
      <c r="FT65" s="241" t="str">
        <f ca="1">IF(OR(nCatenacci14=0,nCatenacci14="",),"",(CJ65+QUATTRO-(IF(nCatenacci14="",ZERO,SESSANTA*(nCatenacci14/PZCLICK_RAPID14))))/((nCatenacci14/PZCLICK_RAPID14)+UNO))</f>
        <v/>
      </c>
      <c r="FZ65"/>
      <c r="GA65"/>
      <c r="GB65"/>
      <c r="GI65" s="168">
        <v>14</v>
      </c>
      <c r="GJ65" s="204" t="str">
        <f>IF(modelloAUTO14=$B$46,IF(profORIZZ14="","",pezzi14),"")</f>
        <v/>
      </c>
      <c r="GK65" s="205" t="str">
        <f>IF(modelloAUTO14=$B$46,IF(profORIZZ14="","",CODpiattoORIZZsugg14),"")</f>
        <v/>
      </c>
      <c r="HM65" s="206" t="str">
        <f>IF(modelloAUTO14=$B$46,IF(profORIZZ14="","",larghezza14*DIECI+IF(PROFoTUBsxRICH14="",ZERO,VLOOKUP(PROFoTUBsxRICH14,TABprofOtubLATERALI,COLlargPROFoTUBlat,FALSE))+IF(PROFoTUBdxRICH14="",ZERO,VLOOKUP(PROFoTUBdxRICH14,TABprofOtubLATERALI,COLlargPROFoTUBlat,FALSE))),"")</f>
        <v/>
      </c>
      <c r="HO65"/>
      <c r="HQ65"/>
      <c r="HR65"/>
      <c r="HS65"/>
      <c r="HT65"/>
      <c r="HW65"/>
      <c r="II65" s="168">
        <v>14</v>
      </c>
      <c r="IJ65" s="210" t="str">
        <f>IF(modelloAUTO14=$B$46,IF(fornPIANTcentr14="","",fornPIANTcentr14*pezzi14),"")</f>
        <v/>
      </c>
      <c r="IK65" s="210" t="str">
        <f>IF(modelloAUTO14=$B$46,IF(fornPIANTcentr14="","",CODpiantCENTRsugg14),"")</f>
        <v/>
      </c>
      <c r="IM65" s="210" t="str">
        <f>IF(modelloAUTO14=$B$46,IF(CODpiantCENTRsuggAPPOG14="","",CODpiantCENTRdiAPPOGGIOrich14),"")</f>
        <v/>
      </c>
      <c r="IN65" s="210" t="str">
        <f>IF(modelloAUTO14=$B$46,IF(CODpiantCENTRsuggAPPOG14="","",CODpiantCENTRsuggAPPOG14),"")</f>
        <v/>
      </c>
      <c r="JS65" s="168">
        <v>14</v>
      </c>
      <c r="JT65" s="259"/>
      <c r="JU65" s="236"/>
      <c r="JV65" s="236"/>
      <c r="JY65" s="230" t="str">
        <f>IF(modelloAUTO14=$B$46,larghezza14*DIECI+VLOOKUP($B$46,tabMODELLI,COLcoefAUMlargBUSTApvc,FALSE)+VLOOKUP($B$46,tabMODELLI,COLcoefAUMlargXprofILIlateraliBUSTApvc,FALSE)+IF(PROFoTUBsxRICH14="",ZERO,VLOOKUP(PROFoTUBsxRICH14,TABprofOtubLATERALI,COLlargPROFoTUBlatXimballaggio,FALSE)+profELETTRODOsaldaturaPVC)+IF(PROFoTUBdxRICH14="",ZERO,VLOOKUP(PROFoTUBdxRICH14,TABprofOtubLATERALI,COLlargPROFoTUBlatXimballaggio,FALSE)+profELETTRODOsaldaturaPVC),"")</f>
        <v/>
      </c>
      <c r="JZ65" s="230" t="str">
        <f>IF(modelloAUTO14=$B$46,altezza14*DIECI*DUE+VLOOKUP($B$46,tabMODELLI,COLcoefAUMaltBUSTApvc,FALSE),"")</f>
        <v/>
      </c>
      <c r="KA65" s="261"/>
      <c r="KB65" s="230" t="str">
        <f>IF(modelloAUTO14=$B$46,altezza14*DIECI+VLOOKUP($B$46,tabMODELLI,COLcoeffSALDATURAinALTbustaPVC,FALSE),"")</f>
        <v/>
      </c>
      <c r="KC65" s="230" t="str">
        <f>IF(modelloAUTO14=$B$46,VLOOKUP($B$46,tabMODELLI,COLcoeffSALDATURAinLARGperTASCAbustaPVC,FALSE),"")</f>
        <v/>
      </c>
      <c r="KD65" s="230" t="str">
        <f>IF(modelloAUTO14=$B$46,IF(PROFoTUBsxRICH14="","",VLOOKUP(PROFoTUBsxRICH14,TABprofOtubLATERALI,COLlargPROFoTUBlatXimballaggio,FALSE)),"")</f>
        <v/>
      </c>
      <c r="KE65" s="230" t="str">
        <f>IF(modelloAUTO14=$B$46,IF(PROFoTUBdxRICH14="","",VLOOKUP(PROFoTUBdxRICH14,TABprofOtubLATERALI,COLlargPROFoTUBlatXimballaggio,FALSE)),"")</f>
        <v/>
      </c>
      <c r="KG65" s="262" t="str">
        <f>IF(modelloAUTO14=$B$46,pezzi14*DUE,"")</f>
        <v/>
      </c>
      <c r="KH65" s="263" t="str">
        <f>IF(modelloAUTO14=$B$46,larghezza14+VLOOKUP($B$46,tabMODELLI,COLcoeffAUMoCALOinLARGpolistirolo,FALSE),"")</f>
        <v/>
      </c>
      <c r="KI65" s="263" t="str">
        <f>IF(modelloAUTO14=$B$46,altezza14+VLOOKUP($B$46,tabMODELLI,COLcoeffAUMoCALOinALTpolistirolo,FALSE),"")</f>
        <v/>
      </c>
      <c r="KK65" s="262" t="str">
        <f>IF(modelloAUTO14=$B$46,pezzi14*DUE,"")</f>
        <v/>
      </c>
      <c r="KL65" s="263" t="str">
        <f>IF(modelloAUTO14=$B$46,larghezza14+VLOOKUP($B$46,tabMODELLI,colCOEFFdellaLARGnelFIANCOpolistirolo,FALSE),"")</f>
        <v/>
      </c>
      <c r="KM65" s="263" t="str">
        <f>IF(modelloAUTO14=$B$46,VLOOKUP($B$46,tabMODELLI,COLdimstdSTRISCIAdelFIANCOxALT1polistirolo,FALSE),"")</f>
        <v/>
      </c>
      <c r="KO65" s="262" t="str">
        <f>IF(modelloAUTO14=$B$46,pezzi14*DUE,"")</f>
        <v/>
      </c>
      <c r="KP65" s="263" t="str">
        <f>IF(modelloAUTO14=$B$46,altezza14+VLOOKUP($B$46,tabMODELLI,colCOEFFdellaALTnelFIANCOpolistirolo,FALSE),"")</f>
        <v/>
      </c>
      <c r="KQ65" s="263" t="str">
        <f>IF(modelloAUTO14=$B$46,VLOOKUP($B$46,tabMODELLI,COLdimstdSTRISCIAdelFIANCOxALT1polistirolo,FALSE),"")</f>
        <v/>
      </c>
      <c r="KR65" s="150">
        <v>1</v>
      </c>
      <c r="KY65" s="168">
        <v>14</v>
      </c>
      <c r="KZ65" s="448"/>
      <c r="LB65" s="234" t="str">
        <f t="shared" si="38"/>
        <v/>
      </c>
    </row>
    <row r="66" spans="1:334" s="150" customFormat="1" ht="33" thickBot="1">
      <c r="A66" s="168">
        <v>15</v>
      </c>
      <c r="B66" s="260" t="str">
        <f>IF(modelloAUTO15=$B$46,stanza15,"")</f>
        <v/>
      </c>
      <c r="C66" s="170" t="str">
        <f>IF(modelloAUTO15="","",modelloAUTO15)</f>
        <v/>
      </c>
      <c r="D66" s="171" t="str">
        <f>IF(pezzi15="","",pezzi15)</f>
        <v/>
      </c>
      <c r="E66" s="172" t="str">
        <f>IF(larghezza15="","",LARGortogonalitaADEGUATA15)</f>
        <v/>
      </c>
      <c r="F66" s="173" t="str">
        <f>IF(altezza15="","",altezza15)</f>
        <v/>
      </c>
      <c r="G66" s="173"/>
      <c r="H66" s="173"/>
      <c r="I66" s="176" t="str">
        <f>IF(modelloAUTO15="","",IF(vernBarriera15="","",vernBarriera15))</f>
        <v/>
      </c>
      <c r="J66" s="177" t="str">
        <f>IF(modelloAUTO15=$B$46,IF(PELLICOLA15="","",pezzi15),"")</f>
        <v/>
      </c>
      <c r="K66" s="437"/>
      <c r="M66" s="179" t="str">
        <f>IF(modelloAUTO15=$B$46,IF(PROFlatAUTO15="ESCLUSI","",IF(PROFlatRICH15="","STD",PROFlatRICH15)),"")</f>
        <v/>
      </c>
      <c r="N66" s="176" t="str">
        <f>IF(modelloAUTO15="","",IF(copertina15="","",TIPOcopertina15))</f>
        <v/>
      </c>
      <c r="O66" s="196" t="str">
        <f>IF(AND(modelloAUTO15=$B$46,PROFlatAUTO15&lt;&gt;"ESCLUSI"),IF(ALTprofLATrich15="","STD",ALTprofLATrich15),"")</f>
        <v/>
      </c>
      <c r="P66" s="176" t="str">
        <f>IF(modelloAUTO15="","",IF(vernPROFlatTEN15="","",vernPROFlatTEN15))</f>
        <v/>
      </c>
      <c r="R66" s="176" t="str">
        <f>IF(PROFoTUBsxRICH15="","",PROFoTUBsxRICH15)</f>
        <v/>
      </c>
      <c r="S66" s="182"/>
      <c r="T66" s="176" t="str">
        <f>IF(modelloAUTO15="","",IF(PROFoTUBdxRICH15="","",PROFoTUBdxRICH15))</f>
        <v/>
      </c>
      <c r="U66" s="182"/>
      <c r="V66" s="183" t="str">
        <f>IF(modelloAUTO15="","",IF(PROFoTUBsxRICH15="","",IF(ALTprofOtubRICHsx15="","SX: STD","SX: "&amp;ALTprofOtubRICHsx15&amp;" - "))&amp;IF(PROFoTUBdxRICH15="","",IF(ALTprofOtubRICHdx15="","  DX: STD","DX :"&amp;ALTprofOtubRICHdx15)))</f>
        <v/>
      </c>
      <c r="W66" s="184" t="str">
        <f>IF(modello15="","",IF(vernPROFoTUBlatSX15="","","SX: "&amp;vernPROFoTUBlatSX15&amp;" - ")&amp;IF(vernPROFoTUBlatDX15="",""," DX: "&amp;vernPROFoTUBlatDX15))</f>
        <v/>
      </c>
      <c r="Y66" s="185" t="str">
        <f>IF(modelloAUTO15="","",IF(OR(larghezza15="",profORIZZ15=""),"",CODpiattoORIZZsugg15))</f>
        <v/>
      </c>
      <c r="Z66" s="186" t="str">
        <f>IF(modelloAUTO15="","",IF(profORIZZ15="","",larghezza15+IF(PROFoTUBsxRICH15="",0,VLOOKUP(PROFoTUBsxRICH15,TABprofOtubLATERALI,COLlargPROFoTUBlat,FALSE))+IF(PROFoTUBdxRICH15="",0,VLOOKUP(PROFoTUBdxRICH15,TABprofOtubLATERALI,COLlargPROFoTUBlat,FALSE))))</f>
        <v/>
      </c>
      <c r="AB66" s="187" t="str">
        <f>IF(modelloAUTO15="","",IF(CODpiantCENTRsugg15="","","N° "&amp;fornPIANTcentr15&amp;"-"&amp;IF(CODpiantCENTRsugg15=0,"ERRORE",CODpiantCENTRsugg15)))</f>
        <v/>
      </c>
      <c r="AC66" s="187" t="str">
        <f>IF(modelloAUTO15="","",IF(CODpiantCENTRsuggAPPOG15="","","N° "&amp;CODpiantCENTRdiAPPOGGIOrich15&amp;"-"&amp;IF(CODpiantCENTRsuggAPPOG15=0,"ERRORE",CODpiantCENTRsuggAPPOG15)))</f>
        <v/>
      </c>
      <c r="AE66" s="188" t="str">
        <f>IF(modelloAUTO15="","",IF(note_cliente15="","",note_cliente15))</f>
        <v/>
      </c>
      <c r="AF66" s="189" t="str">
        <f>IF(PesoTEORICOparatia15="","",PesoTEORICOparatia15)</f>
        <v/>
      </c>
      <c r="AG66" s="190">
        <v>15</v>
      </c>
      <c r="AI66" s="191" t="str">
        <f>IF(modelloAUTO15=$B$46,pezzi15*UNO,"")</f>
        <v/>
      </c>
      <c r="AJ66" s="438" t="str">
        <f>IF(modelloAUTO15=$B$46,larghezza15,"")</f>
        <v/>
      </c>
      <c r="AK66" s="212" t="str">
        <f>IF(modelloAUTO15=$B$46,altezza15,"")</f>
        <v/>
      </c>
      <c r="AL66" s="173"/>
      <c r="AM66" s="173"/>
      <c r="AN66" s="194"/>
      <c r="AO66"/>
      <c r="AQ66" s="439" t="str">
        <f>IF(modelloAUTO15=$B$46,IF(PROFlatRICH15="",pezzi15*DUE*VLOOKUP($B$46,tabMODELLI,COLprofiliLATdiserie,FALSE),pezzi15*DUE),"")</f>
        <v/>
      </c>
      <c r="AR66" s="179" t="str">
        <f>IF(modelloAUTO15=$B$46,IF(AND(VLOOKUP($B$46,tabMODELLI,COLprofiliLATdiserie,FALSE)=ZERO,PROFlatRICH15=""),"",IF(PROFlatAUTO15&lt;&gt;VLOOKUP($B$46,tabMODELLI,COLcodPROFILIlat,FALSE),PROFlatAUTO15,"STD")),"")</f>
        <v/>
      </c>
      <c r="AS66" s="196" t="str">
        <f>IF(AND(modelloAUTO15=$B$46,PROFlatAUTO15&lt;&gt;"ESCLUSI"),IF(ALTprofLATrich15="","STD",ALTprofLATrich15),"")</f>
        <v/>
      </c>
      <c r="AU66" s="272" t="str">
        <f>IF(modelloAUTO15=$B$46,IF(TIPOcopertina15="","",TIPOcopertina15),"")</f>
        <v/>
      </c>
      <c r="AW66" s="201" t="str">
        <f>IF(AND(modelloAUTO15=$B$46,PROFlatAUTO15&lt;&gt;"ESCLUSI"),IF(vernPROFlatTEN15="","OX ARGENTO",vernPROFlatTEN15),"")</f>
        <v/>
      </c>
      <c r="AY66" s="191" t="str">
        <f>IF(modelloAUTO15=$B$46,pezzi15*DUE,"")</f>
        <v/>
      </c>
      <c r="AZ66" s="278" t="str">
        <f>IF(modelloAUTO15=$B$46,IF(PROFoTUBsxRICH15="","",PROFoTUBsxRICH15),"")</f>
        <v/>
      </c>
      <c r="BA66" s="200" t="str">
        <f>IF(AND(modelloAUTO15=$B$46,PROFoTUBsxRICH15&lt;&gt;""),IF(ALTprofOtubRICHsx15="","STD",ALTprofOtubRICHsx15),"")</f>
        <v/>
      </c>
      <c r="BC66" s="201" t="str">
        <f>IF(modelloAUTO15=$B$46,IF(PROFoTUBsxRICH15="","",IF(vernPROFoTUBlatSX15="","OX ARGENTO",vernPROFoTUBlatSX15)),"")</f>
        <v/>
      </c>
      <c r="BE66" s="279" t="str">
        <f>IF(modelloAUTO15=$B$46,IF(PROFoTUBdxRICH15="","",PROFoTUBdxRICH15),"")</f>
        <v/>
      </c>
      <c r="BF66" s="200" t="str">
        <f>IF(AND(modelloAUTO15=$B$46,PROFoTUBdxRICH15&lt;&gt;""),IF(ALTprofOtubRICHdx15="","STD",ALTprofOtubRICHdx15),"")</f>
        <v/>
      </c>
      <c r="BH66" s="203" t="str">
        <f>IF(modelloAUTO15=$B$46,IF(PROFoTUBdxRICH15="","",IF(vernPROFoTUBlatDX15="","OX ARGENTO",vernPROFoTUBlatDX15)),"")</f>
        <v/>
      </c>
      <c r="BJ66" s="204" t="str">
        <f>IF(modelloAUTO15=$B$46,IF(profORIZZ15="","",pezzi15),"")</f>
        <v/>
      </c>
      <c r="BK66" s="205" t="str">
        <f>IF(modelloAUTO15=$B$46,IF(profORIZZ15="","",CODpiattoORIZZsugg15),"")</f>
        <v/>
      </c>
      <c r="BL66" s="206" t="str">
        <f>IF(modelloAUTO15=$B$46,IF(profORIZZ15="","",larghezza15*DIECI+IF(PROFoTUBsxRICH15="",ZERO,VLOOKUP(PROFoTUBsxRICH15,TABprofOtubLATERALI,COLlargPROFoTUBlat,FALSE))+IF(PROFoTUBdxRICH15="",ZERO,VLOOKUP(PROFoTUBdxRICH15,TABprofOtubLATERALI,COLlargPROFoTUBlat,FALSE))),"")</f>
        <v/>
      </c>
      <c r="BN66" s="207" t="str">
        <f ca="1">IF(modelloAUTO15=$B$46,INDEX(INDIRECT("TABnCHIAVISTELLOvert"&amp;$B$46),rif_alt15,rif_larg15)*pezzi15,"")</f>
        <v/>
      </c>
      <c r="BO66"/>
      <c r="BQ66" s="208" t="str">
        <f ca="1">IF(modelloAUTO15=$B$46,INDEX(INDIRECT("TABnMANIGLIEsuperiori"&amp;$B$46),rif_alt15,rif_larg15)+INDEX(INDIRECT("TABnMANIGLIEfrontali"&amp;$B$46),rif_alt15,rif_larg15),"")</f>
        <v/>
      </c>
      <c r="BR66" s="191" t="str">
        <f>IF(modelloAUTO15=$B$46,pezzi15*DUE,"")</f>
        <v/>
      </c>
      <c r="BS66" s="209" t="str">
        <f>IF(modelloAUTO15=$B$46,BQ66*DUE,"")</f>
        <v/>
      </c>
      <c r="BT66" s="209" t="str">
        <f>IF(modelloAUTO15=$B$46,BR66*TRE,"")</f>
        <v/>
      </c>
      <c r="BU66" s="441"/>
      <c r="BV66" s="441"/>
      <c r="BW66" s="441"/>
      <c r="BX66" s="441"/>
      <c r="BY66" s="441"/>
      <c r="CA66" s="282" t="str">
        <f>IF(modelloAUTO15=$B$46,IF(fornPIANTcentr15="","",fornPIANTcentr15*pezzi15),"")</f>
        <v/>
      </c>
      <c r="CB66" s="282" t="str">
        <f>IF(modelloAUTO15=$B$46,IF(fornPIANTcentr15="","",CODpiantCENTRsugg15),"")</f>
        <v/>
      </c>
      <c r="CD66" s="210" t="str">
        <f>IF(modelloAUTO15=$B$46,IF(CODpiantCENTRsuggAPPOG15="","",CODpiantCENTRdiAPPOGGIOrich15),"")</f>
        <v/>
      </c>
      <c r="CE66" s="210" t="str">
        <f>IF(modelloAUTO15=$B$46,IF(CODpiantCENTRsuggAPPOG15="","",CODpiantCENTRsuggAPPOG15),"")</f>
        <v/>
      </c>
      <c r="CG66" s="273">
        <v>15</v>
      </c>
      <c r="CI66" s="211" t="str">
        <f>IF(modelloAUTO15=$B$46,altezza15*DIECI/CEILING(VLOOKUP($B$46,tabMODELLI,COLcoefALTdogaSORMONTATAda200,FALSE),UNO)*pezzi15,"")</f>
        <v/>
      </c>
      <c r="CJ66" s="212" t="str">
        <f>IF(modelloAUTO15=$B$46,larghezza15*DIECI-VLOOKUP($B$46,tabMODELLI,COLcoeffTAGLIOdogaOPPURElastraINlarg,FALSE)-VLOOKUP(PROFlatAUTO15,TABprofLATten,COLcoeffCALOdoga,FALSE),"")</f>
        <v/>
      </c>
      <c r="CK66"/>
      <c r="CL66" s="203" t="str">
        <f>IF(modelloAUTO15=$B$46,IF(vernBarriera15="","STD",vernBarriera15),"")</f>
        <v/>
      </c>
      <c r="CM66" s="173"/>
      <c r="CN66" s="173"/>
      <c r="CO66"/>
      <c r="CP66"/>
      <c r="CQ66" s="216" t="str">
        <f>IF(modelloAUTO15=$B$46,pezzi15*DUE,"")</f>
        <v/>
      </c>
      <c r="CR66" s="212" t="str">
        <f>IF(modelloAUTO15=$B$46,altezza15*DIECI+VLOOKUP($B$46,tabMODELLI,COLcoeffTAGLIOPROFILIlateraliEverticaliAttaccatiALLAbarriera,FALSE),"")</f>
        <v/>
      </c>
      <c r="CS66"/>
      <c r="CT66" s="281"/>
      <c r="CU66" s="281"/>
      <c r="CV66"/>
      <c r="CW66" s="281"/>
      <c r="CX66" s="281"/>
      <c r="CY66" s="281"/>
      <c r="CZ66" s="281"/>
      <c r="DA66" s="281"/>
      <c r="DB66" s="281"/>
      <c r="DC66" s="281"/>
      <c r="DD66" s="281"/>
      <c r="DE66" s="281"/>
      <c r="DF66" s="281"/>
      <c r="DG66" s="281"/>
      <c r="DH66" s="281"/>
      <c r="DI66" s="281"/>
      <c r="DJ66" s="281"/>
      <c r="DK66"/>
      <c r="DL66"/>
      <c r="DM66" s="281"/>
      <c r="DN66" s="281"/>
      <c r="DO66" s="281"/>
      <c r="DP66" s="281"/>
      <c r="DQ66" s="281"/>
      <c r="DR66" s="281"/>
      <c r="DS66" s="281"/>
      <c r="DT66" s="281"/>
      <c r="DU66" s="281"/>
      <c r="DV66" s="281"/>
      <c r="DW66" s="281"/>
      <c r="DX66" s="281"/>
      <c r="DY66" s="281"/>
      <c r="DZ66" s="281"/>
      <c r="EA66" s="281"/>
      <c r="EB66" s="281"/>
      <c r="EC66" s="281"/>
      <c r="ED66" s="281"/>
      <c r="EE66" s="281"/>
      <c r="EF66" s="281"/>
      <c r="EG66" s="281"/>
      <c r="EH66" s="281"/>
      <c r="EI66" s="281"/>
      <c r="EJ66" s="281"/>
      <c r="EK66" s="281"/>
      <c r="EL66" s="281"/>
      <c r="EM66" s="218"/>
      <c r="EN66" s="179" t="str">
        <f>IF(modelloAUTO15=$B$46,IF(PROFlatRICH15="","STD",PROFlatRICH15),"")</f>
        <v/>
      </c>
      <c r="EO66" s="191" t="str">
        <f>IF(modelloAUTO15=$B$46,IF(PROFlatRICH15="",pezzi15*DUE*VLOOKUP($B$46,tabMODELLI,COLprofiliLATdiserie,FALSE),pezzi15*DUE),"")</f>
        <v/>
      </c>
      <c r="EP66" s="238" t="str">
        <f>IF(modelloAUTO15=$B$46,VLOOKUP($B$46,tabMODELLI,COLcoeffALTguarnINFERIOREschiacciata,FALSE)+(VLOOKUP($B$46,tabMODELLI,COLcoefALTdogaREALEda200,FALSE)+(VLOOKUP($B$46,tabMODELLI,COLcoefALTdogaSORMONTATAda200,FALSE)*(CEILING(altezza15*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6" s="218"/>
      <c r="ER66" s="218"/>
      <c r="ES66" s="218"/>
      <c r="ET66" s="218"/>
      <c r="EU66" s="276" t="str">
        <f ca="1">IF(OR(modelloAUTO15=$B$46,modelloAUTO15=CLICK_RAPIDxPRIVATO),INDEX(INDIRECT("TABnCHIAVISTELLOvert"&amp;$B$46),rif_alt15,rif_larg15)*pezzi15,"")</f>
        <v/>
      </c>
      <c r="EV66" s="443" t="str">
        <f ca="1">IF(AND(nCatenacci15&lt;&gt;"",profORIZZ15&lt;&gt;""),spessoreCATENACCIOverticale60X155X300,"")</f>
        <v/>
      </c>
      <c r="EW66" s="208" t="str">
        <f ca="1">IF(modelloAUTO15=$B$46,INDEX(INDIRECT("TABnMANIGLIEsuperiori"&amp;$B$46),rif_alt15,rif_larg15),"")</f>
        <v/>
      </c>
      <c r="EX66" s="243" t="str">
        <f ca="1">IF(modelloAUTO15=$B$46,(larghezza15-CATENACCIOLOorizzontaleINGOMBROclick_rapid-DUE)/INDEX(INDIRECT("TABnMANIGLIEsuperiori"&amp;$B$46),rif_alt15,rif_larg15),"")</f>
        <v/>
      </c>
      <c r="EZ66" s="209" t="str">
        <f ca="1">IF(modelloAUTO15=$B$46,INDEX(INDIRECT("TABnMANIGLIEfrontali"&amp;$B$46),rif_alt15,rif_larg15),"")</f>
        <v/>
      </c>
      <c r="FA66"/>
      <c r="FB66"/>
      <c r="FC66"/>
      <c r="FD66"/>
      <c r="FE66"/>
      <c r="FF66"/>
      <c r="FG66"/>
      <c r="FH66"/>
      <c r="FI66"/>
      <c r="FJ66"/>
      <c r="FK66"/>
      <c r="FL66"/>
      <c r="FM66"/>
      <c r="FN66"/>
      <c r="FO66"/>
      <c r="FP66"/>
      <c r="FQ66"/>
      <c r="FR66"/>
      <c r="FS66"/>
      <c r="FT66" s="241" t="str">
        <f ca="1">IF(OR(nCatenacci15=0,nCatenacci15="",),"",(CJ66+QUATTRO-(IF(nCatenacci15="",ZERO,SESSANTA*(nCatenacci15/PZCLICK_RAPID15))))/((nCatenacci15/PZCLICK_RAPID15)+UNO))</f>
        <v/>
      </c>
      <c r="FZ66"/>
      <c r="GA66"/>
      <c r="GB66"/>
      <c r="GI66" s="168">
        <v>15</v>
      </c>
      <c r="GJ66" s="204" t="str">
        <f>IF(modelloAUTO15=$B$46,IF(profORIZZ15="","",pezzi15),"")</f>
        <v/>
      </c>
      <c r="GK66" s="205" t="str">
        <f>IF(modelloAUTO15=$B$46,IF(profORIZZ15="","",CODpiattoORIZZsugg15),"")</f>
        <v/>
      </c>
      <c r="HM66" s="206" t="str">
        <f>IF(modelloAUTO15=$B$46,IF(profORIZZ15="","",larghezza15*DIECI+IF(PROFoTUBsxRICH15="",ZERO,VLOOKUP(PROFoTUBsxRICH15,TABprofOtubLATERALI,COLlargPROFoTUBlat,FALSE))+IF(PROFoTUBdxRICH15="",ZERO,VLOOKUP(PROFoTUBdxRICH15,TABprofOtubLATERALI,COLlargPROFoTUBlat,FALSE))),"")</f>
        <v/>
      </c>
      <c r="HO66"/>
      <c r="HQ66"/>
      <c r="HR66"/>
      <c r="HS66"/>
      <c r="HT66"/>
      <c r="HW66"/>
      <c r="II66" s="168">
        <v>15</v>
      </c>
      <c r="IJ66" s="282" t="str">
        <f>IF(modelloAUTO15=$B$46,IF(fornPIANTcentr15="","",fornPIANTcentr15*pezzi15),"")</f>
        <v/>
      </c>
      <c r="IK66" s="282" t="str">
        <f>IF(modelloAUTO15=$B$46,IF(fornPIANTcentr15="","",CODpiantCENTRsugg15),"")</f>
        <v/>
      </c>
      <c r="IM66" s="210" t="str">
        <f>IF(modelloAUTO15=$B$46,IF(CODpiantCENTRsuggAPPOG15="","",CODpiantCENTRdiAPPOGGIOrich15),"")</f>
        <v/>
      </c>
      <c r="IN66" s="210" t="str">
        <f>IF(modelloAUTO15=$B$46,IF(CODpiantCENTRsuggAPPOG15="","",CODpiantCENTRsuggAPPOG15),"")</f>
        <v/>
      </c>
      <c r="JS66" s="168">
        <v>15</v>
      </c>
      <c r="JT66" s="259"/>
      <c r="JU66" s="236"/>
      <c r="JV66" s="236"/>
      <c r="JY66" s="230" t="str">
        <f>IF(modelloAUTO15=$B$46,larghezza15*DIECI+VLOOKUP($B$46,tabMODELLI,COLcoefAUMlargBUSTApvc,FALSE)+VLOOKUP($B$46,tabMODELLI,COLcoefAUMlargXprofILIlateraliBUSTApvc,FALSE)+IF(PROFoTUBsxRICH15="",ZERO,VLOOKUP(PROFoTUBsxRICH15,TABprofOtubLATERALI,COLlargPROFoTUBlatXimballaggio,FALSE)+profELETTRODOsaldaturaPVC)+IF(PROFoTUBdxRICH15="",ZERO,VLOOKUP(PROFoTUBdxRICH15,TABprofOtubLATERALI,COLlargPROFoTUBlatXimballaggio,FALSE)+profELETTRODOsaldaturaPVC),"")</f>
        <v/>
      </c>
      <c r="JZ66" s="230" t="str">
        <f>IF(modelloAUTO15=$B$46,altezza15*DIECI*DUE+VLOOKUP($B$46,tabMODELLI,COLcoefAUMaltBUSTApvc,FALSE),"")</f>
        <v/>
      </c>
      <c r="KA66" s="261"/>
      <c r="KB66" s="230" t="str">
        <f>IF(modelloAUTO15=$B$46,altezza15*DIECI+VLOOKUP($B$46,tabMODELLI,COLcoeffSALDATURAinALTbustaPVC,FALSE),"")</f>
        <v/>
      </c>
      <c r="KC66" s="230" t="str">
        <f>IF(modelloAUTO15=$B$46,VLOOKUP($B$46,tabMODELLI,COLcoeffSALDATURAinLARGperTASCAbustaPVC,FALSE),"")</f>
        <v/>
      </c>
      <c r="KD66" s="230" t="str">
        <f>IF(modelloAUTO15=$B$46,IF(PROFoTUBsxRICH15="","",VLOOKUP(PROFoTUBsxRICH15,TABprofOtubLATERALI,COLlargPROFoTUBlatXimballaggio,FALSE)),"")</f>
        <v/>
      </c>
      <c r="KE66" s="230" t="str">
        <f>IF(modelloAUTO15=$B$46,IF(PROFoTUBdxRICH15="","",VLOOKUP(PROFoTUBdxRICH15,TABprofOtubLATERALI,COLlargPROFoTUBlatXimballaggio,FALSE)),"")</f>
        <v/>
      </c>
      <c r="KG66" s="262" t="str">
        <f>IF(modelloAUTO15=$B$46,pezzi15*DUE,"")</f>
        <v/>
      </c>
      <c r="KH66" s="263" t="str">
        <f>IF(modelloAUTO15=$B$46,larghezza15+VLOOKUP($B$46,tabMODELLI,COLcoeffAUMoCALOinLARGpolistirolo,FALSE),"")</f>
        <v/>
      </c>
      <c r="KI66" s="263" t="str">
        <f>IF(modelloAUTO15=$B$46,altezza15+VLOOKUP($B$46,tabMODELLI,COLcoeffAUMoCALOinALTpolistirolo,FALSE),"")</f>
        <v/>
      </c>
      <c r="KK66" s="262" t="str">
        <f>IF(modelloAUTO15=$B$46,pezzi15*DUE,"")</f>
        <v/>
      </c>
      <c r="KL66" s="263" t="str">
        <f>IF(modelloAUTO15=$B$46,larghezza15+VLOOKUP($B$46,tabMODELLI,colCOEFFdellaLARGnelFIANCOpolistirolo,FALSE),"")</f>
        <v/>
      </c>
      <c r="KM66" s="263" t="str">
        <f>IF(modelloAUTO15=$B$46,VLOOKUP($B$46,tabMODELLI,COLdimstdSTRISCIAdelFIANCOxALT1polistirolo,FALSE),"")</f>
        <v/>
      </c>
      <c r="KO66" s="262" t="str">
        <f>IF(modelloAUTO15=$B$46,pezzi15*DUE,"")</f>
        <v/>
      </c>
      <c r="KP66" s="263" t="str">
        <f>IF(modelloAUTO15=$B$46,altezza15+VLOOKUP($B$46,tabMODELLI,colCOEFFdellaALTnelFIANCOpolistirolo,FALSE),"")</f>
        <v/>
      </c>
      <c r="KQ66" s="263" t="str">
        <f>IF(modelloAUTO15=$B$46,VLOOKUP($B$46,tabMODELLI,COLdimstdSTRISCIAdelFIANCOxALT1polistirolo,FALSE),"")</f>
        <v/>
      </c>
      <c r="KR66" s="150">
        <v>1</v>
      </c>
      <c r="KY66" s="168">
        <v>15</v>
      </c>
      <c r="KZ66" s="448"/>
      <c r="LB66" s="234" t="str">
        <f t="shared" si="38"/>
        <v/>
      </c>
    </row>
    <row r="67" spans="1:334" s="150" customFormat="1" ht="33" thickBot="1">
      <c r="A67" s="168">
        <v>16</v>
      </c>
      <c r="B67" s="260" t="str">
        <f>IF(modelloAUTO16=$B$46,stanza16,"")</f>
        <v/>
      </c>
      <c r="C67" s="170" t="str">
        <f>IF(modelloAUTO16="","",modelloAUTO16)</f>
        <v/>
      </c>
      <c r="D67" s="171" t="str">
        <f>IF(pezzi16="","",pezzi16)</f>
        <v/>
      </c>
      <c r="E67" s="172" t="str">
        <f>IF(larghezza16="","",LARGortogonalitaADEGUATA16)</f>
        <v/>
      </c>
      <c r="F67" s="173" t="str">
        <f>IF(altezza16="","",altezza16)</f>
        <v/>
      </c>
      <c r="G67" s="173"/>
      <c r="H67" s="173"/>
      <c r="I67" s="176" t="str">
        <f>IF(modelloAUTO16="","",IF(vernBarriera16="","",vernBarriera16))</f>
        <v/>
      </c>
      <c r="J67" s="177" t="str">
        <f>IF(modelloAUTO16=$B$46,IF(PELLICOLA16="","",pezzi16),"")</f>
        <v/>
      </c>
      <c r="K67" s="437"/>
      <c r="M67" s="179" t="str">
        <f>IF(modelloAUTO16=$B$46,IF(PROFlatAUTO16="ESCLUSI","",IF(PROFlatRICH16="","STD",PROFlatRICH16)),"")</f>
        <v/>
      </c>
      <c r="N67" s="176" t="str">
        <f>IF(modelloAUTO16="","",IF(copertina16="","",TIPOcopertina16))</f>
        <v/>
      </c>
      <c r="O67" s="196" t="str">
        <f>IF(AND(modelloAUTO16=$B$46,PROFlatAUTO16&lt;&gt;"ESCLUSI"),IF(ALTprofLATrich16="","STD",ALTprofLATrich16),"")</f>
        <v/>
      </c>
      <c r="P67" s="176" t="str">
        <f>IF(modelloAUTO16="","",IF(vernPROFlatTEN16="","",vernPROFlatTEN16))</f>
        <v/>
      </c>
      <c r="R67" s="176" t="str">
        <f>IF(PROFoTUBsxRICH16="","",PROFoTUBsxRICH16)</f>
        <v/>
      </c>
      <c r="S67" s="182"/>
      <c r="T67" s="176" t="str">
        <f>IF(modelloAUTO16="","",IF(PROFoTUBdxRICH16="","",PROFoTUBdxRICH16))</f>
        <v/>
      </c>
      <c r="U67" s="182"/>
      <c r="V67" s="183" t="str">
        <f>IF(modelloAUTO16="","",IF(PROFoTUBsxRICH16="","",IF(ALTprofOtubRICHsx16="","SX: STD","SX: "&amp;ALTprofOtubRICHsx16&amp;" - "))&amp;IF(PROFoTUBdxRICH16="","",IF(ALTprofOtubRICHdx16="","  DX: STD","DX :"&amp;ALTprofOtubRICHdx16)))</f>
        <v/>
      </c>
      <c r="W67" s="184" t="str">
        <f>IF(modello16="","",IF(vernPROFoTUBlatSX16="","","SX: "&amp;vernPROFoTUBlatSX16&amp;" - ")&amp;IF(vernPROFoTUBlatDX16="",""," DX: "&amp;vernPROFoTUBlatDX16))</f>
        <v/>
      </c>
      <c r="Y67" s="185" t="str">
        <f>IF(modelloAUTO16="","",IF(OR(larghezza16="",profORIZZ16=""),"",CODpiattoORIZZsugg16))</f>
        <v/>
      </c>
      <c r="Z67" s="186" t="str">
        <f>IF(modelloAUTO16="","",IF(profORIZZ16="","",larghezza16+IF(PROFoTUBsxRICH16="",0,VLOOKUP(PROFoTUBsxRICH16,TABprofOtubLATERALI,COLlargPROFoTUBlat,FALSE))+IF(PROFoTUBdxRICH16="",0,VLOOKUP(PROFoTUBdxRICH16,TABprofOtubLATERALI,COLlargPROFoTUBlat,FALSE))))</f>
        <v/>
      </c>
      <c r="AB67" s="187" t="str">
        <f>IF(modelloAUTO16="","",IF(CODpiantCENTRsugg16="","","N° "&amp;fornPIANTcentr16&amp;"-"&amp;IF(CODpiantCENTRsugg16=0,"ERRORE",CODpiantCENTRsugg16)))</f>
        <v/>
      </c>
      <c r="AC67" s="187" t="str">
        <f>IF(modelloAUTO16="","",IF(CODpiantCENTRsuggAPPOG16="","","N° "&amp;CODpiantCENTRdiAPPOGGIOrich16&amp;"-"&amp;IF(CODpiantCENTRsuggAPPOG16=0,"ERRORE",CODpiantCENTRsuggAPPOG16)))</f>
        <v/>
      </c>
      <c r="AE67" s="188" t="str">
        <f>IF(modelloAUTO16="","",IF(note_cliente16="","",note_cliente16))</f>
        <v/>
      </c>
      <c r="AF67" s="189" t="str">
        <f>IF(PesoTEORICOparatia16="","",PesoTEORICOparatia16)</f>
        <v/>
      </c>
      <c r="AG67" s="190">
        <v>16</v>
      </c>
      <c r="AI67" s="191" t="str">
        <f>IF(modelloAUTO16=$B$46,pezzi16*UNO,"")</f>
        <v/>
      </c>
      <c r="AJ67" s="438" t="str">
        <f>IF(modelloAUTO16=$B$46,larghezza16,"")</f>
        <v/>
      </c>
      <c r="AK67" s="212" t="str">
        <f>IF(modelloAUTO16=$B$46,altezza16,"")</f>
        <v/>
      </c>
      <c r="AL67" s="173"/>
      <c r="AM67" s="173"/>
      <c r="AN67" s="194"/>
      <c r="AO67"/>
      <c r="AQ67" s="449" t="str">
        <f>IF(modelloAUTO16=$B$46,IF(PROFlatRICH16="",pezzi16*DUE*VLOOKUP($B$46,tabMODELLI,COLprofiliLATdiserie,FALSE),pezzi16*DUE),"")</f>
        <v/>
      </c>
      <c r="AR67" s="179" t="str">
        <f>IF(modelloAUTO16=$B$46,IF(AND(VLOOKUP($B$46,tabMODELLI,COLprofiliLATdiserie,FALSE)=ZERO,PROFlatRICH16=""),"",IF(PROFlatAUTO16&lt;&gt;VLOOKUP($B$46,tabMODELLI,COLcodPROFILIlat,FALSE),PROFlatAUTO16,"STD")),"")</f>
        <v/>
      </c>
      <c r="AS67" s="196" t="str">
        <f>IF(AND(modelloAUTO16=$B$46,PROFlatAUTO16&lt;&gt;"ESCLUSI"),IF(ALTprofLATrich16="","STD",ALTprofLATrich16),"")</f>
        <v/>
      </c>
      <c r="AT67" s="288"/>
      <c r="AU67" s="289" t="str">
        <f>IF(modelloAUTO16=$B$46,IF(TIPOcopertina16="","",TIPOcopertina16),"")</f>
        <v/>
      </c>
      <c r="AV67" s="288"/>
      <c r="AW67" s="201" t="str">
        <f>IF(AND(modelloAUTO16=$B$46,PROFlatAUTO16&lt;&gt;"ESCLUSI"),IF(vernPROFlatTEN16="","OX ARGENTO",vernPROFlatTEN16),"")</f>
        <v/>
      </c>
      <c r="AY67" s="284" t="str">
        <f>IF(modelloAUTO16=$B$46,pezzi16*DUE,"")</f>
        <v/>
      </c>
      <c r="AZ67" s="278"/>
      <c r="BA67" s="291" t="str">
        <f>IF(AND(modelloAUTO16=$B$46,PROFoTUBsxRICH16&lt;&gt;""),IF(ALTprofOtubRICHsx16="","STD",ALTprofOtubRICHsx16),"")</f>
        <v/>
      </c>
      <c r="BB67" s="288"/>
      <c r="BC67" s="292" t="str">
        <f>IF(modelloAUTO16=$B$46,IF(PROFoTUBsxRICH16="","",IF(vernPROFoTUBlatSX16="","OX ARGENTO",vernPROFoTUBlatSX16)),"")</f>
        <v/>
      </c>
      <c r="BE67" s="279" t="str">
        <f>IF(modelloAUTO16=$B$46,IF(PROFoTUBdxRICH16="","",PROFoTUBdxRICH16),"")</f>
        <v/>
      </c>
      <c r="BF67" s="291" t="str">
        <f>IF(AND(modelloAUTO16=$B$46,PROFoTUBdxRICH16&lt;&gt;""),IF(ALTprofOtubRICHdx16="","STD",ALTprofOtubRICHdx16),"")</f>
        <v/>
      </c>
      <c r="BG67" s="288"/>
      <c r="BH67" s="293" t="str">
        <f>IF(modelloAUTO16=$B$46,IF(PROFoTUBdxRICH16="","",IF(vernPROFoTUBlatDX16="","OX ARGENTO",vernPROFoTUBlatDX16)),"")</f>
        <v/>
      </c>
      <c r="BJ67" s="204" t="str">
        <f>IF(modelloAUTO16=$B$46,IF(profORIZZ16="","",pezzi16),"")</f>
        <v/>
      </c>
      <c r="BK67" s="205" t="str">
        <f>IF(modelloAUTO16=$B$46,IF(profORIZZ16="","",CODpiattoORIZZsugg16),"")</f>
        <v/>
      </c>
      <c r="BL67" s="206" t="str">
        <f>IF(modelloAUTO16=$B$46,IF(profORIZZ16="","",larghezza16*DIECI+IF(PROFoTUBsxRICH16="",ZERO,VLOOKUP(PROFoTUBsxRICH16,TABprofOtubLATERALI,COLlargPROFoTUBlat,FALSE))+IF(PROFoTUBdxRICH16="",ZERO,VLOOKUP(PROFoTUBdxRICH16,TABprofOtubLATERALI,COLlargPROFoTUBlat,FALSE))),"")</f>
        <v/>
      </c>
      <c r="BN67" s="207" t="str">
        <f ca="1">IF(modelloAUTO16=$B$46,INDEX(INDIRECT("TABnCHIAVISTELLOvert"&amp;$B$46),rif_alt16,rif_larg16)*pezzi16,"")</f>
        <v/>
      </c>
      <c r="BO67"/>
      <c r="BQ67" s="208" t="str">
        <f ca="1">IF(modelloAUTO16=$B$46,INDEX(INDIRECT("TABnMANIGLIEsuperiori"&amp;$B$46),rif_alt16,rif_larg16)+INDEX(INDIRECT("TABnMANIGLIEfrontali"&amp;$B$46),rif_alt16,rif_larg16),"")</f>
        <v/>
      </c>
      <c r="BR67" s="191" t="str">
        <f>IF(modelloAUTO16=$B$46,pezzi16*DUE,"")</f>
        <v/>
      </c>
      <c r="BS67" s="209" t="str">
        <f>IF(modelloAUTO16=$B$46,BQ67*DUE,"")</f>
        <v/>
      </c>
      <c r="BT67" s="209" t="str">
        <f>IF(modelloAUTO16=$B$46,BR67*TRE,"")</f>
        <v/>
      </c>
      <c r="BU67" s="441"/>
      <c r="BV67" s="441"/>
      <c r="BW67" s="441"/>
      <c r="BX67" s="441"/>
      <c r="BY67" s="441"/>
      <c r="CA67" s="282" t="str">
        <f>IF(modelloAUTO16=$B$46,IF(fornPIANTcentr16="","",fornPIANTcentr16*pezzi16),"")</f>
        <v/>
      </c>
      <c r="CB67" s="282" t="str">
        <f>IF(modelloAUTO16=$B$46,IF(fornPIANTcentr16="","",CODpiantCENTRsugg16),"")</f>
        <v/>
      </c>
      <c r="CD67" s="282" t="str">
        <f>IF(modelloAUTO16=$B$46,IF(CODpiantCENTRsuggAPPOG16="","",CODpiantCENTRdiAPPOGGIOrich16),"")</f>
        <v/>
      </c>
      <c r="CE67" s="282" t="str">
        <f>IF(modelloAUTO16=$B$46,IF(CODpiantCENTRsuggAPPOG16="","",CODpiantCENTRsuggAPPOG16),"")</f>
        <v/>
      </c>
      <c r="CG67" s="294">
        <v>16</v>
      </c>
      <c r="CI67" s="211" t="str">
        <f>IF(modelloAUTO16=$B$46,altezza16*DIECI/CEILING(VLOOKUP($B$46,tabMODELLI,COLcoefALTdogaSORMONTATAda200,FALSE),UNO)*pezzi16,"")</f>
        <v/>
      </c>
      <c r="CJ67" s="296" t="str">
        <f>IF(modelloAUTO16=$B$46,larghezza16*DIECI-VLOOKUP($B$46,tabMODELLI,COLcoeffTAGLIOdogaOPPURElastraINlarg,FALSE)-VLOOKUP(PROFlatAUTO16,TABprofLATten,COLcoeffCALOdoga,FALSE),"")</f>
        <v/>
      </c>
      <c r="CK67"/>
      <c r="CL67" s="293" t="str">
        <f>IF(modelloAUTO16=$B$46,IF(vernBarriera16="","STD",vernBarriera16),"")</f>
        <v/>
      </c>
      <c r="CM67" s="173"/>
      <c r="CN67" s="173"/>
      <c r="CO67"/>
      <c r="CP67"/>
      <c r="CQ67" s="216" t="str">
        <f>IF(modelloAUTO16=$B$46,pezzi16*DUE,"")</f>
        <v/>
      </c>
      <c r="CR67" s="212" t="str">
        <f>IF(modelloAUTO16=$B$46,altezza16*DIECI+VLOOKUP($B$46,tabMODELLI,COLcoeffTAGLIOPROFILIlateraliEverticaliAttaccatiALLAbarriera,FALSE),"")</f>
        <v/>
      </c>
      <c r="CS67"/>
      <c r="CT67" s="281"/>
      <c r="CU67" s="281"/>
      <c r="CV67"/>
      <c r="CW67" s="281"/>
      <c r="CX67" s="281"/>
      <c r="CY67" s="281"/>
      <c r="CZ67" s="281"/>
      <c r="DA67" s="281"/>
      <c r="DB67" s="281"/>
      <c r="DC67" s="281"/>
      <c r="DD67" s="281"/>
      <c r="DE67" s="281"/>
      <c r="DF67" s="281"/>
      <c r="DG67" s="281"/>
      <c r="DH67" s="281"/>
      <c r="DI67" s="281"/>
      <c r="DJ67" s="281"/>
      <c r="DK67"/>
      <c r="DL67"/>
      <c r="DM67" s="281"/>
      <c r="DN67" s="281"/>
      <c r="DO67" s="281"/>
      <c r="DP67" s="281"/>
      <c r="DQ67" s="281"/>
      <c r="DR67" s="281"/>
      <c r="DS67" s="281"/>
      <c r="DT67" s="281"/>
      <c r="DU67" s="281"/>
      <c r="DV67" s="281"/>
      <c r="DW67" s="281"/>
      <c r="DX67" s="281"/>
      <c r="DY67" s="281"/>
      <c r="DZ67" s="281"/>
      <c r="EA67" s="281"/>
      <c r="EB67" s="281"/>
      <c r="EC67" s="281"/>
      <c r="ED67" s="281"/>
      <c r="EE67" s="281"/>
      <c r="EF67" s="281"/>
      <c r="EG67" s="281"/>
      <c r="EH67" s="281"/>
      <c r="EI67" s="281"/>
      <c r="EJ67" s="281"/>
      <c r="EK67" s="281"/>
      <c r="EL67" s="281"/>
      <c r="EM67" s="218"/>
      <c r="EN67" s="179" t="str">
        <f>IF(modelloAUTO16=$B$46,IF(PROFlatRICH16="","STD",PROFlatRICH16),"")</f>
        <v/>
      </c>
      <c r="EO67" s="191" t="str">
        <f>IF(modelloAUTO16=$B$46,IF(PROFlatRICH16="",pezzi16*DUE*VLOOKUP($B$46,tabMODELLI,COLprofiliLATdiserie,FALSE),pezzi16*DUE),"")</f>
        <v/>
      </c>
      <c r="EP67" s="238" t="str">
        <f>IF(modelloAUTO16=$B$46,VLOOKUP($B$46,tabMODELLI,COLcoeffALTguarnINFERIOREschiacciata,FALSE)+(VLOOKUP($B$46,tabMODELLI,COLcoefALTdogaREALEda200,FALSE)+(VLOOKUP($B$46,tabMODELLI,COLcoefALTdogaSORMONTATAda200,FALSE)*(CEILING(altezza16*DIECI/CEILING(VLOOKUP($B$46,tabMODELLI,COLcoefALTdogaSORMONTATAda200,FALSE),UNO),UNO)-UNO))+VLOOKUP($B$46,tabMODELLI,COLcoeffSPESSUREdelPROFILOtraPRESSOREeDOGAalta,FALSE)+((VLOOKUP($B$46,tabMODELLI,COLcoeffSPESSOREdelPRESSOREsottoALmorsetto,FALSE)+VLOOKUP($B$46,tabMODELLI,COLcoeffALTmorsetto,FALSE)))+(VLOOKUP($B$46,tabMODELLI,COLcoeffBULLONEsenzaMORSETTOeSENZAcoeffFILETTOciecoPERincassoPOMOLOoDADOcieco,FALSE)-VLOOKUP($B$46,tabMODELLI,colCOEFFaltPERmorsettoDItraversoQUANDOinTENSIONE,FALSE))),"")</f>
        <v/>
      </c>
      <c r="EQ67" s="218"/>
      <c r="ER67" s="218"/>
      <c r="ES67" s="218"/>
      <c r="ET67" s="218"/>
      <c r="EU67" s="276" t="str">
        <f ca="1">IF(OR(modelloAUTO16=$B$46,modelloAUTO16=CLICK_RAPIDxPRIVATO),INDEX(INDIRECT("TABnCHIAVISTELLOvert"&amp;$B$46),rif_alt16,rif_larg16)*pezzi16,"")</f>
        <v/>
      </c>
      <c r="EV67" s="443" t="str">
        <f ca="1">IF(AND(nCatenacci16&lt;&gt;"",profORIZZ16&lt;&gt;""),spessoreCATENACCIOverticale60X165X300,"")</f>
        <v/>
      </c>
      <c r="EW67" s="208" t="str">
        <f ca="1">IF(modelloAUTO16=$B$46,INDEX(INDIRECT("TABnMANIGLIEsuperiori"&amp;$B$46),rif_alt16,rif_larg16),"")</f>
        <v/>
      </c>
      <c r="EX67" s="243" t="str">
        <f ca="1">IF(modelloAUTO16=$B$46,(larghezza16-CATENACCIOLOorizzontaleINGOMBROclick_rapid-DUE)/INDEX(INDIRECT("TABnMANIGLIEsuperiori"&amp;$B$46),rif_alt16,rif_larg16),"")</f>
        <v/>
      </c>
      <c r="EZ67" s="209" t="str">
        <f ca="1">IF(modelloAUTO16=$B$46,INDEX(INDIRECT("TABnMANIGLIEfrontali"&amp;$B$46),rif_alt16,rif_larg16),"")</f>
        <v/>
      </c>
      <c r="FA67"/>
      <c r="FB67"/>
      <c r="FC67"/>
      <c r="FD67"/>
      <c r="FE67"/>
      <c r="FF67"/>
      <c r="FG67"/>
      <c r="FH67"/>
      <c r="FI67"/>
      <c r="FJ67"/>
      <c r="FK67"/>
      <c r="FL67"/>
      <c r="FM67"/>
      <c r="FN67"/>
      <c r="FO67"/>
      <c r="FP67"/>
      <c r="FQ67"/>
      <c r="FR67"/>
      <c r="FS67"/>
      <c r="FT67" s="241" t="str">
        <f ca="1">IF(OR(nCatenacci16=0,nCatenacci16="",),"",(CJ67+QUATTRO-(IF(nCatenacci16="",ZERO,SESSANTA*(nCatenacci16/PZCLICK_RAPID16))))/((nCatenacci16/PZCLICK_RAPID16)+UNO))</f>
        <v/>
      </c>
      <c r="FZ67"/>
      <c r="GA67"/>
      <c r="GB67"/>
      <c r="GI67" s="168">
        <v>16</v>
      </c>
      <c r="GJ67" s="204" t="str">
        <f>IF(modelloAUTO16=$B$46,IF(profORIZZ16="","",pezzi16),"")</f>
        <v/>
      </c>
      <c r="GK67" s="205" t="str">
        <f>IF(modelloAUTO16=$B$46,IF(profORIZZ16="","",CODpiattoORIZZsugg16),"")</f>
        <v/>
      </c>
      <c r="HM67" s="206" t="str">
        <f>IF(modelloAUTO16=$B$46,IF(profORIZZ16="","",larghezza16*DIECI+IF(PROFoTUBsxRICH16="",ZERO,VLOOKUP(PROFoTUBsxRICH16,TABprofOtubLATERALI,COLlargPROFoTUBlat,FALSE))+IF(PROFoTUBdxRICH16="",ZERO,VLOOKUP(PROFoTUBdxRICH16,TABprofOtubLATERALI,COLlargPROFoTUBlat,FALSE))),"")</f>
        <v/>
      </c>
      <c r="HO67"/>
      <c r="HQ67"/>
      <c r="HR67"/>
      <c r="HS67"/>
      <c r="HT67"/>
      <c r="HW67"/>
      <c r="II67" s="168">
        <v>16</v>
      </c>
      <c r="IJ67" s="282" t="str">
        <f>IF(modelloAUTO16=$B$46,IF(fornPIANTcentr16="","",fornPIANTcentr16*pezzi16),"")</f>
        <v/>
      </c>
      <c r="IK67" s="282" t="str">
        <f>IF(modelloAUTO16=$B$46,IF(fornPIANTcentr16="","",CODpiantCENTRsugg16),"")</f>
        <v/>
      </c>
      <c r="IM67" s="282" t="str">
        <f>IF(modelloAUTO16=$B$46,IF(CODpiantCENTRsuggAPPOG16="","",CODpiantCENTRdiAPPOGGIOrich16),"")</f>
        <v/>
      </c>
      <c r="IN67" s="282" t="str">
        <f>IF(modelloAUTO16=$B$46,IF(CODpiantCENTRsuggAPPOG16="","",CODpiantCENTRsuggAPPOG16),"")</f>
        <v/>
      </c>
      <c r="JS67" s="168">
        <v>16</v>
      </c>
      <c r="JT67" s="259"/>
      <c r="JU67" s="236"/>
      <c r="JV67" s="236"/>
      <c r="JY67" s="230" t="str">
        <f>IF(modelloAUTO16=$B$46,larghezza16*DIECI+VLOOKUP($B$46,tabMODELLI,COLcoefAUMlargBUSTApvc,FALSE)+VLOOKUP($B$46,tabMODELLI,COLcoefAUMlargXprofILIlateraliBUSTApvc,FALSE)+IF(PROFoTUBsxRICH16="",ZERO,VLOOKUP(PROFoTUBsxRICH16,TABprofOtubLATERALI,COLlargPROFoTUBlatXimballaggio,FALSE)+profELETTRODOsaldaturaPVC)+IF(PROFoTUBdxRICH16="",ZERO,VLOOKUP(PROFoTUBdxRICH16,TABprofOtubLATERALI,COLlargPROFoTUBlatXimballaggio,FALSE)+profELETTRODOsaldaturaPVC),"")</f>
        <v/>
      </c>
      <c r="JZ67" s="230" t="str">
        <f>IF(modelloAUTO16=$B$46,altezza16*DIECI*DUE+VLOOKUP($B$46,tabMODELLI,COLcoefAUMaltBUSTApvc,FALSE),"")</f>
        <v/>
      </c>
      <c r="KA67" s="261"/>
      <c r="KB67" s="230" t="str">
        <f>IF(modelloAUTO16=$B$46,altezza16*DIECI+VLOOKUP($B$46,tabMODELLI,COLcoeffSALDATURAinALTbustaPVC,FALSE),"")</f>
        <v/>
      </c>
      <c r="KC67" s="230" t="str">
        <f>IF(modelloAUTO16=$B$46,VLOOKUP($B$46,tabMODELLI,COLcoeffSALDATURAinLARGperTASCAbustaPVC,FALSE),"")</f>
        <v/>
      </c>
      <c r="KD67" s="230" t="str">
        <f>IF(modelloAUTO16=$B$46,IF(PROFoTUBsxRICH16="","",VLOOKUP(PROFoTUBsxRICH16,TABprofOtubLATERALI,COLlargPROFoTUBlatXimballaggio,FALSE)),"")</f>
        <v/>
      </c>
      <c r="KE67" s="230" t="str">
        <f>IF(modelloAUTO16=$B$46,IF(PROFoTUBdxRICH16="","",VLOOKUP(PROFoTUBdxRICH16,TABprofOtubLATERALI,COLlargPROFoTUBlatXimballaggio,FALSE)),"")</f>
        <v/>
      </c>
      <c r="KG67" s="262" t="str">
        <f>IF(modelloAUTO16=$B$46,pezzi16*DUE,"")</f>
        <v/>
      </c>
      <c r="KH67" s="263" t="str">
        <f>IF(modelloAUTO16=$B$46,larghezza16+VLOOKUP($B$46,tabMODELLI,COLcoeffAUMoCALOinLARGpolistirolo,FALSE),"")</f>
        <v/>
      </c>
      <c r="KI67" s="263" t="str">
        <f>IF(modelloAUTO16=$B$46,altezza16+VLOOKUP($B$46,tabMODELLI,COLcoeffAUMoCALOinALTpolistirolo,FALSE),"")</f>
        <v/>
      </c>
      <c r="KK67" s="262" t="str">
        <f>IF(modelloAUTO16=$B$46,pezzi16*DUE,"")</f>
        <v/>
      </c>
      <c r="KL67" s="263" t="str">
        <f>IF(modelloAUTO16=$B$46,larghezza16+VLOOKUP($B$46,tabMODELLI,colCOEFFdellaLARGnelFIANCOpolistirolo,FALSE),"")</f>
        <v/>
      </c>
      <c r="KM67" s="263" t="str">
        <f>IF(modelloAUTO16=$B$46,VLOOKUP($B$46,tabMODELLI,COLdimstdSTRISCIAdelFIANCOxALT1polistirolo,FALSE),"")</f>
        <v/>
      </c>
      <c r="KO67" s="262" t="str">
        <f>IF(modelloAUTO16=$B$46,pezzi16*DUE,"")</f>
        <v/>
      </c>
      <c r="KP67" s="263" t="str">
        <f>IF(modelloAUTO16=$B$46,altezza16+VLOOKUP($B$46,tabMODELLI,colCOEFFdellaALTnelFIANCOpolistirolo,FALSE),"")</f>
        <v/>
      </c>
      <c r="KQ67" s="263" t="str">
        <f>IF(modelloAUTO16=$B$46,VLOOKUP($B$46,tabMODELLI,COLdimstdSTRISCIAdelFIANCOxALT1polistirolo,FALSE),"")</f>
        <v/>
      </c>
      <c r="KR67" s="150">
        <v>1</v>
      </c>
      <c r="KY67" s="168">
        <v>16</v>
      </c>
      <c r="KZ67" s="448"/>
      <c r="LB67" s="234" t="str">
        <f t="shared" si="38"/>
        <v/>
      </c>
      <c r="LM67" s="450" t="s">
        <v>199</v>
      </c>
      <c r="LN67" s="450"/>
      <c r="LO67" s="450"/>
      <c r="LP67" s="450"/>
      <c r="LQ67" s="450"/>
      <c r="LR67" s="450"/>
      <c r="LS67" s="450"/>
    </row>
    <row r="68" spans="1:334" ht="36" thickBot="1">
      <c r="A68" s="150"/>
      <c r="B68" s="150"/>
      <c r="C68" s="150" t="s">
        <v>180</v>
      </c>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315">
        <f>SUM(AF52:AF67)</f>
        <v>37.970000000000006</v>
      </c>
      <c r="AG68" s="325" t="s">
        <v>175</v>
      </c>
      <c r="AH68" s="325"/>
      <c r="AI68" s="451">
        <f>SUM(AI52:AI67)</f>
        <v>1</v>
      </c>
      <c r="AL68" s="150"/>
      <c r="AM68" s="150"/>
      <c r="AN68" s="150"/>
      <c r="CG68" s="323" t="s">
        <v>176</v>
      </c>
      <c r="CI68" s="318">
        <f>SUM(CI52:CI60)</f>
        <v>4</v>
      </c>
      <c r="CJ68" s="150"/>
      <c r="CM68" s="150"/>
      <c r="CN68" s="150"/>
      <c r="CQ68" s="324" t="s">
        <v>181</v>
      </c>
      <c r="EN68" s="159" t="s">
        <v>182</v>
      </c>
      <c r="JT68" s="452" t="e">
        <f>IF(AR69="","",#REF!)</f>
        <v>#REF!</v>
      </c>
      <c r="JU68" s="453">
        <f>IF(AR69="","",S68-9)</f>
        <v>-9</v>
      </c>
      <c r="JV68" s="453" t="e">
        <f>IF(AR69="","",#REF!+16)</f>
        <v>#REF!</v>
      </c>
      <c r="JW68" s="325"/>
      <c r="KH68" s="454"/>
      <c r="KI68" s="454"/>
      <c r="KK68" s="454"/>
      <c r="KR68">
        <v>1</v>
      </c>
      <c r="KW68" s="325"/>
      <c r="LC68" s="325" t="s">
        <v>179</v>
      </c>
      <c r="LD68" s="455">
        <f ca="1">SUM(LD52:LD60)</f>
        <v>19.853974000000001</v>
      </c>
      <c r="LQ68" s="456"/>
      <c r="LR68" s="456"/>
      <c r="LS68" s="457"/>
    </row>
    <row r="69" spans="1:334" ht="31.5" customHeight="1" thickBot="1">
      <c r="C69" s="328" t="s">
        <v>185</v>
      </c>
      <c r="D69" s="329" t="s">
        <v>186</v>
      </c>
      <c r="E69" s="330"/>
      <c r="F69" s="331"/>
      <c r="G69" s="331"/>
      <c r="H69" s="331"/>
      <c r="I69" s="328" t="s">
        <v>187</v>
      </c>
      <c r="J69" s="328" t="s">
        <v>188</v>
      </c>
      <c r="K69" s="329"/>
      <c r="L69" s="329" t="s">
        <v>189</v>
      </c>
      <c r="M69" s="331"/>
      <c r="N69" s="328" t="s">
        <v>190</v>
      </c>
      <c r="AL69" s="331"/>
      <c r="AM69" s="331"/>
      <c r="AR69" s="335" t="s">
        <v>195</v>
      </c>
      <c r="AS69" s="319" t="str">
        <f>IF(nota_tubolare="","",nota_tubolare)</f>
        <v/>
      </c>
      <c r="CJ69" s="323"/>
      <c r="CM69" s="331"/>
      <c r="CN69" s="331"/>
      <c r="JT69" s="458" t="e">
        <f>SUM(JT52:JT68)</f>
        <v>#REF!</v>
      </c>
      <c r="JU69" s="325" t="s">
        <v>245</v>
      </c>
      <c r="JV69" s="325"/>
      <c r="JW69" s="325"/>
      <c r="KA69" s="320" t="s">
        <v>183</v>
      </c>
      <c r="KW69" s="325" t="s">
        <v>246</v>
      </c>
      <c r="KY69" s="327" t="s">
        <v>184</v>
      </c>
      <c r="KZ69" s="327">
        <f>SUMIF(KZ52:KZ60,"&gt;0")</f>
        <v>1</v>
      </c>
    </row>
    <row r="70" spans="1:334" ht="30" customHeight="1" thickBot="1">
      <c r="C70" s="328" t="s">
        <v>200</v>
      </c>
      <c r="D70" s="329" t="s">
        <v>201</v>
      </c>
      <c r="E70" s="330"/>
      <c r="F70" s="331"/>
      <c r="G70" s="331"/>
      <c r="H70" s="331"/>
      <c r="I70" s="328" t="s">
        <v>202</v>
      </c>
      <c r="J70" s="328" t="s">
        <v>203</v>
      </c>
      <c r="K70" s="329"/>
      <c r="L70" s="329" t="s">
        <v>189</v>
      </c>
      <c r="M70" s="331"/>
      <c r="N70" s="328" t="s">
        <v>204</v>
      </c>
      <c r="AL70" s="331"/>
      <c r="AM70" s="331"/>
      <c r="AP70" s="334"/>
      <c r="AQ70" s="334"/>
      <c r="AR70" s="334"/>
      <c r="AS70" s="334"/>
      <c r="AU70" s="334"/>
      <c r="AW70" s="334"/>
      <c r="AZ70" s="334"/>
      <c r="BA70" s="334"/>
      <c r="BC70" s="334"/>
      <c r="BD70" s="334"/>
      <c r="CM70" s="331"/>
      <c r="CN70" s="331"/>
      <c r="JZ70" s="336" t="s">
        <v>198</v>
      </c>
      <c r="KB70" s="150"/>
      <c r="KC70" s="337">
        <f>KC52</f>
        <v>0</v>
      </c>
      <c r="KD70" s="338" t="str">
        <f>KD52</f>
        <v/>
      </c>
      <c r="KE70" s="338" t="str">
        <f>KE52</f>
        <v/>
      </c>
      <c r="KW70" s="325"/>
    </row>
    <row r="71" spans="1:334" ht="40.5" customHeight="1" thickBot="1">
      <c r="C71" s="328" t="s">
        <v>208</v>
      </c>
      <c r="D71" s="329" t="s">
        <v>209</v>
      </c>
      <c r="E71" s="330"/>
      <c r="F71" s="331"/>
      <c r="G71" s="331"/>
      <c r="H71" s="331"/>
      <c r="I71" s="328"/>
      <c r="J71" s="328"/>
      <c r="K71" s="329"/>
      <c r="L71" s="329"/>
      <c r="M71" s="331"/>
      <c r="N71" s="328"/>
      <c r="AG71" s="342" t="s">
        <v>206</v>
      </c>
      <c r="AH71" s="342"/>
      <c r="AI71" s="343">
        <f>AI68</f>
        <v>1</v>
      </c>
      <c r="AJ71" s="344" t="s">
        <v>207</v>
      </c>
      <c r="AK71" s="343">
        <f>'[1]IMMISSIONE DATI'!G80</f>
        <v>4</v>
      </c>
      <c r="AL71" s="331"/>
      <c r="AM71" s="331"/>
      <c r="CQ71" s="331"/>
      <c r="CR71" s="331"/>
      <c r="KC71" s="345"/>
      <c r="KE71" s="346"/>
      <c r="KF71" s="347"/>
      <c r="KG71" s="347"/>
      <c r="KH71" s="347"/>
      <c r="KZ71" s="325"/>
      <c r="LH71" s="363" t="s">
        <v>189</v>
      </c>
      <c r="LI71" s="362"/>
      <c r="LJ71" s="363" t="s">
        <v>227</v>
      </c>
      <c r="LK71" s="56"/>
      <c r="LL71" s="364"/>
      <c r="LM71" s="363" t="s">
        <v>228</v>
      </c>
      <c r="LN71" s="56"/>
      <c r="LO71" s="364"/>
      <c r="LR71" s="32" t="s">
        <v>217</v>
      </c>
      <c r="LV71" s="355" t="s">
        <v>218</v>
      </c>
    </row>
    <row r="72" spans="1:334" ht="38.25" customHeight="1" thickBot="1">
      <c r="C72" s="328" t="s">
        <v>212</v>
      </c>
      <c r="D72" s="329"/>
      <c r="E72" s="330"/>
      <c r="F72" s="331"/>
      <c r="G72" s="331"/>
      <c r="H72" s="331"/>
      <c r="I72" s="328"/>
      <c r="J72" s="328"/>
      <c r="K72" s="329"/>
      <c r="L72" s="329"/>
      <c r="M72" s="331"/>
      <c r="N72" s="328"/>
      <c r="AL72" s="331"/>
      <c r="AM72" s="331"/>
      <c r="CQ72" s="331"/>
      <c r="CR72" s="331"/>
      <c r="KC72" s="150"/>
      <c r="LH72" s="366"/>
      <c r="LI72" s="365"/>
      <c r="LJ72" s="366"/>
      <c r="LK72" s="299"/>
      <c r="LL72" s="365"/>
      <c r="LM72" s="366"/>
      <c r="LN72" s="299"/>
      <c r="LO72" s="365"/>
    </row>
    <row r="73" spans="1:334" ht="108.75" customHeight="1">
      <c r="C73" s="328" t="s">
        <v>220</v>
      </c>
      <c r="D73" s="329"/>
      <c r="E73" s="330"/>
      <c r="F73" s="331"/>
      <c r="G73" s="331"/>
      <c r="H73" s="331"/>
      <c r="I73" s="328"/>
      <c r="J73" s="328"/>
      <c r="K73" s="329"/>
      <c r="L73" s="329"/>
      <c r="M73" s="331"/>
      <c r="N73" s="328"/>
      <c r="AL73" s="331"/>
      <c r="AM73" s="331"/>
      <c r="AR73" s="351" t="s">
        <v>215</v>
      </c>
      <c r="CQ73" s="331"/>
      <c r="CR73" s="331"/>
      <c r="KC73" s="352"/>
      <c r="KD73" s="157" t="s">
        <v>216</v>
      </c>
      <c r="KE73" s="157"/>
      <c r="KF73" s="353"/>
      <c r="KG73" s="354"/>
      <c r="KH73" s="353"/>
    </row>
    <row r="74" spans="1:334" ht="29.25" customHeight="1">
      <c r="C74" s="328" t="s">
        <v>225</v>
      </c>
      <c r="D74" s="329"/>
      <c r="E74" s="330"/>
      <c r="F74" s="331"/>
      <c r="G74" s="331"/>
      <c r="H74" s="331"/>
      <c r="I74" s="328"/>
      <c r="J74" s="328"/>
      <c r="K74" s="329"/>
      <c r="L74" s="329"/>
      <c r="M74" s="331"/>
      <c r="N74" s="328"/>
      <c r="AL74" s="331"/>
      <c r="AM74" s="331"/>
      <c r="CQ74" s="331"/>
      <c r="CR74" s="331"/>
      <c r="KC74" s="356"/>
      <c r="KD74" s="150"/>
      <c r="KE74" s="150"/>
      <c r="KF74" s="357" t="s">
        <v>222</v>
      </c>
      <c r="KG74" s="357" t="s">
        <v>223</v>
      </c>
      <c r="KH74" s="357" t="s">
        <v>224</v>
      </c>
    </row>
    <row r="75" spans="1:334" ht="30">
      <c r="C75" s="349"/>
      <c r="D75" s="352"/>
      <c r="E75" s="330"/>
      <c r="F75" s="331"/>
      <c r="G75" s="331"/>
      <c r="H75" s="331"/>
      <c r="I75" s="349"/>
      <c r="J75" s="349"/>
      <c r="K75" s="352"/>
      <c r="L75" s="352"/>
      <c r="M75" s="331"/>
      <c r="N75" s="349"/>
      <c r="AL75" s="331"/>
      <c r="AM75" s="331"/>
      <c r="CQ75" s="331"/>
      <c r="CR75" s="331"/>
      <c r="KB75" s="359">
        <f>KB52</f>
        <v>930</v>
      </c>
      <c r="KC75" s="360"/>
      <c r="KD75" s="150" t="s">
        <v>26</v>
      </c>
      <c r="KE75" s="150"/>
      <c r="KF75" s="361"/>
      <c r="KG75" s="361"/>
      <c r="KH75" s="361"/>
    </row>
    <row r="76" spans="1:334" ht="30">
      <c r="C76" s="349"/>
      <c r="D76" s="352"/>
      <c r="E76" s="330"/>
      <c r="F76" s="331"/>
      <c r="G76" s="331"/>
      <c r="H76" s="331"/>
      <c r="I76" s="349"/>
      <c r="J76" s="349"/>
      <c r="K76" s="352"/>
      <c r="L76" s="352"/>
      <c r="M76" s="331"/>
      <c r="N76" s="349"/>
      <c r="AL76" s="331"/>
      <c r="AM76" s="331"/>
      <c r="CQ76" s="331"/>
      <c r="CR76" s="331"/>
      <c r="KC76" s="360"/>
      <c r="KD76" s="150"/>
      <c r="KE76" s="150"/>
      <c r="KF76" s="361"/>
      <c r="KG76" s="361"/>
      <c r="KH76" s="361"/>
    </row>
    <row r="77" spans="1:334" ht="30">
      <c r="KC77" s="367"/>
      <c r="KD77" s="161"/>
      <c r="KE77" s="161"/>
      <c r="KF77" s="368"/>
      <c r="KG77" s="368"/>
      <c r="KH77" s="368"/>
    </row>
    <row r="86" spans="79:191" ht="17" thickBot="1">
      <c r="CC86" s="35"/>
      <c r="CD86" s="35"/>
      <c r="CE86" s="35"/>
      <c r="CF86" s="35" t="s">
        <v>247</v>
      </c>
      <c r="CG86" s="459">
        <v>80</v>
      </c>
      <c r="CI86" t="s">
        <v>248</v>
      </c>
      <c r="EV86">
        <f>SUM(ES45:ES46)</f>
        <v>0</v>
      </c>
      <c r="FB86" t="s">
        <v>181</v>
      </c>
      <c r="GC86" s="35"/>
      <c r="GD86" s="35"/>
      <c r="GE86" s="35"/>
      <c r="GF86" s="35"/>
      <c r="GG86" s="35"/>
      <c r="GH86" s="35"/>
    </row>
    <row r="87" spans="79:191" ht="36" thickBot="1">
      <c r="CI87" s="363" t="s">
        <v>249</v>
      </c>
      <c r="CJ87" s="364"/>
      <c r="CT87" s="364"/>
      <c r="ER87" s="363" t="s">
        <v>250</v>
      </c>
      <c r="ES87" s="364"/>
      <c r="EZ87" s="364"/>
      <c r="FB87" s="363" t="s">
        <v>251</v>
      </c>
      <c r="FC87" s="364"/>
      <c r="GI87" s="460" t="s">
        <v>252</v>
      </c>
    </row>
    <row r="88" spans="79:191" ht="409.6" thickBot="1">
      <c r="CA88" s="382" t="s">
        <v>27</v>
      </c>
      <c r="CB88" s="358"/>
      <c r="CC88" s="383"/>
      <c r="CD88" s="386" t="s">
        <v>253</v>
      </c>
      <c r="CE88" s="386" t="s">
        <v>29</v>
      </c>
      <c r="CF88" s="386" t="s">
        <v>36</v>
      </c>
      <c r="CG88" s="386" t="s">
        <v>254</v>
      </c>
      <c r="CH88" s="461" t="s">
        <v>51</v>
      </c>
      <c r="CI88" s="462" t="s">
        <v>54</v>
      </c>
      <c r="CJ88" s="463" t="s">
        <v>89</v>
      </c>
      <c r="CL88" s="386"/>
      <c r="CM88" s="386"/>
      <c r="CN88" s="386"/>
      <c r="CO88" s="386"/>
      <c r="CP88" s="386"/>
      <c r="CT88" s="463" t="s">
        <v>89</v>
      </c>
      <c r="CU88" s="115"/>
      <c r="CW88" s="115"/>
      <c r="CX88" s="115"/>
      <c r="CY88" s="115"/>
      <c r="CZ88" s="115"/>
      <c r="DA88" s="115"/>
      <c r="DB88" s="115"/>
      <c r="DC88" s="115"/>
      <c r="DD88" s="115"/>
      <c r="DE88" s="115"/>
      <c r="DF88" s="115"/>
      <c r="DG88" s="115"/>
      <c r="DH88" s="115"/>
      <c r="DI88" s="115"/>
      <c r="DJ88" s="115"/>
      <c r="DM88" s="115"/>
      <c r="DN88" s="115"/>
      <c r="DO88" s="115"/>
      <c r="DP88" s="115"/>
      <c r="DQ88" s="115"/>
      <c r="DR88" s="115"/>
      <c r="DS88" s="115"/>
      <c r="DT88" s="115"/>
      <c r="DU88" s="115"/>
      <c r="DV88" s="115"/>
      <c r="DW88" s="115"/>
      <c r="DX88" s="115"/>
      <c r="DY88" s="115"/>
      <c r="DZ88" s="115"/>
      <c r="EA88" s="115"/>
      <c r="EB88" s="115"/>
      <c r="EC88" s="115"/>
      <c r="ED88" s="115"/>
      <c r="EE88" s="115"/>
      <c r="EF88" s="115"/>
      <c r="EG88" s="115"/>
      <c r="EH88" s="115"/>
      <c r="EI88" s="115"/>
      <c r="EJ88" s="115"/>
      <c r="EK88" s="115"/>
      <c r="EL88" s="115"/>
      <c r="EN88" s="115"/>
      <c r="EO88" s="115"/>
      <c r="EP88" s="386"/>
      <c r="EQ88" s="386"/>
      <c r="ER88" s="462" t="s">
        <v>54</v>
      </c>
      <c r="ES88" s="463" t="s">
        <v>89</v>
      </c>
      <c r="ET88" s="386"/>
      <c r="EU88" s="464" t="s">
        <v>240</v>
      </c>
      <c r="EV88" s="465" t="s">
        <v>255</v>
      </c>
      <c r="EW88" s="466" t="s">
        <v>256</v>
      </c>
      <c r="EX88" s="467" t="s">
        <v>257</v>
      </c>
      <c r="EY88" s="386" t="s">
        <v>116</v>
      </c>
      <c r="EZ88" s="463" t="s">
        <v>89</v>
      </c>
      <c r="FB88" s="462" t="s">
        <v>54</v>
      </c>
      <c r="FC88" s="463" t="s">
        <v>89</v>
      </c>
      <c r="FW88" s="386" t="s">
        <v>258</v>
      </c>
      <c r="FX88" s="386" t="s">
        <v>54</v>
      </c>
      <c r="FY88" s="386" t="s">
        <v>259</v>
      </c>
      <c r="GC88" s="386"/>
      <c r="GD88" s="386"/>
      <c r="GE88" s="386"/>
      <c r="GF88" s="386"/>
      <c r="GG88" s="386"/>
      <c r="GH88" s="386"/>
      <c r="GI88" s="468" t="s">
        <v>260</v>
      </c>
    </row>
    <row r="89" spans="79:191" ht="409.6">
      <c r="CA89" s="410" t="s">
        <v>54</v>
      </c>
      <c r="CB89" s="411" t="s">
        <v>89</v>
      </c>
      <c r="CC89" s="403" t="s">
        <v>239</v>
      </c>
      <c r="CD89" s="469">
        <f t="shared" ref="CD89:CD104" si="39">DOGA_MODERNA_200/MILLE*DIMENSIONE_DOGA_FINO_ALL_UNCINO*CI89</f>
        <v>9.1231999999999994E-2</v>
      </c>
      <c r="CE89" s="469">
        <f t="shared" ref="CE89:CE104" si="40">CERNIERA_TUBOLARE_MODERNA*(FC89/MILLE)</f>
        <v>0.39469199999999999</v>
      </c>
      <c r="CF89" s="469">
        <f t="shared" ref="CF89:CF104" si="41">CERNIERA_APERTA_MODERNA*(FC89/1000)</f>
        <v>0.18320999999999998</v>
      </c>
      <c r="CG89" s="469">
        <f t="shared" ref="CG89:CG104" si="42">TUBOLARE_30_30_2/100*12</f>
        <v>7.2599999999999998E-2</v>
      </c>
      <c r="CH89" s="470">
        <v>1</v>
      </c>
      <c r="CI89" s="471">
        <f t="shared" ref="CI89:CI94" si="43">IF(D52="","",F52/DUECENTO*D52)</f>
        <v>0.4</v>
      </c>
      <c r="CJ89" s="212" t="e">
        <f>IF(D52="","",E52-VLOOKUP($B$46,tabMODELLI,COLcoeffTAGLIOdogaOPPURElastraINlarg,FALSE)-(IF(#REF!="",FALSE,VLOOKUP(PROFlatAUTO1,TABprofLATten,COLcoeffCALOdoga,FALSE))))</f>
        <v>#REF!</v>
      </c>
      <c r="CL89" s="150"/>
      <c r="CM89" s="150"/>
      <c r="CN89" s="150"/>
      <c r="CO89" s="150"/>
      <c r="CP89" s="150"/>
      <c r="CT89" s="212">
        <f t="shared" ref="CT89:CT104" si="44">IF(EZ89="","",EZ89-zerovirgolatre)</f>
        <v>92.7</v>
      </c>
      <c r="CU89" s="150"/>
      <c r="CW89" s="150"/>
      <c r="CX89" s="150"/>
      <c r="CY89" s="150"/>
      <c r="CZ89" s="150"/>
      <c r="DA89" s="150"/>
      <c r="DB89" s="150"/>
      <c r="DC89" s="150"/>
      <c r="DD89" s="150"/>
      <c r="DE89" s="150"/>
      <c r="DF89" s="150"/>
      <c r="DG89" s="150"/>
      <c r="DH89" s="150"/>
      <c r="DI89" s="150"/>
      <c r="DJ89" s="150"/>
      <c r="DM89" s="150"/>
      <c r="DN89" s="150"/>
      <c r="DO89" s="150"/>
      <c r="DP89" s="150"/>
      <c r="DQ89" s="150"/>
      <c r="DR89" s="150"/>
      <c r="DS89" s="150"/>
      <c r="DT89" s="150"/>
      <c r="DU89" s="150"/>
      <c r="DV89" s="150"/>
      <c r="DW89" s="150"/>
      <c r="DX89" s="150"/>
      <c r="DY89" s="150"/>
      <c r="DZ89" s="150"/>
      <c r="EA89" s="150"/>
      <c r="EB89" s="150"/>
      <c r="EC89" s="150"/>
      <c r="ED89" s="150"/>
      <c r="EE89" s="150"/>
      <c r="EF89" s="150"/>
      <c r="EG89" s="150"/>
      <c r="EH89" s="150"/>
      <c r="EI89" s="150"/>
      <c r="EJ89" s="150"/>
      <c r="EK89" s="150"/>
      <c r="EL89" s="150"/>
      <c r="EN89" s="150"/>
      <c r="EO89" s="150"/>
      <c r="EP89" s="150"/>
      <c r="EQ89" s="150"/>
      <c r="ER89" s="471">
        <f t="shared" ref="ER89:ER94" si="45">IF(D52="","",D52)</f>
        <v>1</v>
      </c>
      <c r="ES89" s="212">
        <f t="shared" ref="ES89:ES104" si="46">EZ89</f>
        <v>93</v>
      </c>
      <c r="EU89" s="472" t="e">
        <f t="shared" ref="EU89:EU104" ca="1" si="47">IF(OR(modelloAUTO1=MODERNA,),INDEX(INDIRECT("TABnCATENACCIOvert"&amp;$B$46),rif_alt1,rif_larg1)*pezzi1,"")</f>
        <v>#REF!</v>
      </c>
      <c r="EV89" s="473" t="e">
        <f ca="1">IF(nCatenacci1=0,"",(CJ89+QUATTRO-(IF(nCatenacci1="",ZERO,SESSANTA*(nCatenacci1/PZCLICK_RAPID1))))/((nCatenacci1/PZCLICK_RAPID1)+UNO))</f>
        <v>#REF!</v>
      </c>
      <c r="EW89" s="474" t="e">
        <f ca="1">IF(AND(EU89&lt;&gt;"",#REF!&lt;&gt;""),spessoreCATENACCIOverticale60X15X300,"")</f>
        <v>#REF!</v>
      </c>
      <c r="EX89" s="475" t="str">
        <f t="shared" ref="EX89:EX104" si="48">IF(OR(modelloAUTO1,modello1=CLICK_RAPID),EU89,"")</f>
        <v/>
      </c>
      <c r="EY89" s="476" t="e">
        <f ca="1">IF(modello1=MODERNA,INDEX(INDIRECT("TABnMANIGLIEsuperiori"&amp;B46),rif_alt1,rif_larg1),"")</f>
        <v>#REF!</v>
      </c>
      <c r="EZ89" s="212">
        <f t="shared" ref="EZ89:EZ94" si="49">IF(E52="","",F52+VLOOKUP($B$46,tabMODELLI,COLcoeffTAGLIOPROFILIlateraliEverticaliAttaccatiALLAbarriera,FALSE))</f>
        <v>93</v>
      </c>
      <c r="FA89" s="150"/>
      <c r="FB89" s="471">
        <f t="shared" ref="FB89:FB94" si="50">IF(D52="","",D52)</f>
        <v>1</v>
      </c>
      <c r="FC89" s="212">
        <f>EZ89</f>
        <v>93</v>
      </c>
      <c r="FW89" s="477" t="e">
        <f ca="1">IF(modello1=MODERNA,INDEX(INDIRECT("TABnMANIGLIEfrontali"&amp;B46),rif_alt1,rif_larg1),"")</f>
        <v>#REF!</v>
      </c>
      <c r="FX89" s="452" t="e">
        <f ca="1">IF(D52="","",INDEX(INDIRECT("TABnMANIGLIEsuperiori"&amp;B46),MATCH(F52/DIECI,tabALTstdMODERNA,UNO),MATCH(E52/DIECI,TABlargMODERNA,UNO))*D52)</f>
        <v>#REF!</v>
      </c>
      <c r="FY89" s="452" t="e">
        <f ca="1">IF(OR(FX89&lt;=UNO,FX89=""),"",(E52-(SETTECENTO*(INDEX(INDIRECT("TABnMANIGLIEsuperiori"&amp;O45),MATCH(F52/DIECI,tabALTstdMODERNA,UNO),MATCH(E52/DIECI,TABlargMODERNA,UNO))/DUE)))/INDEX(INDIRECT("TABnMANIGLIEsuperiori"&amp;O45),MATCH(F52/DIECI,tabALTstdMODERNA,UNO),MATCH(E52/DIECI,TABlargMODERNA,UNO)))</f>
        <v>#REF!</v>
      </c>
      <c r="GI89" s="478" t="e">
        <f>IF(D52="","",#REF!*#REF!-DIMENSIONE_DOGA_FINO_ALL_UNCINO)</f>
        <v>#REF!</v>
      </c>
    </row>
    <row r="90" spans="79:191" ht="34">
      <c r="CA90" s="211">
        <f>IF(modelloAUTO1=$B$46,altezza1*DIECI/VLOOKUP($B$46,tabMODELLI,COLcoefALTdogaSORMONTATAda200,FALSE)*pezzi1,"")</f>
        <v>4</v>
      </c>
      <c r="CB90" s="212">
        <f>IF(modelloAUTO1=$B$46,larghezza1*DIECI-VLOOKUP($B$46,tabMODELLI,COLcoeffTAGLIOdogaOPPURElastraINlarg,FALSE)-VLOOKUP(PROFlatAUTO1,TABprofLATten,COLcoeffCALOdoga,FALSE),"")</f>
        <v>806</v>
      </c>
      <c r="CC90" s="479" t="str">
        <f>IF(modelloAUTO1=$B$46,IF(vernBarriera1="","OX ARGENTO",vernBarriera1),"")</f>
        <v>OX ARGENTO</v>
      </c>
      <c r="CD90" s="469">
        <f t="shared" si="39"/>
        <v>0.11403999999999999</v>
      </c>
      <c r="CE90" s="469">
        <f t="shared" si="40"/>
        <v>0.479572</v>
      </c>
      <c r="CF90" s="469">
        <f t="shared" si="41"/>
        <v>0.22261</v>
      </c>
      <c r="CG90" s="469">
        <f t="shared" si="42"/>
        <v>7.2599999999999998E-2</v>
      </c>
      <c r="CH90" s="470">
        <v>2</v>
      </c>
      <c r="CI90" s="471">
        <f t="shared" si="43"/>
        <v>0.5</v>
      </c>
      <c r="CJ90" s="212" t="e">
        <f>IF(D53="","",E53-VLOOKUP($B$46,tabMODELLI,COLcoeffTAGLIOdogaOPPURElastraINlarg,FALSE)-(IF(#REF!="",FALSE,VLOOKUP(PROFlatAUTO1,TABprofLATten,COLcoeffCALOdoga,FALSE))))</f>
        <v>#REF!</v>
      </c>
      <c r="CL90" s="150"/>
      <c r="CM90" s="150"/>
      <c r="CN90" s="150"/>
      <c r="CO90" s="150"/>
      <c r="CP90" s="150"/>
      <c r="CT90" s="212">
        <f t="shared" si="44"/>
        <v>112.7</v>
      </c>
      <c r="CU90" s="150"/>
      <c r="CW90" s="150"/>
      <c r="CX90" s="150"/>
      <c r="CY90" s="150"/>
      <c r="CZ90" s="150"/>
      <c r="DA90" s="150"/>
      <c r="DB90" s="150"/>
      <c r="DC90" s="150"/>
      <c r="DD90" s="150"/>
      <c r="DE90" s="150"/>
      <c r="DF90" s="150"/>
      <c r="DG90" s="150"/>
      <c r="DH90" s="150"/>
      <c r="DI90" s="150"/>
      <c r="DJ90" s="150"/>
      <c r="DM90" s="150"/>
      <c r="DN90" s="150"/>
      <c r="DO90" s="150"/>
      <c r="DP90" s="150"/>
      <c r="DQ90" s="150"/>
      <c r="DR90" s="150"/>
      <c r="DS90" s="150"/>
      <c r="DT90" s="150"/>
      <c r="DU90" s="150"/>
      <c r="DV90" s="150"/>
      <c r="DW90" s="150"/>
      <c r="DX90" s="150"/>
      <c r="DY90" s="150"/>
      <c r="DZ90" s="150"/>
      <c r="EA90" s="150"/>
      <c r="EB90" s="150"/>
      <c r="EC90" s="150"/>
      <c r="ED90" s="150"/>
      <c r="EE90" s="150"/>
      <c r="EF90" s="150"/>
      <c r="EG90" s="150"/>
      <c r="EH90" s="150"/>
      <c r="EI90" s="150"/>
      <c r="EJ90" s="150"/>
      <c r="EK90" s="150"/>
      <c r="EL90" s="150"/>
      <c r="EN90" s="150"/>
      <c r="EO90" s="150"/>
      <c r="EP90" s="150"/>
      <c r="EQ90" s="150"/>
      <c r="ER90" s="471">
        <f t="shared" si="45"/>
        <v>1</v>
      </c>
      <c r="ES90" s="212">
        <f t="shared" si="46"/>
        <v>113</v>
      </c>
      <c r="EU90" s="472" t="e">
        <f t="shared" ca="1" si="47"/>
        <v>#REF!</v>
      </c>
      <c r="EV90" s="473" t="str">
        <f ca="1">IF(OR(nCatenacci2=0,nCatenacci2="",),"",(CJ90+QUATTRO-(IF(nCatenacci2="",ZERO,SESSANTA*(nCatenacci2/PZCLICK_RAPID2))))/((nCatenacci2/PZCLICK_RAPID2)+UNO))</f>
        <v/>
      </c>
      <c r="EW90" s="474" t="e">
        <f ca="1">IF(AND(EU90&lt;&gt;"",#REF!&lt;&gt;""),spessoreCATENACCIOverticale60X15X300,"")</f>
        <v>#REF!</v>
      </c>
      <c r="EX90" s="475" t="str">
        <f t="shared" si="48"/>
        <v/>
      </c>
      <c r="EY90" s="476" t="e">
        <f ca="1">IF(modello1=MODERNA,INDEX(INDIRECT("TABnMANIGLIEsuperiori"&amp;B46),rif_alt1,rif_larg1),"")</f>
        <v>#REF!</v>
      </c>
      <c r="EZ90" s="212">
        <f t="shared" si="49"/>
        <v>113</v>
      </c>
      <c r="FA90" s="150"/>
      <c r="FB90" s="471">
        <f t="shared" si="50"/>
        <v>1</v>
      </c>
      <c r="FC90" s="212">
        <f t="shared" ref="FC90:FC104" si="51">EZ90</f>
        <v>113</v>
      </c>
      <c r="FW90" s="477" t="str">
        <f ca="1">IF(modelloAUTO2=MODERNA,INDEX(INDIRECT("TABnMANIGLIEfrontali"&amp;B46),rif_alt2,rif_larg2),"")</f>
        <v/>
      </c>
      <c r="FX90" s="452" t="e">
        <f ca="1">IF(D53="","",INDEX(INDIRECT("TABnMANIGLIEsuperiori"&amp;B46),MATCH(F53/DIECI,tabALTstdMODERNA,UNO),MATCH(E53/DIECI,TABlargMODERNA,UNO))*D53)</f>
        <v>#REF!</v>
      </c>
      <c r="FY90" s="452" t="e">
        <f ca="1">IF(OR(FX90&lt;=UNO,FX90=""),"",(E53-(SETTECENTO*(INDEX(INDIRECT("TABnMANIGLIEsuperiori"&amp;B46),MATCH(F53/DIECI,tabALTstdMODERNA,UNO),MATCH(E53/DIECI,TABlargMODERNA,UNO))/DUE)))/INDEX(INDIRECT("TABnMANIGLIEsuperiori"&amp;B46),MATCH(F53/DIECI,tabALTstdMODERNA,UNO),MATCH(E53/DIECI,TABlargMODERNA,UNO)))</f>
        <v>#REF!</v>
      </c>
      <c r="GI90" s="478" t="e">
        <f>IF(D53="","",#REF!*#REF!-DIMENSIONE_DOGA_FINO_ALL_UNCINO)</f>
        <v>#REF!</v>
      </c>
    </row>
    <row r="91" spans="79:191" ht="34">
      <c r="CA91" s="211" t="str">
        <f>IF(modelloAUTO2=$B$46,altezza2*DIECI/VLOOKUP($B$46,tabMODELLI,COLcoefALTdogaSORMONTATAda200,FALSE)*pezzi2,"")</f>
        <v/>
      </c>
      <c r="CB91" s="212" t="str">
        <f>IF(modelloAUTO2=$B$46,larghezza2*DIECI-VLOOKUP($B$46,tabMODELLI,COLcoeffTAGLIOdogaOPPURElastraINlarg,FALSE)-VLOOKUP(PROFlatAUTO2,TABprofLATten,COLcoeffCALOdoga,FALSE),"")</f>
        <v/>
      </c>
      <c r="CC91" s="479" t="str">
        <f>IF(modelloAUTO2=$B$46,IF(vernBarriera2="","OX ARGENTO",vernBarriera2),"")</f>
        <v/>
      </c>
      <c r="CD91" s="469">
        <f t="shared" si="39"/>
        <v>0.11403999999999999</v>
      </c>
      <c r="CE91" s="469">
        <f t="shared" si="40"/>
        <v>0.479572</v>
      </c>
      <c r="CF91" s="469">
        <f t="shared" si="41"/>
        <v>0.22261</v>
      </c>
      <c r="CG91" s="469">
        <f t="shared" si="42"/>
        <v>7.2599999999999998E-2</v>
      </c>
      <c r="CH91" s="470">
        <v>3</v>
      </c>
      <c r="CI91" s="471">
        <f t="shared" si="43"/>
        <v>0.5</v>
      </c>
      <c r="CJ91" s="212" t="e">
        <f>IF(D54="","",E54-VLOOKUP($B$46,tabMODELLI,COLcoeffTAGLIOdogaOPPURElastraINlarg,FALSE)-(IF(#REF!="",FALSE,VLOOKUP(PROFlatAUTO1,TABprofLATten,COLcoeffCALOdoga,FALSE))))</f>
        <v>#REF!</v>
      </c>
      <c r="CL91" s="150"/>
      <c r="CM91" s="150"/>
      <c r="CN91" s="150"/>
      <c r="CO91" s="150"/>
      <c r="CP91" s="150"/>
      <c r="CT91" s="212">
        <f t="shared" si="44"/>
        <v>112.7</v>
      </c>
      <c r="CU91" s="150"/>
      <c r="CW91" s="150"/>
      <c r="CX91" s="150"/>
      <c r="CY91" s="150"/>
      <c r="CZ91" s="150"/>
      <c r="DA91" s="150"/>
      <c r="DB91" s="150"/>
      <c r="DC91" s="150"/>
      <c r="DD91" s="150"/>
      <c r="DE91" s="150"/>
      <c r="DF91" s="150"/>
      <c r="DG91" s="150"/>
      <c r="DH91" s="150"/>
      <c r="DI91" s="150"/>
      <c r="DJ91" s="150"/>
      <c r="DM91" s="150"/>
      <c r="DN91" s="150"/>
      <c r="DO91" s="150"/>
      <c r="DP91" s="150"/>
      <c r="DQ91" s="150"/>
      <c r="DR91" s="150"/>
      <c r="DS91" s="150"/>
      <c r="DT91" s="150"/>
      <c r="DU91" s="150"/>
      <c r="DV91" s="150"/>
      <c r="DW91" s="150"/>
      <c r="DX91" s="150"/>
      <c r="DY91" s="150"/>
      <c r="DZ91" s="150"/>
      <c r="EA91" s="150"/>
      <c r="EB91" s="150"/>
      <c r="EC91" s="150"/>
      <c r="ED91" s="150"/>
      <c r="EE91" s="150"/>
      <c r="EF91" s="150"/>
      <c r="EG91" s="150"/>
      <c r="EH91" s="150"/>
      <c r="EI91" s="150"/>
      <c r="EJ91" s="150"/>
      <c r="EK91" s="150"/>
      <c r="EL91" s="150"/>
      <c r="EN91" s="150"/>
      <c r="EO91" s="150"/>
      <c r="EP91" s="150"/>
      <c r="EQ91" s="150"/>
      <c r="ER91" s="471">
        <f t="shared" si="45"/>
        <v>1</v>
      </c>
      <c r="ES91" s="212">
        <f t="shared" si="46"/>
        <v>113</v>
      </c>
      <c r="EU91" s="472" t="e">
        <f t="shared" ca="1" si="47"/>
        <v>#REF!</v>
      </c>
      <c r="EV91" s="473" t="str">
        <f ca="1">IF(OR(nCatenacci3=0,nCatenacci3="",),"",(CJ91+QUATTRO-(IF(nCatenacci3="",ZERO,SESSANTA*(nCatenacci3/PZCLICK_RAPID3))))/((nCatenacci3/PZCLICK_RAPID3)+UNO))</f>
        <v/>
      </c>
      <c r="EW91" s="474" t="e">
        <f ca="1">IF(AND(EU91&lt;&gt;"",#REF!&lt;&gt;""),spessoreCATENACCIOverticale60X15X300,"")</f>
        <v>#REF!</v>
      </c>
      <c r="EX91" s="475" t="str">
        <f t="shared" si="48"/>
        <v/>
      </c>
      <c r="EY91" s="476" t="e">
        <f ca="1">IF(modello1=MODERNA,INDEX(INDIRECT("TABnMANIGLIEsuperiori"&amp;B46),rif_alt1,rif_larg1),"")</f>
        <v>#REF!</v>
      </c>
      <c r="EZ91" s="212">
        <f t="shared" si="49"/>
        <v>113</v>
      </c>
      <c r="FA91" s="150"/>
      <c r="FB91" s="471">
        <f t="shared" si="50"/>
        <v>1</v>
      </c>
      <c r="FC91" s="212">
        <f t="shared" si="51"/>
        <v>113</v>
      </c>
      <c r="FW91" s="477" t="str">
        <f ca="1">IF(modelloAUTO3=MODERNA,INDEX(INDIRECT("TABnMANIGLIEfrontali"&amp;B46),rif_alt3,rif_larg3),"")</f>
        <v/>
      </c>
      <c r="FX91" s="452" t="e">
        <f ca="1">IF(D54="","",INDEX(INDIRECT("TABnMANIGLIEsuperiori"&amp;B46),MATCH(F54/DIECI,tabALTstdMODERNA,UNO),MATCH(E54/DIECI,TABlargMODERNA,UNO))*D54)</f>
        <v>#REF!</v>
      </c>
      <c r="FY91" s="452" t="e">
        <f ca="1">IF(OR(FX91&lt;=UNO,FX91=""),"",(E54-(SETTECENTO*(INDEX(INDIRECT("TABnMANIGLIEsuperiori"&amp;E49),MATCH(F54/DIECI,tabALTstdMODERNA,UNO),MATCH(E54/DIECI,TABlargMODERNA,UNO))/DUE)))/INDEX(INDIRECT("TABnMANIGLIEsuperiori"&amp;E49),MATCH(F54/DIECI,tabALTstdMODERNA,UNO),MATCH(E54/DIECI,TABlargMODERNA,UNO)))</f>
        <v>#REF!</v>
      </c>
      <c r="GI91" s="478" t="e">
        <f>IF(D54="","",#REF!*#REF!-DIMENSIONE_DOGA_FINO_ALL_UNCINO)</f>
        <v>#REF!</v>
      </c>
    </row>
    <row r="92" spans="79:191" ht="34">
      <c r="CA92" s="211" t="str">
        <f>IF(modelloAUTO3=$B$46,altezza3*DIECI/VLOOKUP($B$46,tabMODELLI,COLcoefALTdogaSORMONTATAda200,FALSE)*pezzi3,"")</f>
        <v/>
      </c>
      <c r="CB92" s="212" t="str">
        <f>IF(modelloAUTO3=$B$46,larghezza3*DIECI-VLOOKUP($B$46,tabMODELLI,COLcoeffTAGLIOdogaOPPURElastraINlarg,FALSE)-VLOOKUP(PROFlatAUTO3,TABprofLATten,COLcoeffCALOdoga,FALSE),"")</f>
        <v/>
      </c>
      <c r="CC92" s="479" t="str">
        <f>IF(modelloAUTO3=$B$46,IF(vernBarriera3="","OX ARGENTO",vernBarriera3),"")</f>
        <v/>
      </c>
      <c r="CD92" s="469">
        <f t="shared" si="39"/>
        <v>0.11403999999999999</v>
      </c>
      <c r="CE92" s="469">
        <f t="shared" si="40"/>
        <v>0.479572</v>
      </c>
      <c r="CF92" s="469">
        <f t="shared" si="41"/>
        <v>0.22261</v>
      </c>
      <c r="CG92" s="469">
        <f t="shared" si="42"/>
        <v>7.2599999999999998E-2</v>
      </c>
      <c r="CH92" s="470">
        <v>4</v>
      </c>
      <c r="CI92" s="471">
        <f t="shared" si="43"/>
        <v>0.5</v>
      </c>
      <c r="CJ92" s="212" t="e">
        <f>IF(D55="","",E55-VLOOKUP($B$46,tabMODELLI,COLcoeffTAGLIOdogaOPPURElastraINlarg,FALSE)-(IF(#REF!="",FALSE,VLOOKUP(PROFlatAUTO1,TABprofLATten,COLcoeffCALOdoga,FALSE))))</f>
        <v>#REF!</v>
      </c>
      <c r="CL92" s="150"/>
      <c r="CM92" s="150"/>
      <c r="CN92" s="150"/>
      <c r="CO92" s="150"/>
      <c r="CP92" s="150"/>
      <c r="CT92" s="212">
        <f t="shared" si="44"/>
        <v>112.7</v>
      </c>
      <c r="CU92" s="150"/>
      <c r="CW92" s="150"/>
      <c r="CX92" s="150"/>
      <c r="CY92" s="150"/>
      <c r="CZ92" s="150"/>
      <c r="DA92" s="150"/>
      <c r="DB92" s="150"/>
      <c r="DC92" s="150"/>
      <c r="DD92" s="150"/>
      <c r="DE92" s="150"/>
      <c r="DF92" s="150"/>
      <c r="DG92" s="150"/>
      <c r="DH92" s="150"/>
      <c r="DI92" s="150"/>
      <c r="DJ92" s="150"/>
      <c r="DM92" s="150"/>
      <c r="DN92" s="150"/>
      <c r="DO92" s="150"/>
      <c r="DP92" s="150"/>
      <c r="DQ92" s="150"/>
      <c r="DR92" s="150"/>
      <c r="DS92" s="150"/>
      <c r="DT92" s="150"/>
      <c r="DU92" s="150"/>
      <c r="DV92" s="150"/>
      <c r="DW92" s="150"/>
      <c r="DX92" s="150"/>
      <c r="DY92" s="150"/>
      <c r="DZ92" s="150"/>
      <c r="EA92" s="150"/>
      <c r="EB92" s="150"/>
      <c r="EC92" s="150"/>
      <c r="ED92" s="150"/>
      <c r="EE92" s="150"/>
      <c r="EF92" s="150"/>
      <c r="EG92" s="150"/>
      <c r="EH92" s="150"/>
      <c r="EI92" s="150"/>
      <c r="EJ92" s="150"/>
      <c r="EK92" s="150"/>
      <c r="EL92" s="150"/>
      <c r="EN92" s="150"/>
      <c r="EO92" s="150"/>
      <c r="EP92" s="150"/>
      <c r="EQ92" s="150"/>
      <c r="ER92" s="471">
        <f t="shared" si="45"/>
        <v>1</v>
      </c>
      <c r="ES92" s="212">
        <f t="shared" si="46"/>
        <v>113</v>
      </c>
      <c r="EU92" s="472" t="e">
        <f t="shared" ca="1" si="47"/>
        <v>#REF!</v>
      </c>
      <c r="EV92" s="473" t="str">
        <f ca="1">IF(OR(nCatenacci4=0,nCatenacci4="",),"",(CJ92+QUATTRO-(IF(nCatenacci4="",ZERO,SESSANTA*(nCatenacci4/PZCLICK_RAPID4))))/((nCatenacci4/PZCLICK_RAPID4)+UNO))</f>
        <v/>
      </c>
      <c r="EW92" s="474" t="e">
        <f ca="1">IF(AND(EU92&lt;&gt;"",#REF!&lt;&gt;""),spessoreCATENACCIOverticale60X15X300,"")</f>
        <v>#REF!</v>
      </c>
      <c r="EX92" s="475" t="str">
        <f t="shared" si="48"/>
        <v/>
      </c>
      <c r="EY92" s="476" t="e">
        <f ca="1">IF(modello1=MODERNA,INDEX(INDIRECT("TABnMANIGLIEsuperiori"&amp;B46),rif_alt1,rif_larg1),"")</f>
        <v>#REF!</v>
      </c>
      <c r="EZ92" s="212">
        <f t="shared" si="49"/>
        <v>113</v>
      </c>
      <c r="FA92" s="150"/>
      <c r="FB92" s="471">
        <f t="shared" si="50"/>
        <v>1</v>
      </c>
      <c r="FC92" s="212">
        <f t="shared" si="51"/>
        <v>113</v>
      </c>
      <c r="FW92" s="477" t="str">
        <f ca="1">IF(modelloAUTO4=MODERNA,INDEX(INDIRECT("TABnMANIGLIEfrontali"&amp;B46),rif_alt4,rif_larg4),"")</f>
        <v/>
      </c>
      <c r="FX92" s="452" t="e">
        <f ca="1">IF(D55="","",INDEX(INDIRECT("TABnMANIGLIEsuperiori"&amp;B46),MATCH(F55/DIECI,tabALTstdMODERNA,UNO),MATCH(E55/DIECI,TABlargMODERNA,UNO))*D55)</f>
        <v>#REF!</v>
      </c>
      <c r="FY92" s="452" t="e">
        <f ca="1">IF(OR(FX92&lt;=UNO,FX92=""),"",(E55-(SETTECENTO*(INDEX(INDIRECT("TABnMANIGLIEsuperiori"&amp;E50),MATCH(F55/DIECI,tabALTstdMODERNA,UNO),MATCH(E55/DIECI,TABlargMODERNA,UNO))/DUE)))/INDEX(INDIRECT("TABnMANIGLIEsuperiori"&amp;E50),MATCH(F55/DIECI,tabALTstdMODERNA,UNO),MATCH(E55/DIECI,TABlargMODERNA,UNO)))</f>
        <v>#REF!</v>
      </c>
      <c r="GI92" s="478" t="e">
        <f>IF(D55="","",#REF!*#REF!-DIMENSIONE_DOGA_FINO_ALL_UNCINO)</f>
        <v>#REF!</v>
      </c>
    </row>
    <row r="93" spans="79:191" ht="34">
      <c r="CA93" s="211" t="str">
        <f>IF(modelloAUTO4=$B$46,altezza4*DIECI/VLOOKUP($B$46,tabMODELLI,COLcoefALTdogaSORMONTATAda200,FALSE)*pezzi4,"")</f>
        <v/>
      </c>
      <c r="CB93" s="212" t="str">
        <f>IF(modelloAUTO4=$B$46,larghezza4*DIECI-VLOOKUP($B$46,tabMODELLI,COLcoeffTAGLIOdogaOPPURElastraINlarg,FALSE)-VLOOKUP(PROFlatAUTO4,TABprofLATten,COLcoeffCALOdoga,FALSE),"")</f>
        <v/>
      </c>
      <c r="CC93" s="479" t="str">
        <f>IF(modelloAUTO4=$B$46,IF(vernBarriera4="","OX ARGENTO",vernBarriera4),"")</f>
        <v/>
      </c>
      <c r="CD93" s="469" t="e">
        <f t="shared" si="39"/>
        <v>#VALUE!</v>
      </c>
      <c r="CE93" s="469" t="e">
        <f t="shared" si="40"/>
        <v>#VALUE!</v>
      </c>
      <c r="CF93" s="469" t="e">
        <f t="shared" si="41"/>
        <v>#VALUE!</v>
      </c>
      <c r="CG93" s="469">
        <f t="shared" si="42"/>
        <v>7.2599999999999998E-2</v>
      </c>
      <c r="CH93" s="470">
        <v>5</v>
      </c>
      <c r="CI93" s="471" t="str">
        <f t="shared" si="43"/>
        <v/>
      </c>
      <c r="CJ93" s="212" t="str">
        <f>IF(D56="","",E56-VLOOKUP($B$46,tabMODELLI,COLcoeffTAGLIOdogaOPPURElastraINlarg,FALSE)-(IF(#REF!="",FALSE,VLOOKUP(PROFlatAUTO1,TABprofLATten,COLcoeffCALOdoga,FALSE))))</f>
        <v/>
      </c>
      <c r="CL93" s="150"/>
      <c r="CM93" s="150"/>
      <c r="CN93" s="150"/>
      <c r="CO93" s="150"/>
      <c r="CP93" s="150"/>
      <c r="CT93" s="212" t="str">
        <f t="shared" si="44"/>
        <v/>
      </c>
      <c r="CU93" s="150"/>
      <c r="CW93" s="150"/>
      <c r="CX93" s="150"/>
      <c r="CY93" s="150"/>
      <c r="CZ93" s="150"/>
      <c r="DA93" s="150"/>
      <c r="DB93" s="150"/>
      <c r="DC93" s="150"/>
      <c r="DD93" s="150"/>
      <c r="DE93" s="150"/>
      <c r="DF93" s="150"/>
      <c r="DG93" s="150"/>
      <c r="DH93" s="150"/>
      <c r="DI93" s="150"/>
      <c r="DJ93" s="150"/>
      <c r="DM93" s="150"/>
      <c r="DN93" s="150"/>
      <c r="DO93" s="150"/>
      <c r="DP93" s="150"/>
      <c r="DQ93" s="150"/>
      <c r="DR93" s="150"/>
      <c r="DS93" s="150"/>
      <c r="DT93" s="150"/>
      <c r="DU93" s="150"/>
      <c r="DV93" s="150"/>
      <c r="DW93" s="150"/>
      <c r="DX93" s="150"/>
      <c r="DY93" s="150"/>
      <c r="DZ93" s="150"/>
      <c r="EA93" s="150"/>
      <c r="EB93" s="150"/>
      <c r="EC93" s="150"/>
      <c r="ED93" s="150"/>
      <c r="EE93" s="150"/>
      <c r="EF93" s="150"/>
      <c r="EG93" s="150"/>
      <c r="EH93" s="150"/>
      <c r="EI93" s="150"/>
      <c r="EJ93" s="150"/>
      <c r="EK93" s="150"/>
      <c r="EL93" s="150"/>
      <c r="EN93" s="150"/>
      <c r="EO93" s="150"/>
      <c r="EP93" s="150"/>
      <c r="EQ93" s="150"/>
      <c r="ER93" s="471" t="str">
        <f t="shared" si="45"/>
        <v/>
      </c>
      <c r="ES93" s="212" t="str">
        <f t="shared" si="46"/>
        <v/>
      </c>
      <c r="EU93" s="472" t="e">
        <f t="shared" ca="1" si="47"/>
        <v>#REF!</v>
      </c>
      <c r="EV93" s="473" t="str">
        <f ca="1">IF(OR(nCatenacci5=0,nCatenacci5="",),"",(CJ93+QUATTRO-(IF(nCatenacci5="",ZERO,SESSANTA*(nCatenacci5/PZCLICK_RAPID5))))/((nCatenacci5/PZCLICK_RAPID5)+UNO))</f>
        <v/>
      </c>
      <c r="EW93" s="474" t="e">
        <f ca="1">IF(AND(EU93&lt;&gt;"",#REF!&lt;&gt;""),spessoreCATENACCIOverticale60X15X300,"")</f>
        <v>#REF!</v>
      </c>
      <c r="EX93" s="475" t="str">
        <f t="shared" si="48"/>
        <v/>
      </c>
      <c r="EY93" s="476" t="e">
        <f ca="1">IF(modello1=MODERNA,INDEX(INDIRECT("TABnMANIGLIEsuperiori"&amp;B46),rif_alt1,rif_larg1),"")</f>
        <v>#REF!</v>
      </c>
      <c r="EZ93" s="212" t="str">
        <f t="shared" si="49"/>
        <v/>
      </c>
      <c r="FA93" s="150"/>
      <c r="FB93" s="471" t="str">
        <f t="shared" si="50"/>
        <v/>
      </c>
      <c r="FC93" s="212" t="str">
        <f t="shared" si="51"/>
        <v/>
      </c>
      <c r="FW93" s="477" t="str">
        <f ca="1">IF(modelloAUTO5=MODERNA,INDEX(INDIRECT("TABnMANIGLIEfrontali"&amp;B46),rif_alt5,rif_larg5),"")</f>
        <v/>
      </c>
      <c r="FX93" s="452" t="str">
        <f ca="1">IF(D56="","",INDEX(INDIRECT("TABnMANIGLIEsuperiori"&amp;B46),MATCH(F56/DIECI,tabALTstdMODERNA,UNO),MATCH(E56/DIECI,TABlargMODERNA,UNO))*D56)</f>
        <v/>
      </c>
      <c r="FY93" s="452" t="str">
        <f ca="1">IF(OR(FX93&lt;=UNO,FX93=""),"",(E56-(SETTECENTO*(INDEX(INDIRECT("TABnMANIGLIEsuperiori"&amp;E52),MATCH(F56/DIECI,tabALTstdMODERNA,UNO),MATCH(E56/DIECI,TABlargMODERNA,UNO))/DUE)))/INDEX(INDIRECT("TABnMANIGLIEsuperiori"&amp;E52),MATCH(F56/DIECI,tabALTstdMODERNA,UNO),MATCH(E56/DIECI,TABlargMODERNA,UNO)))</f>
        <v/>
      </c>
      <c r="GI93" s="478" t="str">
        <f>IF(D56="","",#REF!*#REF!-DIMENSIONE_DOGA_FINO_ALL_UNCINO)</f>
        <v/>
      </c>
    </row>
    <row r="94" spans="79:191" ht="34">
      <c r="CA94" s="211" t="str">
        <f>IF(modelloAUTO5=$B$46,altezza5*DIECI/VLOOKUP($B$46,tabMODELLI,COLcoefALTdogaSORMONTATAda200,FALSE)*pezzi5,"")</f>
        <v/>
      </c>
      <c r="CB94" s="212" t="str">
        <f>IF(modelloAUTO5=$B$46,larghezza5*DIECI-VLOOKUP($B$46,tabMODELLI,COLcoeffTAGLIOdogaOPPURElastraINlarg,FALSE)-VLOOKUP(PROFlatAUTO5,TABprofLATten,COLcoeffCALOdoga,FALSE),"")</f>
        <v/>
      </c>
      <c r="CC94" s="479" t="str">
        <f>IF(modelloAUTO5=$B$46,IF(vernBarriera5="","OX ARGENTO",vernBarriera5),"")</f>
        <v/>
      </c>
      <c r="CD94" s="469" t="e">
        <f t="shared" si="39"/>
        <v>#VALUE!</v>
      </c>
      <c r="CE94" s="469" t="e">
        <f t="shared" si="40"/>
        <v>#VALUE!</v>
      </c>
      <c r="CF94" s="469" t="e">
        <f t="shared" si="41"/>
        <v>#VALUE!</v>
      </c>
      <c r="CG94" s="469">
        <f t="shared" si="42"/>
        <v>7.2599999999999998E-2</v>
      </c>
      <c r="CH94" s="470">
        <v>6</v>
      </c>
      <c r="CI94" s="471" t="str">
        <f t="shared" si="43"/>
        <v/>
      </c>
      <c r="CJ94" s="212" t="str">
        <f>IF(D57="","",E57-VLOOKUP($B$46,tabMODELLI,COLcoeffTAGLIOdogaOPPURElastraINlarg,FALSE)-(IF(#REF!="",FALSE,VLOOKUP(PROFlatAUTO1,TABprofLATten,COLcoeffCALOdoga,FALSE))))</f>
        <v/>
      </c>
      <c r="CL94" s="150"/>
      <c r="CM94" s="150"/>
      <c r="CN94" s="150"/>
      <c r="CO94" s="150"/>
      <c r="CP94" s="150"/>
      <c r="CT94" s="212" t="str">
        <f t="shared" si="44"/>
        <v/>
      </c>
      <c r="CU94" s="150"/>
      <c r="CW94" s="150"/>
      <c r="CX94" s="150"/>
      <c r="CY94" s="150"/>
      <c r="CZ94" s="150"/>
      <c r="DA94" s="150"/>
      <c r="DB94" s="150"/>
      <c r="DC94" s="150"/>
      <c r="DD94" s="150"/>
      <c r="DE94" s="150"/>
      <c r="DF94" s="150"/>
      <c r="DG94" s="150"/>
      <c r="DH94" s="150"/>
      <c r="DI94" s="150"/>
      <c r="DJ94" s="150"/>
      <c r="DM94" s="150"/>
      <c r="DN94" s="150"/>
      <c r="DO94" s="150"/>
      <c r="DP94" s="150"/>
      <c r="DQ94" s="150"/>
      <c r="DR94" s="150"/>
      <c r="DS94" s="150"/>
      <c r="DT94" s="150"/>
      <c r="DU94" s="150"/>
      <c r="DV94" s="150"/>
      <c r="DW94" s="150"/>
      <c r="DX94" s="150"/>
      <c r="DY94" s="150"/>
      <c r="DZ94" s="150"/>
      <c r="EA94" s="150"/>
      <c r="EB94" s="150"/>
      <c r="EC94" s="150"/>
      <c r="ED94" s="150"/>
      <c r="EE94" s="150"/>
      <c r="EF94" s="150"/>
      <c r="EG94" s="150"/>
      <c r="EH94" s="150"/>
      <c r="EI94" s="150"/>
      <c r="EJ94" s="150"/>
      <c r="EK94" s="150"/>
      <c r="EL94" s="150"/>
      <c r="EN94" s="150"/>
      <c r="EO94" s="150"/>
      <c r="EP94" s="150"/>
      <c r="EQ94" s="150"/>
      <c r="ER94" s="471" t="str">
        <f t="shared" si="45"/>
        <v/>
      </c>
      <c r="ES94" s="212" t="str">
        <f t="shared" si="46"/>
        <v/>
      </c>
      <c r="EU94" s="472" t="e">
        <f t="shared" ca="1" si="47"/>
        <v>#REF!</v>
      </c>
      <c r="EV94" s="473" t="str">
        <f ca="1">IF(OR(nCatenacci6=0,nCatenacci6="",),"",(CJ94+QUATTRO-(IF(nCatenacci6="",ZERO,SESSANTA*(nCatenacci6/PZCLICK_RAPID6))))/((nCatenacci6/PZCLICK_RAPID6)+UNO))</f>
        <v/>
      </c>
      <c r="EW94" s="474" t="e">
        <f ca="1">IF(AND(EU94&lt;&gt;"",#REF!&lt;&gt;""),spessoreCATENACCIOverticale60X15X300,"")</f>
        <v>#REF!</v>
      </c>
      <c r="EX94" s="475" t="str">
        <f t="shared" si="48"/>
        <v/>
      </c>
      <c r="EY94" s="476" t="e">
        <f ca="1">IF(modello1=MODERNA,INDEX(INDIRECT("TABnMANIGLIEsuperiori"&amp;B46),rif_alt1,rif_larg1),"")</f>
        <v>#REF!</v>
      </c>
      <c r="EZ94" s="212" t="str">
        <f t="shared" si="49"/>
        <v/>
      </c>
      <c r="FA94" s="150"/>
      <c r="FB94" s="471" t="str">
        <f t="shared" si="50"/>
        <v/>
      </c>
      <c r="FC94" s="212" t="str">
        <f t="shared" si="51"/>
        <v/>
      </c>
      <c r="FW94" s="477" t="str">
        <f ca="1">IF(modelloAUTO6=MODERNA,INDEX(INDIRECT("TABnMANIGLIEfrontali"&amp;B46),rif_alt6,rif_larg6),"")</f>
        <v/>
      </c>
      <c r="FX94" s="452" t="str">
        <f ca="1">IF(D57="","",INDEX(INDIRECT("TABnMANIGLIEsuperiori"&amp;B46),MATCH(F57/DIECI,tabALTstdMODERNA,UNO),MATCH(E57/DIECI,TABlargMODERNA,UNO))*D57)</f>
        <v/>
      </c>
      <c r="FY94" s="452" t="str">
        <f ca="1">IF(OR(FX94&lt;=UNO,FX94=""),"",(E57-(SETTECENTO*(INDEX(INDIRECT("TABnMANIGLIEsuperiori"&amp;E53),MATCH(F57/DIECI,tabALTstdMODERNA,UNO),MATCH(E57/DIECI,TABlargMODERNA,UNO))/DUE)))/INDEX(INDIRECT("TABnMANIGLIEsuperiori"&amp;E53),MATCH(F57/DIECI,tabALTstdMODERNA,UNO),MATCH(E57/DIECI,TABlargMODERNA,UNO)))</f>
        <v/>
      </c>
      <c r="GI94" s="478" t="str">
        <f>IF(D57="","",#REF!*#REF!-DIMENSIONE_DOGA_FINO_ALL_UNCINO)</f>
        <v/>
      </c>
    </row>
    <row r="95" spans="79:191" ht="34">
      <c r="CA95" s="211" t="str">
        <f>IF(modelloAUTO6=$B$46,altezza6*DIECI/VLOOKUP($B$46,tabMODELLI,COLcoefALTdogaSORMONTATAda200,FALSE)*pezzi6,"")</f>
        <v/>
      </c>
      <c r="CB95" s="212" t="str">
        <f>IF(modelloAUTO6=$B$46,larghezza6*DIECI-VLOOKUP($B$46,tabMODELLI,COLcoeffTAGLIOdogaOPPURElastraINlarg,FALSE)-VLOOKUP(PROFlatAUTO6,TABprofLATten,COLcoeffCALOdoga,FALSE),"")</f>
        <v/>
      </c>
      <c r="CC95" s="479" t="str">
        <f>IF(modelloAUTO6=$B$46,IF(vernBarriera6="","OX ARGENTO",vernBarriera6),"")</f>
        <v/>
      </c>
      <c r="CD95" s="469" t="e">
        <f t="shared" si="39"/>
        <v>#REF!</v>
      </c>
      <c r="CE95" s="469" t="e">
        <f t="shared" si="40"/>
        <v>#REF!</v>
      </c>
      <c r="CF95" s="469" t="e">
        <f t="shared" si="41"/>
        <v>#REF!</v>
      </c>
      <c r="CG95" s="469">
        <f t="shared" si="42"/>
        <v>7.2599999999999998E-2</v>
      </c>
      <c r="CH95" s="470">
        <v>7</v>
      </c>
      <c r="CI95" s="471" t="e">
        <f>IF(#REF!="","",#REF!/DUECENTO*#REF!)</f>
        <v>#REF!</v>
      </c>
      <c r="CJ95" s="212" t="e">
        <f>IF(#REF!="","",#REF!-VLOOKUP($B$46,tabMODELLI,COLcoeffTAGLIOdogaOPPURElastraINlarg,FALSE)-(IF(#REF!="",FALSE,VLOOKUP(PROFlatAUTO1,TABprofLATten,COLcoeffCALOdoga,FALSE))))</f>
        <v>#REF!</v>
      </c>
      <c r="CL95" s="150"/>
      <c r="CM95" s="150"/>
      <c r="CN95" s="150"/>
      <c r="CO95" s="150"/>
      <c r="CP95" s="150"/>
      <c r="CT95" s="212" t="e">
        <f t="shared" si="44"/>
        <v>#REF!</v>
      </c>
      <c r="CU95" s="150"/>
      <c r="CW95" s="150"/>
      <c r="CX95" s="150"/>
      <c r="CY95" s="150"/>
      <c r="CZ95" s="150"/>
      <c r="DA95" s="150"/>
      <c r="DB95" s="150"/>
      <c r="DC95" s="150"/>
      <c r="DD95" s="150"/>
      <c r="DE95" s="150"/>
      <c r="DF95" s="150"/>
      <c r="DG95" s="150"/>
      <c r="DH95" s="150"/>
      <c r="DI95" s="150"/>
      <c r="DJ95" s="150"/>
      <c r="DM95" s="150"/>
      <c r="DN95" s="150"/>
      <c r="DO95" s="150"/>
      <c r="DP95" s="150"/>
      <c r="DQ95" s="150"/>
      <c r="DR95" s="150"/>
      <c r="DS95" s="150"/>
      <c r="DT95" s="150"/>
      <c r="DU95" s="150"/>
      <c r="DV95" s="150"/>
      <c r="DW95" s="150"/>
      <c r="DX95" s="150"/>
      <c r="DY95" s="150"/>
      <c r="DZ95" s="150"/>
      <c r="EA95" s="150"/>
      <c r="EB95" s="150"/>
      <c r="EC95" s="150"/>
      <c r="ED95" s="150"/>
      <c r="EE95" s="150"/>
      <c r="EF95" s="150"/>
      <c r="EG95" s="150"/>
      <c r="EH95" s="150"/>
      <c r="EI95" s="150"/>
      <c r="EJ95" s="150"/>
      <c r="EK95" s="150"/>
      <c r="EL95" s="150"/>
      <c r="EN95" s="150"/>
      <c r="EO95" s="150"/>
      <c r="EP95" s="150"/>
      <c r="EQ95" s="150"/>
      <c r="ER95" s="471" t="e">
        <f>IF(#REF!="","",#REF!)</f>
        <v>#REF!</v>
      </c>
      <c r="ES95" s="212" t="e">
        <f t="shared" si="46"/>
        <v>#REF!</v>
      </c>
      <c r="EU95" s="472" t="e">
        <f t="shared" ca="1" si="47"/>
        <v>#REF!</v>
      </c>
      <c r="EV95" s="473" t="str">
        <f ca="1">IF(OR(nCatenacci7=0,nCatenacci7="",),"",(CJ95+QUATTRO-(IF(nCatenacci7="",ZERO,SESSANTA*(nCatenacci7/PZCLICK_RAPID7))))/((nCatenacci7/PZCLICK_RAPID7)+UNO))</f>
        <v/>
      </c>
      <c r="EW95" s="474" t="e">
        <f ca="1">IF(AND(EU95&lt;&gt;"",#REF!&lt;&gt;""),spessoreCATENACCIOverticale60X15X300,"")</f>
        <v>#REF!</v>
      </c>
      <c r="EX95" s="475" t="str">
        <f t="shared" si="48"/>
        <v/>
      </c>
      <c r="EY95" s="476" t="e">
        <f ca="1">IF(modello1=MODERNA,INDEX(INDIRECT("TABnMANIGLIEsuperiori"&amp;B46),rif_alt1,rif_larg1),"")</f>
        <v>#REF!</v>
      </c>
      <c r="EZ95" s="212" t="e">
        <f>IF(#REF!="","",#REF!+VLOOKUP($B$46,tabMODELLI,COLcoeffTAGLIOPROFILIlateraliEverticaliAttaccatiALLAbarriera,FALSE))</f>
        <v>#REF!</v>
      </c>
      <c r="FA95" s="150"/>
      <c r="FB95" s="471" t="e">
        <f>IF(#REF!="","",#REF!)</f>
        <v>#REF!</v>
      </c>
      <c r="FC95" s="212" t="e">
        <f t="shared" si="51"/>
        <v>#REF!</v>
      </c>
      <c r="FW95" s="477" t="str">
        <f ca="1">IF(modelloAUTO7=MODERNA,INDEX(INDIRECT("TABnMANIGLIEfrontali"&amp;B46),rif_alt7,rif_larg7),"")</f>
        <v/>
      </c>
      <c r="FX95" s="452" t="e">
        <f ca="1">IF(#REF!="","",INDEX(INDIRECT("TABnMANIGLIEsuperiori"&amp;B46),MATCH(#REF!/DIECI,tabALTstdMODERNA,UNO),MATCH(#REF!/DIECI,TABlargMODERNA,UNO))*#REF!)</f>
        <v>#REF!</v>
      </c>
      <c r="FY95" s="452" t="e">
        <f ca="1">IF(OR(FX95&lt;=UNO,FX95=""),"",(#REF!-(SETTECENTO*(INDEX(INDIRECT("TABnMANIGLIEsuperiori"&amp;E54),MATCH(#REF!/DIECI,tabALTstdMODERNA,UNO),MATCH(#REF!/DIECI,TABlargMODERNA,UNO))/DUE)))/INDEX(INDIRECT("TABnMANIGLIEsuperiori"&amp;E54),MATCH(#REF!/DIECI,tabALTstdMODERNA,UNO),MATCH(#REF!/DIECI,TABlargMODERNA,UNO)))</f>
        <v>#REF!</v>
      </c>
      <c r="GI95" s="478" t="e">
        <f>IF(#REF!="","",#REF!*#REF!-DIMENSIONE_DOGA_FINO_ALL_UNCINO)</f>
        <v>#REF!</v>
      </c>
    </row>
    <row r="96" spans="79:191" ht="34">
      <c r="CA96" s="211" t="str">
        <f>IF(modelloAUTO7=$B$46,altezza7*DIECI/VLOOKUP($B$46,tabMODELLI,COLcoefALTdogaSORMONTATAda200,FALSE)*pezzi7,"")</f>
        <v/>
      </c>
      <c r="CB96" s="212" t="str">
        <f>IF(modelloAUTO7=$B$46,larghezza7*DIECI-VLOOKUP($B$46,tabMODELLI,COLcoeffTAGLIOdogaOPPURElastraINlarg,FALSE)-VLOOKUP(PROFlatAUTO7,TABprofLATten,COLcoeffCALOdoga,FALSE),"")</f>
        <v/>
      </c>
      <c r="CC96" s="479" t="str">
        <f>IF(modelloAUTO7=$B$46,IF(vernBarriera7="","OX ARGENTO",vernBarriera7),"")</f>
        <v/>
      </c>
      <c r="CD96" s="469" t="e">
        <f t="shared" si="39"/>
        <v>#REF!</v>
      </c>
      <c r="CE96" s="469" t="e">
        <f t="shared" si="40"/>
        <v>#REF!</v>
      </c>
      <c r="CF96" s="469" t="e">
        <f t="shared" si="41"/>
        <v>#REF!</v>
      </c>
      <c r="CG96" s="469">
        <f t="shared" si="42"/>
        <v>7.2599999999999998E-2</v>
      </c>
      <c r="CH96" s="470">
        <v>8</v>
      </c>
      <c r="CI96" s="471" t="e">
        <f>IF(#REF!="","",#REF!/DUECENTO*#REF!)</f>
        <v>#REF!</v>
      </c>
      <c r="CJ96" s="212" t="e">
        <f>IF(#REF!="","",#REF!-VLOOKUP($B$46,tabMODELLI,COLcoeffTAGLIOdogaOPPURElastraINlarg,FALSE)-(IF(#REF!="",FALSE,VLOOKUP(PROFlatAUTO1,TABprofLATten,COLcoeffCALOdoga,FALSE))))</f>
        <v>#REF!</v>
      </c>
      <c r="CL96" s="150"/>
      <c r="CM96" s="150"/>
      <c r="CN96" s="150"/>
      <c r="CO96" s="150"/>
      <c r="CP96" s="150"/>
      <c r="CT96" s="212" t="e">
        <f t="shared" si="44"/>
        <v>#REF!</v>
      </c>
      <c r="CU96" s="150"/>
      <c r="CW96" s="150"/>
      <c r="CX96" s="150"/>
      <c r="CY96" s="150"/>
      <c r="CZ96" s="150"/>
      <c r="DA96" s="150"/>
      <c r="DB96" s="150"/>
      <c r="DC96" s="150"/>
      <c r="DD96" s="150"/>
      <c r="DE96" s="150"/>
      <c r="DF96" s="150"/>
      <c r="DG96" s="150"/>
      <c r="DH96" s="150"/>
      <c r="DI96" s="150"/>
      <c r="DJ96" s="150"/>
      <c r="DM96" s="150"/>
      <c r="DN96" s="150"/>
      <c r="DO96" s="150"/>
      <c r="DP96" s="150"/>
      <c r="DQ96" s="150"/>
      <c r="DR96" s="150"/>
      <c r="DS96" s="150"/>
      <c r="DT96" s="150"/>
      <c r="DU96" s="150"/>
      <c r="DV96" s="150"/>
      <c r="DW96" s="150"/>
      <c r="DX96" s="150"/>
      <c r="DY96" s="150"/>
      <c r="DZ96" s="150"/>
      <c r="EA96" s="150"/>
      <c r="EB96" s="150"/>
      <c r="EC96" s="150"/>
      <c r="ED96" s="150"/>
      <c r="EE96" s="150"/>
      <c r="EF96" s="150"/>
      <c r="EG96" s="150"/>
      <c r="EH96" s="150"/>
      <c r="EI96" s="150"/>
      <c r="EJ96" s="150"/>
      <c r="EK96" s="150"/>
      <c r="EL96" s="150"/>
      <c r="EN96" s="150"/>
      <c r="EO96" s="150"/>
      <c r="EP96" s="150"/>
      <c r="EQ96" s="150"/>
      <c r="ER96" s="471" t="e">
        <f>IF(#REF!="","",#REF!)</f>
        <v>#REF!</v>
      </c>
      <c r="ES96" s="212" t="e">
        <f t="shared" si="46"/>
        <v>#REF!</v>
      </c>
      <c r="EU96" s="472" t="e">
        <f t="shared" ca="1" si="47"/>
        <v>#REF!</v>
      </c>
      <c r="EV96" s="473" t="str">
        <f ca="1">IF(OR(nCatenacci8=0,nCatenacci8="",),"",(CJ96+QUATTRO-(IF(nCatenacci8="",ZERO,SESSANTA*(nCatenacci8/PZCLICK_RAPID8))))/((nCatenacci8/PZCLICK_RAPID8)+UNO))</f>
        <v/>
      </c>
      <c r="EW96" s="474" t="e">
        <f ca="1">IF(AND(EU96&lt;&gt;"",#REF!&lt;&gt;""),spessoreCATENACCIOverticale60X15X300,"")</f>
        <v>#REF!</v>
      </c>
      <c r="EX96" s="475" t="str">
        <f t="shared" si="48"/>
        <v/>
      </c>
      <c r="EY96" s="476" t="e">
        <f ca="1">IF(modello1=MODERNA,INDEX(INDIRECT("TABnMANIGLIEsuperiori"&amp;B46),rif_alt1,rif_larg1),"")</f>
        <v>#REF!</v>
      </c>
      <c r="EZ96" s="212" t="e">
        <f>IF(#REF!="","",#REF!+VLOOKUP($B$46,tabMODELLI,COLcoeffTAGLIOPROFILIlateraliEverticaliAttaccatiALLAbarriera,FALSE))</f>
        <v>#REF!</v>
      </c>
      <c r="FA96" s="150"/>
      <c r="FB96" s="471" t="e">
        <f>IF(#REF!="","",#REF!)</f>
        <v>#REF!</v>
      </c>
      <c r="FC96" s="212" t="e">
        <f t="shared" si="51"/>
        <v>#REF!</v>
      </c>
      <c r="FW96" s="477" t="str">
        <f ca="1">IF(modelloAUTO8=MODERNA,INDEX(INDIRECT("TABnMANIGLIEfrontali"&amp;B46),rif_alt8,rif_larg8),"")</f>
        <v/>
      </c>
      <c r="FX96" s="452" t="e">
        <f ca="1">IF(#REF!="","",INDEX(INDIRECT("TABnMANIGLIEsuperiori"&amp;B46),MATCH(#REF!/DIECI,tabALTstdMODERNA,UNO),MATCH(#REF!/DIECI,TABlargMODERNA,UNO))*#REF!)</f>
        <v>#REF!</v>
      </c>
      <c r="FY96" s="452" t="e">
        <f ca="1">IF(OR(FX96&lt;=UNO,FX96=""),"",(#REF!-(SETTECENTO*(INDEX(INDIRECT("TABnMANIGLIEsuperiori"&amp;E55),MATCH(#REF!/DIECI,tabALTstdMODERNA,UNO),MATCH(#REF!/DIECI,TABlargMODERNA,UNO))/DUE)))/INDEX(INDIRECT("TABnMANIGLIEsuperiori"&amp;E55),MATCH(#REF!/DIECI,tabALTstdMODERNA,UNO),MATCH(#REF!/DIECI,TABlargMODERNA,UNO)))</f>
        <v>#REF!</v>
      </c>
      <c r="GI96" s="478" t="e">
        <f>IF(#REF!="","",#REF!*#REF!-DIMENSIONE_DOGA_FINO_ALL_UNCINO)</f>
        <v>#REF!</v>
      </c>
    </row>
    <row r="97" spans="79:191" ht="35" thickBot="1">
      <c r="CA97" s="211" t="str">
        <f>IF(modelloAUTO8=$B$46,altezza8*DIECI/VLOOKUP($B$46,tabMODELLI,COLcoefALTdogaSORMONTATAda200,FALSE)*pezzi8,"")</f>
        <v/>
      </c>
      <c r="CB97" s="212" t="str">
        <f>IF(modelloAUTO8=$B$46,larghezza8*DIECI-VLOOKUP($B$46,tabMODELLI,COLcoeffTAGLIOdogaOPPURElastraINlarg,FALSE)-VLOOKUP(PROFlatAUTO8,TABprofLATten,COLcoeffCALOdoga,FALSE),"")</f>
        <v/>
      </c>
      <c r="CC97" s="479" t="str">
        <f>IF(modelloAUTO8=$B$46,IF(vernBarriera8="","OX ARGENTO",vernBarriera8),"")</f>
        <v/>
      </c>
      <c r="CD97" s="469" t="e">
        <f t="shared" si="39"/>
        <v>#VALUE!</v>
      </c>
      <c r="CE97" s="469" t="e">
        <f t="shared" si="40"/>
        <v>#VALUE!</v>
      </c>
      <c r="CF97" s="469" t="e">
        <f t="shared" si="41"/>
        <v>#VALUE!</v>
      </c>
      <c r="CG97" s="469">
        <f t="shared" si="42"/>
        <v>7.2599999999999998E-2</v>
      </c>
      <c r="CH97" s="470">
        <v>9</v>
      </c>
      <c r="CI97" s="480" t="str">
        <f t="shared" ref="CI97:CI104" si="52">IF(D59="","",F59/DUECENTO*D59)</f>
        <v/>
      </c>
      <c r="CJ97" s="212" t="str">
        <f>IF(D59="","",E59-VLOOKUP($B$46,tabMODELLI,COLcoeffTAGLIOdogaOPPURElastraINlarg,FALSE)-(IF(#REF!="",FALSE,VLOOKUP(PROFlatAUTO1,TABprofLATten,COLcoeffCALOdoga,FALSE))))</f>
        <v/>
      </c>
      <c r="CL97" s="150"/>
      <c r="CM97" s="150"/>
      <c r="CN97" s="150"/>
      <c r="CO97" s="150"/>
      <c r="CP97" s="150"/>
      <c r="CT97" s="212" t="str">
        <f t="shared" si="44"/>
        <v/>
      </c>
      <c r="CU97" s="150"/>
      <c r="CW97" s="150"/>
      <c r="CX97" s="150"/>
      <c r="CY97" s="150"/>
      <c r="CZ97" s="150"/>
      <c r="DA97" s="150"/>
      <c r="DB97" s="150"/>
      <c r="DC97" s="150"/>
      <c r="DD97" s="150"/>
      <c r="DE97" s="150"/>
      <c r="DF97" s="150"/>
      <c r="DG97" s="150"/>
      <c r="DH97" s="150"/>
      <c r="DI97" s="150"/>
      <c r="DJ97" s="150"/>
      <c r="DM97" s="150"/>
      <c r="DN97" s="150"/>
      <c r="DO97" s="150"/>
      <c r="DP97" s="150"/>
      <c r="DQ97" s="150"/>
      <c r="DR97" s="150"/>
      <c r="DS97" s="150"/>
      <c r="DT97" s="150"/>
      <c r="DU97" s="150"/>
      <c r="DV97" s="150"/>
      <c r="DW97" s="150"/>
      <c r="DX97" s="150"/>
      <c r="DY97" s="150"/>
      <c r="DZ97" s="150"/>
      <c r="EA97" s="150"/>
      <c r="EB97" s="150"/>
      <c r="EC97" s="150"/>
      <c r="ED97" s="150"/>
      <c r="EE97" s="150"/>
      <c r="EF97" s="150"/>
      <c r="EG97" s="150"/>
      <c r="EH97" s="150"/>
      <c r="EI97" s="150"/>
      <c r="EJ97" s="150"/>
      <c r="EK97" s="150"/>
      <c r="EL97" s="150"/>
      <c r="EN97" s="150"/>
      <c r="EO97" s="150"/>
      <c r="EP97" s="150"/>
      <c r="EQ97" s="150"/>
      <c r="ER97" s="471" t="str">
        <f t="shared" ref="ER97:ER104" si="53">IF(D59="","",D59)</f>
        <v/>
      </c>
      <c r="ES97" s="212" t="str">
        <f t="shared" si="46"/>
        <v/>
      </c>
      <c r="EU97" s="472" t="e">
        <f t="shared" ca="1" si="47"/>
        <v>#REF!</v>
      </c>
      <c r="EV97" s="473" t="str">
        <f ca="1">IF(OR(nCatenacci9=0,nCatenacci9="",),"",(CJ97+QUATTRO-(IF(nCatenacci9="",ZERO,SESSANTA*(nCatenacci9/PZCLICK_RAPID9))))/((nCatenacci9/PZCLICK_RAPID9)+UNO))</f>
        <v/>
      </c>
      <c r="EW97" s="474" t="e">
        <f ca="1">IF(AND(EU97&lt;&gt;"",#REF!&lt;&gt;""),spessoreCATENACCIOverticale60X15X300,"")</f>
        <v>#REF!</v>
      </c>
      <c r="EX97" s="475" t="str">
        <f t="shared" si="48"/>
        <v/>
      </c>
      <c r="EY97" s="476" t="e">
        <f ca="1">IF(modello1=MODERNA,INDEX(INDIRECT("TABnMANIGLIEsuperiori"&amp;B46),rif_alt1,rif_larg1),"")</f>
        <v>#REF!</v>
      </c>
      <c r="EZ97" s="212" t="str">
        <f t="shared" ref="EZ97:EZ104" si="54">IF(E59="","",F59+VLOOKUP($B$46,tabMODELLI,COLcoeffTAGLIOPROFILIlateraliEverticaliAttaccatiALLAbarriera,FALSE))</f>
        <v/>
      </c>
      <c r="FA97" s="150"/>
      <c r="FB97" s="471" t="str">
        <f t="shared" ref="FB97:FB104" si="55">IF(D59="","",D59)</f>
        <v/>
      </c>
      <c r="FC97" s="212" t="str">
        <f t="shared" si="51"/>
        <v/>
      </c>
      <c r="FW97" s="477" t="str">
        <f ca="1">IF(modelloAUTO9=MODERNA,INDEX(INDIRECT("TABnMANIGLIEfrontali"&amp;B46),rif_alt9,rif_larg9),"")</f>
        <v/>
      </c>
      <c r="FX97" s="452" t="str">
        <f ca="1">IF(D59="","",INDEX(INDIRECT("TABnMANIGLIEsuperiori"&amp;B46),MATCH(F59/DIECI,tabALTstdMODERNA,UNO),MATCH(E59/DIECI,TABlargMODERNA,UNO))*D59)</f>
        <v/>
      </c>
      <c r="FY97" s="452" t="str">
        <f ca="1">IF(OR(FX97&lt;=UNO,FX97=""),"",(E59-(SETTECENTO*(INDEX(INDIRECT("TABnMANIGLIEsuperiori"&amp;E56),MATCH(F59/DIECI,tabALTstdMODERNA,UNO),MATCH(E59/DIECI,TABlargMODERNA,UNO))/DUE)))/INDEX(INDIRECT("TABnMANIGLIEsuperiori"&amp;E56),MATCH(F59/DIECI,tabALTstdMODERNA,UNO),MATCH(E59/DIECI,TABlargMODERNA,UNO)))</f>
        <v/>
      </c>
      <c r="GI97" s="478" t="str">
        <f>IF(D59="","",#REF!*#REF!-DIMENSIONE_DOGA_FINO_ALL_UNCINO)</f>
        <v/>
      </c>
    </row>
    <row r="98" spans="79:191" ht="35" thickBot="1">
      <c r="CA98" s="211" t="str">
        <f>IF(modelloAUTO9=$B$46,altezza9*DIECI/VLOOKUP($B$46,tabMODELLI,COLcoefALTdogaSORMONTATAda200,FALSE)*pezzi9,"")</f>
        <v/>
      </c>
      <c r="CB98" s="212" t="str">
        <f>IF(modelloAUTO9=$B$46,larghezza9*DIECI-VLOOKUP($B$46,tabMODELLI,COLcoeffTAGLIOdogaOPPURElastraINlarg,FALSE)-VLOOKUP(PROFlatAUTO9,TABprofLATten,COLcoeffCALOdoga,FALSE),"")</f>
        <v/>
      </c>
      <c r="CC98" s="479" t="str">
        <f>IF(modelloAUTO9=$B$46,IF(vernBarriera9="","OX ARGENTO",vernBarriera9),"")</f>
        <v/>
      </c>
      <c r="CD98" s="469" t="e">
        <f t="shared" si="39"/>
        <v>#VALUE!</v>
      </c>
      <c r="CE98" s="469" t="e">
        <f t="shared" si="40"/>
        <v>#VALUE!</v>
      </c>
      <c r="CF98" s="469" t="e">
        <f t="shared" si="41"/>
        <v>#VALUE!</v>
      </c>
      <c r="CG98" s="469">
        <f t="shared" si="42"/>
        <v>7.2599999999999998E-2</v>
      </c>
      <c r="CH98" s="470">
        <v>10</v>
      </c>
      <c r="CI98" s="480" t="str">
        <f t="shared" si="52"/>
        <v/>
      </c>
      <c r="CJ98" s="212" t="str">
        <f>IF(D60="","",E60-VLOOKUP($B$46,tabMODELLI,COLcoeffTAGLIOdogaOPPURElastraINlarg,FALSE)-(IF(#REF!="",FALSE,VLOOKUP(PROFlatAUTO1,TABprofLATten,COLcoeffCALOdoga,FALSE))))</f>
        <v/>
      </c>
      <c r="CL98" s="150"/>
      <c r="CM98" s="150"/>
      <c r="CN98" s="150"/>
      <c r="CO98" s="150"/>
      <c r="CP98" s="150"/>
      <c r="CT98" s="212" t="str">
        <f t="shared" si="44"/>
        <v/>
      </c>
      <c r="CU98" s="150"/>
      <c r="CW98" s="150"/>
      <c r="CX98" s="150"/>
      <c r="CY98" s="150"/>
      <c r="CZ98" s="150"/>
      <c r="DA98" s="150"/>
      <c r="DB98" s="150"/>
      <c r="DC98" s="150"/>
      <c r="DD98" s="150"/>
      <c r="DE98" s="150"/>
      <c r="DF98" s="150"/>
      <c r="DG98" s="150"/>
      <c r="DH98" s="150"/>
      <c r="DI98" s="150"/>
      <c r="DJ98" s="150"/>
      <c r="DM98" s="150"/>
      <c r="DN98" s="150"/>
      <c r="DO98" s="150"/>
      <c r="DP98" s="150"/>
      <c r="DQ98" s="150"/>
      <c r="DR98" s="150"/>
      <c r="DS98" s="150"/>
      <c r="DT98" s="150"/>
      <c r="DU98" s="150"/>
      <c r="DV98" s="150"/>
      <c r="DW98" s="150"/>
      <c r="DX98" s="150"/>
      <c r="DY98" s="150"/>
      <c r="DZ98" s="150"/>
      <c r="EA98" s="150"/>
      <c r="EB98" s="150"/>
      <c r="EC98" s="150"/>
      <c r="ED98" s="150"/>
      <c r="EE98" s="150"/>
      <c r="EF98" s="150"/>
      <c r="EG98" s="150"/>
      <c r="EH98" s="150"/>
      <c r="EI98" s="150"/>
      <c r="EJ98" s="150"/>
      <c r="EK98" s="150"/>
      <c r="EL98" s="150"/>
      <c r="EN98" s="150"/>
      <c r="EO98" s="150"/>
      <c r="EP98" s="150"/>
      <c r="EQ98" s="150"/>
      <c r="ER98" s="471" t="str">
        <f t="shared" si="53"/>
        <v/>
      </c>
      <c r="ES98" s="212" t="str">
        <f t="shared" si="46"/>
        <v/>
      </c>
      <c r="EU98" s="472" t="e">
        <f t="shared" ca="1" si="47"/>
        <v>#REF!</v>
      </c>
      <c r="EV98" s="473" t="str">
        <f ca="1">IF(OR(nCatenacci10=0,nCatenacci10="",),"",(CJ98+QUATTRO-(IF(nCatenacci10="",ZERO,SESSANTA*(nCatenacci10/PZCLICK_RAPID10))))/((nCatenacci10/PZCLICK_RAPID10)+UNO))</f>
        <v/>
      </c>
      <c r="EW98" s="474" t="e">
        <f ca="1">IF(AND(EU98&lt;&gt;"",#REF!&lt;&gt;""),spessoreCATENACCIOverticale60X15X300,"")</f>
        <v>#REF!</v>
      </c>
      <c r="EX98" s="475" t="str">
        <f t="shared" si="48"/>
        <v/>
      </c>
      <c r="EY98" s="476" t="e">
        <f ca="1">IF(modello1=MODERNA,INDEX(INDIRECT("TABnMANIGLIEsuperiori"&amp;B46),rif_alt1,rif_larg1),"")</f>
        <v>#REF!</v>
      </c>
      <c r="EZ98" s="212" t="str">
        <f t="shared" si="54"/>
        <v/>
      </c>
      <c r="FA98" s="150"/>
      <c r="FB98" s="471" t="str">
        <f t="shared" si="55"/>
        <v/>
      </c>
      <c r="FC98" s="212" t="str">
        <f t="shared" si="51"/>
        <v/>
      </c>
      <c r="FW98" s="477" t="str">
        <f ca="1">IF(modelloAUTO10=MODERNA,INDEX(INDIRECT("TABnMANIGLIEfrontali"&amp;B46),rif_alt10,rif_larg10),"")</f>
        <v/>
      </c>
      <c r="FX98" s="452" t="str">
        <f ca="1">IF(D60="","",INDEX(INDIRECT("TABnMANIGLIEsuperiori"&amp;B46),MATCH(F60/DIECI,tabALTstdMODERNA,UNO),MATCH(E60/DIECI,TABlargMODERNA,UNO))*D60)</f>
        <v/>
      </c>
      <c r="FY98" s="452" t="str">
        <f ca="1">IF(OR(FX98&lt;=UNO,FX98=""),"",(E60-(SETTECENTO*(INDEX(INDIRECT("TABnMANIGLIEsuperiori"&amp;E57),MATCH(F60/DIECI,tabALTstdMODERNA,UNO),MATCH(E60/DIECI,TABlargMODERNA,UNO))/DUE)))/INDEX(INDIRECT("TABnMANIGLIEsuperiori"&amp;E57),MATCH(F60/DIECI,tabALTstdMODERNA,UNO),MATCH(E60/DIECI,TABlargMODERNA,UNO)))</f>
        <v/>
      </c>
      <c r="GI98" s="478" t="str">
        <f>IF(D60="","",#REF!*#REF!-DIMENSIONE_DOGA_FINO_ALL_UNCINO)</f>
        <v/>
      </c>
    </row>
    <row r="99" spans="79:191" ht="35" thickBot="1">
      <c r="CA99" s="211" t="str">
        <f>IF(modelloAUTO10=$B$46,altezza10*DIECI/VLOOKUP($B$46,tabMODELLI,COLcoefALTdogaSORMONTATAda200,FALSE)*pezzi10,"")</f>
        <v/>
      </c>
      <c r="CB99" s="212" t="str">
        <f>IF(modelloAUTO10=$B$46,larghezza10*DIECI-VLOOKUP($B$46,tabMODELLI,COLcoeffTAGLIOdogaOPPURElastraINlarg,FALSE)-VLOOKUP(PROFlatAUTO10,TABprofLATten,COLcoeffCALOdoga,FALSE),"")</f>
        <v/>
      </c>
      <c r="CC99" s="479" t="str">
        <f>IF(modelloAUTO10=$B$46,IF(vernBarriera10="","OX ARGENTO",vernBarriera10),"")</f>
        <v/>
      </c>
      <c r="CD99" s="469" t="e">
        <f t="shared" si="39"/>
        <v>#VALUE!</v>
      </c>
      <c r="CE99" s="469" t="e">
        <f t="shared" si="40"/>
        <v>#VALUE!</v>
      </c>
      <c r="CF99" s="469" t="e">
        <f t="shared" si="41"/>
        <v>#VALUE!</v>
      </c>
      <c r="CG99" s="469">
        <f t="shared" si="42"/>
        <v>7.2599999999999998E-2</v>
      </c>
      <c r="CH99" s="470">
        <v>11</v>
      </c>
      <c r="CI99" s="480" t="str">
        <f t="shared" si="52"/>
        <v/>
      </c>
      <c r="CJ99" s="212" t="str">
        <f>IF(D61="","",E61-VLOOKUP($B$46,tabMODELLI,COLcoeffTAGLIOdogaOPPURElastraINlarg,FALSE)-(IF(#REF!="",FALSE,VLOOKUP(PROFlatAUTO1,TABprofLATten,COLcoeffCALOdoga,FALSE))))</f>
        <v/>
      </c>
      <c r="CL99" s="150"/>
      <c r="CM99" s="150"/>
      <c r="CN99" s="150"/>
      <c r="CO99" s="150"/>
      <c r="CP99" s="150"/>
      <c r="CT99" s="212" t="str">
        <f t="shared" si="44"/>
        <v/>
      </c>
      <c r="CU99" s="150"/>
      <c r="CW99" s="150"/>
      <c r="CX99" s="150"/>
      <c r="CY99" s="150"/>
      <c r="CZ99" s="150"/>
      <c r="DA99" s="150"/>
      <c r="DB99" s="150"/>
      <c r="DC99" s="150"/>
      <c r="DD99" s="150"/>
      <c r="DE99" s="150"/>
      <c r="DF99" s="150"/>
      <c r="DG99" s="150"/>
      <c r="DH99" s="150"/>
      <c r="DI99" s="150"/>
      <c r="DJ99" s="150"/>
      <c r="DM99" s="150"/>
      <c r="DN99" s="150"/>
      <c r="DO99" s="150"/>
      <c r="DP99" s="150"/>
      <c r="DQ99" s="150"/>
      <c r="DR99" s="150"/>
      <c r="DS99" s="150"/>
      <c r="DT99" s="150"/>
      <c r="DU99" s="150"/>
      <c r="DV99" s="150"/>
      <c r="DW99" s="150"/>
      <c r="DX99" s="150"/>
      <c r="DY99" s="150"/>
      <c r="DZ99" s="150"/>
      <c r="EA99" s="150"/>
      <c r="EB99" s="150"/>
      <c r="EC99" s="150"/>
      <c r="ED99" s="150"/>
      <c r="EE99" s="150"/>
      <c r="EF99" s="150"/>
      <c r="EG99" s="150"/>
      <c r="EH99" s="150"/>
      <c r="EI99" s="150"/>
      <c r="EJ99" s="150"/>
      <c r="EK99" s="150"/>
      <c r="EL99" s="150"/>
      <c r="EN99" s="150"/>
      <c r="EO99" s="150"/>
      <c r="EP99" s="150"/>
      <c r="EQ99" s="150"/>
      <c r="ER99" s="471" t="str">
        <f t="shared" si="53"/>
        <v/>
      </c>
      <c r="ES99" s="212" t="str">
        <f t="shared" si="46"/>
        <v/>
      </c>
      <c r="EU99" s="472" t="e">
        <f t="shared" ca="1" si="47"/>
        <v>#REF!</v>
      </c>
      <c r="EV99" s="473" t="str">
        <f ca="1">IF(OR(nCatenacci11=0,nCatenacci11="",),"",(CJ99+QUATTRO-(IF(nCatenacci11="",ZERO,SESSANTA*(nCatenacci11/PZCLICK_RAPID11))))/((nCatenacci11/PZCLICK_RAPID11)+UNO))</f>
        <v/>
      </c>
      <c r="EW99" s="474" t="e">
        <f ca="1">IF(AND(EU99&lt;&gt;"",#REF!&lt;&gt;""),spessoreCATENACCIOverticale60X15X300,"")</f>
        <v>#REF!</v>
      </c>
      <c r="EX99" s="475" t="str">
        <f t="shared" si="48"/>
        <v/>
      </c>
      <c r="EY99" s="476" t="e">
        <f ca="1">IF(modello1=MODERNA,INDEX(INDIRECT("TABnMANIGLIEsuperiori"&amp;B46),rif_alt1,rif_larg1),"")</f>
        <v>#REF!</v>
      </c>
      <c r="EZ99" s="212" t="str">
        <f t="shared" si="54"/>
        <v/>
      </c>
      <c r="FA99" s="150"/>
      <c r="FB99" s="471" t="str">
        <f t="shared" si="55"/>
        <v/>
      </c>
      <c r="FC99" s="212" t="str">
        <f t="shared" si="51"/>
        <v/>
      </c>
      <c r="FW99" s="477" t="str">
        <f ca="1">IF(modelloAUTO11=MODERNA,INDEX(INDIRECT("TABnMANIGLIEfrontali"&amp;B46),rif_alt11,rif_larg11),"")</f>
        <v/>
      </c>
      <c r="FX99" s="452" t="str">
        <f ca="1">IF(D61="","",INDEX(INDIRECT("TABnMANIGLIEsuperiori"&amp;B46),MATCH(F61/DIECI,tabALTstdMODERNA,UNO),MATCH(E61/DIECI,TABlargMODERNA,UNO))*D61)</f>
        <v/>
      </c>
      <c r="FY99" s="452" t="str">
        <f ca="1">IF(OR(FX99&lt;=UNO,FX99=""),"",(E61-(SETTECENTO*(INDEX(INDIRECT("TABnMANIGLIEsuperiori"&amp;#REF!),MATCH(F61/DIECI,tabALTstdMODERNA,UNO),MATCH(E61/DIECI,TABlargMODERNA,UNO))/DUE)))/INDEX(INDIRECT("TABnMANIGLIEsuperiori"&amp;#REF!),MATCH(F61/DIECI,tabALTstdMODERNA,UNO),MATCH(E61/DIECI,TABlargMODERNA,UNO)))</f>
        <v/>
      </c>
      <c r="GI99" s="478" t="str">
        <f>IF(D61="","",#REF!*#REF!-DIMENSIONE_DOGA_FINO_ALL_UNCINO)</f>
        <v/>
      </c>
    </row>
    <row r="100" spans="79:191" ht="35" thickBot="1">
      <c r="CA100" s="211" t="str">
        <f>IF(modelloAUTO11=$B$46,altezza11*DIECI/VLOOKUP($B$46,tabMODELLI,COLcoefALTdogaSORMONTATAda200,FALSE)*pezzi11,"")</f>
        <v/>
      </c>
      <c r="CB100" s="212" t="str">
        <f>IF(modelloAUTO11=$B$46,larghezza11*DIECI-VLOOKUP($B$46,tabMODELLI,COLcoeffTAGLIOdogaOPPURElastraINlarg,FALSE)-VLOOKUP(PROFlatAUTO11,TABprofLATten,COLcoeffCALOdoga,FALSE),"")</f>
        <v/>
      </c>
      <c r="CC100" s="479" t="str">
        <f>IF(modelloAUTO11=$B$46,IF(vernBarriera11="","OX ARGENTO",vernBarriera11),"")</f>
        <v/>
      </c>
      <c r="CD100" s="469" t="e">
        <f t="shared" si="39"/>
        <v>#VALUE!</v>
      </c>
      <c r="CE100" s="469" t="e">
        <f t="shared" si="40"/>
        <v>#VALUE!</v>
      </c>
      <c r="CF100" s="469" t="e">
        <f t="shared" si="41"/>
        <v>#VALUE!</v>
      </c>
      <c r="CG100" s="469">
        <f t="shared" si="42"/>
        <v>7.2599999999999998E-2</v>
      </c>
      <c r="CH100" s="470">
        <v>12</v>
      </c>
      <c r="CI100" s="480" t="str">
        <f t="shared" si="52"/>
        <v/>
      </c>
      <c r="CJ100" s="212" t="str">
        <f>IF(D62="","",E62-VLOOKUP($B$46,tabMODELLI,COLcoeffTAGLIOdogaOPPURElastraINlarg,FALSE)-(IF(#REF!="",FALSE,VLOOKUP(PROFlatAUTO1,TABprofLATten,COLcoeffCALOdoga,FALSE))))</f>
        <v/>
      </c>
      <c r="CL100" s="150"/>
      <c r="CM100" s="150"/>
      <c r="CN100" s="150"/>
      <c r="CO100" s="150"/>
      <c r="CP100" s="150"/>
      <c r="CT100" s="212" t="str">
        <f t="shared" si="44"/>
        <v/>
      </c>
      <c r="CU100" s="150"/>
      <c r="CW100" s="150"/>
      <c r="CX100" s="150"/>
      <c r="CY100" s="150"/>
      <c r="CZ100" s="150"/>
      <c r="DA100" s="150"/>
      <c r="DB100" s="150"/>
      <c r="DC100" s="150"/>
      <c r="DD100" s="150"/>
      <c r="DE100" s="150"/>
      <c r="DF100" s="150"/>
      <c r="DG100" s="150"/>
      <c r="DH100" s="150"/>
      <c r="DI100" s="150"/>
      <c r="DJ100" s="150"/>
      <c r="DM100" s="150"/>
      <c r="DN100" s="150"/>
      <c r="DO100" s="150"/>
      <c r="DP100" s="150"/>
      <c r="DQ100" s="150"/>
      <c r="DR100" s="150"/>
      <c r="DS100" s="150"/>
      <c r="DT100" s="150"/>
      <c r="DU100" s="150"/>
      <c r="DV100" s="150"/>
      <c r="DW100" s="150"/>
      <c r="DX100" s="150"/>
      <c r="DY100" s="150"/>
      <c r="DZ100" s="150"/>
      <c r="EA100" s="150"/>
      <c r="EB100" s="150"/>
      <c r="EC100" s="150"/>
      <c r="ED100" s="150"/>
      <c r="EE100" s="150"/>
      <c r="EF100" s="150"/>
      <c r="EG100" s="150"/>
      <c r="EH100" s="150"/>
      <c r="EI100" s="150"/>
      <c r="EJ100" s="150"/>
      <c r="EK100" s="150"/>
      <c r="EL100" s="150"/>
      <c r="EN100" s="150"/>
      <c r="EO100" s="150"/>
      <c r="EP100" s="150"/>
      <c r="EQ100" s="150"/>
      <c r="ER100" s="471" t="str">
        <f t="shared" si="53"/>
        <v/>
      </c>
      <c r="ES100" s="212" t="str">
        <f t="shared" si="46"/>
        <v/>
      </c>
      <c r="EU100" s="472" t="e">
        <f t="shared" ca="1" si="47"/>
        <v>#REF!</v>
      </c>
      <c r="EV100" s="473" t="str">
        <f ca="1">IF(OR(nCatenacci12=0,nCatenacci12="",),"",(CJ100+QUATTRO-(IF(nCatenacci12="",ZERO,SESSANTA*(nCatenacci12/PZCLICK_RAPID12))))/((nCatenacci12/PZCLICK_RAPID12)+UNO))</f>
        <v/>
      </c>
      <c r="EW100" s="474" t="e">
        <f ca="1">IF(AND(EU100&lt;&gt;"",#REF!&lt;&gt;""),spessoreCATENACCIOverticale60X15X300,"")</f>
        <v>#REF!</v>
      </c>
      <c r="EX100" s="475" t="str">
        <f t="shared" si="48"/>
        <v/>
      </c>
      <c r="EY100" s="476" t="e">
        <f ca="1">IF(modello1=MODERNA,INDEX(INDIRECT("TABnMANIGLIEsuperiori"&amp;B46),rif_alt1,rif_larg1),"")</f>
        <v>#REF!</v>
      </c>
      <c r="EZ100" s="212" t="str">
        <f t="shared" si="54"/>
        <v/>
      </c>
      <c r="FA100" s="150"/>
      <c r="FB100" s="471" t="str">
        <f t="shared" si="55"/>
        <v/>
      </c>
      <c r="FC100" s="212" t="str">
        <f t="shared" si="51"/>
        <v/>
      </c>
      <c r="FW100" s="477" t="str">
        <f ca="1">IF(modelloAUTO12=MODERNA,INDEX(INDIRECT("TABnMANIGLIEfrontali"&amp;B46),rif_alt12,rif_larg12),"")</f>
        <v/>
      </c>
      <c r="FX100" s="452" t="str">
        <f ca="1">IF(D62="","",INDEX(INDIRECT("TABnMANIGLIEsuperiori"&amp;B46),MATCH(F62/DIECI,tabALTstdMODERNA,UNO),MATCH(E62/DIECI,TABlargMODERNA,UNO))*D62)</f>
        <v/>
      </c>
      <c r="FY100" s="452" t="str">
        <f ca="1">IF(OR(FX100&lt;=UNO,FX100=""),"",(E62-(SETTECENTO*(INDEX(INDIRECT("TABnMANIGLIEsuperiori"&amp;#REF!),MATCH(F62/DIECI,tabALTstdMODERNA,UNO),MATCH(E62/DIECI,TABlargMODERNA,UNO))/DUE)))/INDEX(INDIRECT("TABnMANIGLIEsuperiori"&amp;#REF!),MATCH(F62/DIECI,tabALTstdMODERNA,UNO),MATCH(E62/DIECI,TABlargMODERNA,UNO)))</f>
        <v/>
      </c>
      <c r="GI100" s="478" t="str">
        <f>IF(D62="","",#REF!*#REF!-DIMENSIONE_DOGA_FINO_ALL_UNCINO)</f>
        <v/>
      </c>
    </row>
    <row r="101" spans="79:191" ht="35" thickBot="1">
      <c r="CA101" s="211" t="str">
        <f>IF(modelloAUTO12=$B$46,altezza12*DIECI/VLOOKUP($B$46,tabMODELLI,COLcoefALTdogaSORMONTATAda200,FALSE)*pezzi12,"")</f>
        <v/>
      </c>
      <c r="CB101" s="212" t="str">
        <f>IF(modelloAUTO12=$B$46,larghezza12*DIECI-VLOOKUP($B$46,tabMODELLI,COLcoeffTAGLIOdogaOPPURElastraINlarg,FALSE)-VLOOKUP(PROFlatAUTO12,TABprofLATten,COLcoeffCALOdoga,FALSE),"")</f>
        <v/>
      </c>
      <c r="CC101" s="479" t="str">
        <f>IF(modelloAUTO12=$B$46,IF(vernBarriera12="","OX ARGENTO",vernBarriera12),"")</f>
        <v/>
      </c>
      <c r="CD101" s="469" t="e">
        <f t="shared" si="39"/>
        <v>#VALUE!</v>
      </c>
      <c r="CE101" s="469" t="e">
        <f t="shared" si="40"/>
        <v>#VALUE!</v>
      </c>
      <c r="CF101" s="469" t="e">
        <f t="shared" si="41"/>
        <v>#VALUE!</v>
      </c>
      <c r="CG101" s="469">
        <f t="shared" si="42"/>
        <v>7.2599999999999998E-2</v>
      </c>
      <c r="CH101" s="470">
        <v>13</v>
      </c>
      <c r="CI101" s="480" t="str">
        <f t="shared" si="52"/>
        <v/>
      </c>
      <c r="CJ101" s="212" t="str">
        <f>IF(D63="","",E63-VLOOKUP($B$46,tabMODELLI,COLcoeffTAGLIOdogaOPPURElastraINlarg,FALSE)-(IF(#REF!="",FALSE,VLOOKUP(PROFlatAUTO1,TABprofLATten,COLcoeffCALOdoga,FALSE))))</f>
        <v/>
      </c>
      <c r="CL101" s="150"/>
      <c r="CM101" s="150"/>
      <c r="CN101" s="150"/>
      <c r="CO101" s="150"/>
      <c r="CP101" s="150"/>
      <c r="CT101" s="212" t="str">
        <f t="shared" si="44"/>
        <v/>
      </c>
      <c r="CU101" s="150"/>
      <c r="CW101" s="150"/>
      <c r="CX101" s="150"/>
      <c r="CY101" s="150"/>
      <c r="CZ101" s="150"/>
      <c r="DA101" s="150"/>
      <c r="DB101" s="150"/>
      <c r="DC101" s="150"/>
      <c r="DD101" s="150"/>
      <c r="DE101" s="150"/>
      <c r="DF101" s="150"/>
      <c r="DG101" s="150"/>
      <c r="DH101" s="150"/>
      <c r="DI101" s="150"/>
      <c r="DJ101" s="150"/>
      <c r="DM101" s="150"/>
      <c r="DN101" s="150"/>
      <c r="DO101" s="150"/>
      <c r="DP101" s="150"/>
      <c r="DQ101" s="150"/>
      <c r="DR101" s="150"/>
      <c r="DS101" s="150"/>
      <c r="DT101" s="150"/>
      <c r="DU101" s="150"/>
      <c r="DV101" s="150"/>
      <c r="DW101" s="150"/>
      <c r="DX101" s="150"/>
      <c r="DY101" s="150"/>
      <c r="DZ101" s="150"/>
      <c r="EA101" s="150"/>
      <c r="EB101" s="150"/>
      <c r="EC101" s="150"/>
      <c r="ED101" s="150"/>
      <c r="EE101" s="150"/>
      <c r="EF101" s="150"/>
      <c r="EG101" s="150"/>
      <c r="EH101" s="150"/>
      <c r="EI101" s="150"/>
      <c r="EJ101" s="150"/>
      <c r="EK101" s="150"/>
      <c r="EL101" s="150"/>
      <c r="EN101" s="150"/>
      <c r="EO101" s="150"/>
      <c r="EP101" s="150"/>
      <c r="EQ101" s="150"/>
      <c r="ER101" s="471" t="str">
        <f t="shared" si="53"/>
        <v/>
      </c>
      <c r="ES101" s="212" t="str">
        <f t="shared" si="46"/>
        <v/>
      </c>
      <c r="EU101" s="472" t="e">
        <f t="shared" ca="1" si="47"/>
        <v>#REF!</v>
      </c>
      <c r="EV101" s="473" t="str">
        <f ca="1">IF(OR(nCatenacci13=0,nCatenacci13="",),"",(CJ101+QUATTRO-(IF(nCatenacci13="",ZERO,SESSANTA*(nCatenacci13/PZCLICK_RAPID13))))/((nCatenacci13/PZCLICK_RAPID13)+UNO))</f>
        <v/>
      </c>
      <c r="EW101" s="474" t="e">
        <f ca="1">IF(AND(EU101&lt;&gt;"",#REF!&lt;&gt;""),spessoreCATENACCIOverticale60X15X300,"")</f>
        <v>#REF!</v>
      </c>
      <c r="EX101" s="475" t="str">
        <f t="shared" si="48"/>
        <v/>
      </c>
      <c r="EY101" s="476" t="e">
        <f ca="1">IF(modello1=MODERNA,INDEX(INDIRECT("TABnMANIGLIEsuperiori"&amp;B46),rif_alt1,rif_larg1),"")</f>
        <v>#REF!</v>
      </c>
      <c r="EZ101" s="212" t="str">
        <f t="shared" si="54"/>
        <v/>
      </c>
      <c r="FA101" s="150"/>
      <c r="FB101" s="471" t="str">
        <f t="shared" si="55"/>
        <v/>
      </c>
      <c r="FC101" s="212" t="str">
        <f t="shared" si="51"/>
        <v/>
      </c>
      <c r="FW101" s="477" t="str">
        <f ca="1">IF(modelloAUTO13=MODERNA,INDEX(INDIRECT("TABnMANIGLIEfrontali"&amp;B46),rif_alt13,rif_larg13),"")</f>
        <v/>
      </c>
      <c r="FX101" s="452" t="str">
        <f ca="1">IF(D63="","",INDEX(INDIRECT("TABnMANIGLIEsuperiori"&amp;B46),MATCH(F63/DIECI,tabALTstdMODERNA,UNO),MATCH(E63/DIECI,TABlargMODERNA,UNO))*D63)</f>
        <v/>
      </c>
      <c r="FY101" s="452" t="str">
        <f ca="1">IF(OR(FX101&lt;=UNO,FX101=""),"",(E63-(SETTECENTO*(INDEX(INDIRECT("TABnMANIGLIEsuperiori"&amp;E59),MATCH(F63/DIECI,tabALTstdMODERNA,UNO),MATCH(E63/DIECI,TABlargMODERNA,UNO))/DUE)))/INDEX(INDIRECT("TABnMANIGLIEsuperiori"&amp;E59),MATCH(F63/DIECI,tabALTstdMODERNA,UNO),MATCH(E63/DIECI,TABlargMODERNA,UNO)))</f>
        <v/>
      </c>
      <c r="GI101" s="478" t="str">
        <f>IF(D63="","",#REF!*#REF!-DIMENSIONE_DOGA_FINO_ALL_UNCINO)</f>
        <v/>
      </c>
    </row>
    <row r="102" spans="79:191" ht="35" thickBot="1">
      <c r="CA102" s="211" t="str">
        <f>IF(modelloAUTO13=$B$46,altezza13*DIECI/VLOOKUP($B$46,tabMODELLI,COLcoefALTdogaSORMONTATAda200,FALSE)*pezzi13,"")</f>
        <v/>
      </c>
      <c r="CB102" s="212" t="str">
        <f>IF(modelloAUTO13=$B$46,larghezza13*DIECI-VLOOKUP($B$46,tabMODELLI,COLcoeffTAGLIOdogaOPPURElastraINlarg,FALSE)-VLOOKUP(PROFlatAUTO13,TABprofLATten,COLcoeffCALOdoga,FALSE),"")</f>
        <v/>
      </c>
      <c r="CC102" s="479" t="str">
        <f>IF(modelloAUTO13=$B$46,IF(vernBarriera13="","OX ARGENTO",vernBarriera13),"")</f>
        <v/>
      </c>
      <c r="CD102" s="469" t="e">
        <f t="shared" si="39"/>
        <v>#VALUE!</v>
      </c>
      <c r="CE102" s="469" t="e">
        <f t="shared" si="40"/>
        <v>#VALUE!</v>
      </c>
      <c r="CF102" s="469" t="e">
        <f t="shared" si="41"/>
        <v>#VALUE!</v>
      </c>
      <c r="CG102" s="469">
        <f t="shared" si="42"/>
        <v>7.2599999999999998E-2</v>
      </c>
      <c r="CH102" s="470">
        <v>14</v>
      </c>
      <c r="CI102" s="480" t="str">
        <f t="shared" si="52"/>
        <v/>
      </c>
      <c r="CJ102" s="212" t="str">
        <f>IF(D64="","",E64-VLOOKUP($B$46,tabMODELLI,COLcoeffTAGLIOdogaOPPURElastraINlarg,FALSE)-(IF(#REF!="",FALSE,VLOOKUP(PROFlatAUTO1,TABprofLATten,COLcoeffCALOdoga,FALSE))))</f>
        <v/>
      </c>
      <c r="CL102" s="150"/>
      <c r="CM102" s="150"/>
      <c r="CN102" s="150"/>
      <c r="CO102" s="150"/>
      <c r="CP102" s="150"/>
      <c r="CT102" s="212" t="str">
        <f t="shared" si="44"/>
        <v/>
      </c>
      <c r="CU102" s="150"/>
      <c r="CW102" s="150"/>
      <c r="CX102" s="150"/>
      <c r="CY102" s="150"/>
      <c r="CZ102" s="150"/>
      <c r="DA102" s="150"/>
      <c r="DB102" s="150"/>
      <c r="DC102" s="150"/>
      <c r="DD102" s="150"/>
      <c r="DE102" s="150"/>
      <c r="DF102" s="150"/>
      <c r="DG102" s="150"/>
      <c r="DH102" s="150"/>
      <c r="DI102" s="150"/>
      <c r="DJ102" s="150"/>
      <c r="DM102" s="150"/>
      <c r="DN102" s="150"/>
      <c r="DO102" s="150"/>
      <c r="DP102" s="150"/>
      <c r="DQ102" s="150"/>
      <c r="DR102" s="150"/>
      <c r="DS102" s="150"/>
      <c r="DT102" s="150"/>
      <c r="DU102" s="150"/>
      <c r="DV102" s="150"/>
      <c r="DW102" s="150"/>
      <c r="DX102" s="150"/>
      <c r="DY102" s="150"/>
      <c r="DZ102" s="150"/>
      <c r="EA102" s="150"/>
      <c r="EB102" s="150"/>
      <c r="EC102" s="150"/>
      <c r="ED102" s="150"/>
      <c r="EE102" s="150"/>
      <c r="EF102" s="150"/>
      <c r="EG102" s="150"/>
      <c r="EH102" s="150"/>
      <c r="EI102" s="150"/>
      <c r="EJ102" s="150"/>
      <c r="EK102" s="150"/>
      <c r="EL102" s="150"/>
      <c r="EN102" s="150"/>
      <c r="EO102" s="150"/>
      <c r="EP102" s="150"/>
      <c r="EQ102" s="150"/>
      <c r="ER102" s="471" t="str">
        <f t="shared" si="53"/>
        <v/>
      </c>
      <c r="ES102" s="212" t="str">
        <f t="shared" si="46"/>
        <v/>
      </c>
      <c r="EU102" s="472" t="e">
        <f t="shared" ca="1" si="47"/>
        <v>#REF!</v>
      </c>
      <c r="EV102" s="473" t="str">
        <f ca="1">IF(OR(nCatenacci14=0,nCatenacci14="",),"",(CJ102+QUATTRO-(IF(nCatenacci14="",ZERO,SESSANTA*(nCatenacci14/PZCLICK_RAPID14))))/((nCatenacci14/PZCLICK_RAPID14)+UNO))</f>
        <v/>
      </c>
      <c r="EW102" s="474" t="e">
        <f ca="1">IF(AND(EU102&lt;&gt;"",#REF!&lt;&gt;""),spessoreCATENACCIOverticale60X15X300,"")</f>
        <v>#REF!</v>
      </c>
      <c r="EX102" s="475" t="str">
        <f t="shared" si="48"/>
        <v/>
      </c>
      <c r="EY102" s="476" t="e">
        <f ca="1">IF(modello1=MODERNA,INDEX(INDIRECT("TABnMANIGLIEsuperiori"&amp;B46),rif_alt1,rif_larg1),"")</f>
        <v>#REF!</v>
      </c>
      <c r="EZ102" s="212" t="str">
        <f t="shared" si="54"/>
        <v/>
      </c>
      <c r="FA102" s="150"/>
      <c r="FB102" s="471" t="str">
        <f t="shared" si="55"/>
        <v/>
      </c>
      <c r="FC102" s="212" t="str">
        <f t="shared" si="51"/>
        <v/>
      </c>
      <c r="FW102" s="477" t="str">
        <f ca="1">IF(modelloAUTO14=MODERNA,INDEX(INDIRECT("TABnMANIGLIEfrontali"&amp;B46),rif_alt14,rif_larg14),"")</f>
        <v/>
      </c>
      <c r="FX102" s="452" t="str">
        <f ca="1">IF(D64="","",INDEX(INDIRECT("TABnMANIGLIEsuperiori"&amp;B46),MATCH(F64/DIECI,tabALTstdMODERNA,UNO),MATCH(E64/DIECI,TABlargMODERNA,UNO))*D64)</f>
        <v/>
      </c>
      <c r="FY102" s="452" t="str">
        <f ca="1">IF(OR(FX102&lt;=UNO,FX102=""),"",(E64-(SETTECENTO*(INDEX(INDIRECT("TABnMANIGLIEsuperiori"&amp;E60),MATCH(F64/DIECI,tabALTstdMODERNA,UNO),MATCH(E64/DIECI,TABlargMODERNA,UNO))/DUE)))/INDEX(INDIRECT("TABnMANIGLIEsuperiori"&amp;E60),MATCH(F64/DIECI,tabALTstdMODERNA,UNO),MATCH(E64/DIECI,TABlargMODERNA,UNO)))</f>
        <v/>
      </c>
      <c r="GI102" s="478" t="str">
        <f>IF(D64="","",#REF!*#REF!-DIMENSIONE_DOGA_FINO_ALL_UNCINO)</f>
        <v/>
      </c>
    </row>
    <row r="103" spans="79:191" ht="35" thickBot="1">
      <c r="CA103" s="211" t="str">
        <f>IF(modelloAUTO14=$B$46,altezza14*DIECI/VLOOKUP($B$46,tabMODELLI,COLcoefALTdogaSORMONTATAda200,FALSE)*pezzi14,"")</f>
        <v/>
      </c>
      <c r="CB103" s="212" t="str">
        <f>IF(modelloAUTO14=$B$46,larghezza14*DIECI-VLOOKUP($B$46,tabMODELLI,COLcoeffTAGLIOdogaOPPURElastraINlarg,FALSE)-VLOOKUP(PROFlatAUTO14,TABprofLATten,COLcoeffCALOdoga,FALSE),"")</f>
        <v/>
      </c>
      <c r="CC103" s="479" t="str">
        <f>IF(modelloAUTO14=$B$46,IF(vernBarriera14="","OX ARGENTO",vernBarriera14),"")</f>
        <v/>
      </c>
      <c r="CD103" s="469" t="e">
        <f t="shared" si="39"/>
        <v>#VALUE!</v>
      </c>
      <c r="CE103" s="469" t="e">
        <f t="shared" si="40"/>
        <v>#VALUE!</v>
      </c>
      <c r="CF103" s="469" t="e">
        <f t="shared" si="41"/>
        <v>#VALUE!</v>
      </c>
      <c r="CG103" s="469">
        <f t="shared" si="42"/>
        <v>7.2599999999999998E-2</v>
      </c>
      <c r="CH103" s="470">
        <v>15</v>
      </c>
      <c r="CI103" s="480" t="str">
        <f t="shared" si="52"/>
        <v/>
      </c>
      <c r="CJ103" s="212" t="str">
        <f>IF(D65="","",E65-VLOOKUP($B$46,tabMODELLI,COLcoeffTAGLIOdogaOPPURElastraINlarg,FALSE)-(IF(#REF!="",FALSE,VLOOKUP(PROFlatAUTO1,TABprofLATten,COLcoeffCALOdoga,FALSE))))</f>
        <v/>
      </c>
      <c r="CL103" s="150"/>
      <c r="CM103" s="150"/>
      <c r="CN103" s="150"/>
      <c r="CO103" s="150"/>
      <c r="CP103" s="150"/>
      <c r="CT103" s="212" t="str">
        <f t="shared" si="44"/>
        <v/>
      </c>
      <c r="CU103" s="150"/>
      <c r="CW103" s="150"/>
      <c r="CX103" s="150"/>
      <c r="CY103" s="150"/>
      <c r="CZ103" s="150"/>
      <c r="DA103" s="150"/>
      <c r="DB103" s="150"/>
      <c r="DC103" s="150"/>
      <c r="DD103" s="150"/>
      <c r="DE103" s="150"/>
      <c r="DF103" s="150"/>
      <c r="DG103" s="150"/>
      <c r="DH103" s="150"/>
      <c r="DI103" s="150"/>
      <c r="DJ103" s="150"/>
      <c r="DM103" s="150"/>
      <c r="DN103" s="150"/>
      <c r="DO103" s="150"/>
      <c r="DP103" s="150"/>
      <c r="DQ103" s="150"/>
      <c r="DR103" s="150"/>
      <c r="DS103" s="150"/>
      <c r="DT103" s="150"/>
      <c r="DU103" s="150"/>
      <c r="DV103" s="150"/>
      <c r="DW103" s="150"/>
      <c r="DX103" s="150"/>
      <c r="DY103" s="150"/>
      <c r="DZ103" s="150"/>
      <c r="EA103" s="150"/>
      <c r="EB103" s="150"/>
      <c r="EC103" s="150"/>
      <c r="ED103" s="150"/>
      <c r="EE103" s="150"/>
      <c r="EF103" s="150"/>
      <c r="EG103" s="150"/>
      <c r="EH103" s="150"/>
      <c r="EI103" s="150"/>
      <c r="EJ103" s="150"/>
      <c r="EK103" s="150"/>
      <c r="EL103" s="150"/>
      <c r="EN103" s="150"/>
      <c r="EO103" s="150"/>
      <c r="EP103" s="150"/>
      <c r="EQ103" s="150"/>
      <c r="ER103" s="471" t="str">
        <f t="shared" si="53"/>
        <v/>
      </c>
      <c r="ES103" s="212" t="str">
        <f t="shared" si="46"/>
        <v/>
      </c>
      <c r="EU103" s="472" t="e">
        <f t="shared" ca="1" si="47"/>
        <v>#REF!</v>
      </c>
      <c r="EV103" s="473" t="str">
        <f ca="1">IF(OR(nCatenacci15=0,nCatenacci15="",),"",(CJ103+QUATTRO-(IF(nCatenacci15="",ZERO,SESSANTA*(nCatenacci15/PZCLICK_RAPID15))))/((nCatenacci15/PZCLICK_RAPID15)+UNO))</f>
        <v/>
      </c>
      <c r="EW103" s="474" t="e">
        <f ca="1">IF(AND(EU103&lt;&gt;"",#REF!&lt;&gt;""),spessoreCATENACCIOverticale60X15X300,"")</f>
        <v>#REF!</v>
      </c>
      <c r="EX103" s="475" t="str">
        <f t="shared" si="48"/>
        <v/>
      </c>
      <c r="EY103" s="476" t="e">
        <f ca="1">IF(modello1=MODERNA,INDEX(INDIRECT("TABnMANIGLIEsuperiori"&amp;B46),rif_alt1,rif_larg1),"")</f>
        <v>#REF!</v>
      </c>
      <c r="EZ103" s="212" t="str">
        <f t="shared" si="54"/>
        <v/>
      </c>
      <c r="FA103" s="150"/>
      <c r="FB103" s="471" t="str">
        <f t="shared" si="55"/>
        <v/>
      </c>
      <c r="FC103" s="212" t="str">
        <f t="shared" si="51"/>
        <v/>
      </c>
      <c r="FW103" s="477" t="str">
        <f ca="1">IF(modelloAUTO15=MODERNA,INDEX(INDIRECT("TABnMANIGLIEfrontali"&amp;B46),rif_alt15,rif_larg15),"")</f>
        <v/>
      </c>
      <c r="FX103" s="452" t="str">
        <f ca="1">IF(D65="","",INDEX(INDIRECT("TABnMANIGLIEsuperiori"&amp;B46),MATCH(F65/DIECI,tabALTstdMODERNA,UNO),MATCH(E65/DIECI,TABlargMODERNA,UNO))*D65)</f>
        <v/>
      </c>
      <c r="FY103" s="452" t="str">
        <f ca="1">IF(OR(FX103&lt;=UNO,FX103=""),"",(E65-(SETTECENTO*(INDEX(INDIRECT("TABnMANIGLIEsuperiori"&amp;E61),MATCH(F65/DIECI,tabALTstdMODERNA,UNO),MATCH(E65/DIECI,TABlargMODERNA,UNO))/DUE)))/INDEX(INDIRECT("TABnMANIGLIEsuperiori"&amp;E61),MATCH(F65/DIECI,tabALTstdMODERNA,UNO),MATCH(E65/DIECI,TABlargMODERNA,UNO)))</f>
        <v/>
      </c>
      <c r="GI103" s="478" t="str">
        <f>IF(D65="","",#REF!*#REF!-DIMENSIONE_DOGA_FINO_ALL_UNCINO)</f>
        <v/>
      </c>
    </row>
    <row r="104" spans="79:191" ht="35" thickBot="1">
      <c r="CA104" s="211" t="str">
        <f>IF(modelloAUTO15=$B$46,altezza15*DIECI/VLOOKUP($B$46,tabMODELLI,COLcoefALTdogaSORMONTATAda200,FALSE)*pezzi15,"")</f>
        <v/>
      </c>
      <c r="CB104" s="212" t="str">
        <f>IF(modelloAUTO15=$B$46,larghezza15*DIECI-VLOOKUP($B$46,tabMODELLI,COLcoeffTAGLIOdogaOPPURElastraINlarg,FALSE)-VLOOKUP(PROFlatAUTO15,TABprofLATten,COLcoeffCALOdoga,FALSE),"")</f>
        <v/>
      </c>
      <c r="CC104" s="479" t="str">
        <f>IF(modelloAUTO15=$B$46,IF(vernBarriera15="","OX ARGENTO",vernBarriera15),"")</f>
        <v/>
      </c>
      <c r="CD104" s="469" t="e">
        <f t="shared" si="39"/>
        <v>#VALUE!</v>
      </c>
      <c r="CE104" s="469" t="e">
        <f t="shared" si="40"/>
        <v>#VALUE!</v>
      </c>
      <c r="CF104" s="469" t="e">
        <f t="shared" si="41"/>
        <v>#VALUE!</v>
      </c>
      <c r="CG104" s="469">
        <f t="shared" si="42"/>
        <v>7.2599999999999998E-2</v>
      </c>
      <c r="CH104" s="470">
        <v>16</v>
      </c>
      <c r="CI104" s="480" t="str">
        <f t="shared" si="52"/>
        <v/>
      </c>
      <c r="CJ104" s="212" t="str">
        <f>IF(D66="","",E66-VLOOKUP($B$46,tabMODELLI,COLcoeffTAGLIOdogaOPPURElastraINlarg,FALSE)-(IF(#REF!="",FALSE,VLOOKUP(PROFlatAUTO1,TABprofLATten,COLcoeffCALOdoga,FALSE))))</f>
        <v/>
      </c>
      <c r="CL104" s="150"/>
      <c r="CM104" s="150"/>
      <c r="CN104" s="150"/>
      <c r="CO104" s="150"/>
      <c r="CP104" s="150"/>
      <c r="CT104" s="212" t="str">
        <f t="shared" si="44"/>
        <v/>
      </c>
      <c r="CU104" s="150"/>
      <c r="CW104" s="150"/>
      <c r="CX104" s="150"/>
      <c r="CY104" s="150"/>
      <c r="CZ104" s="150"/>
      <c r="DA104" s="150"/>
      <c r="DB104" s="150"/>
      <c r="DC104" s="150"/>
      <c r="DD104" s="150"/>
      <c r="DE104" s="150"/>
      <c r="DF104" s="150"/>
      <c r="DG104" s="150"/>
      <c r="DH104" s="150"/>
      <c r="DI104" s="150"/>
      <c r="DJ104" s="150"/>
      <c r="DM104" s="150"/>
      <c r="DN104" s="150"/>
      <c r="DO104" s="150"/>
      <c r="DP104" s="150"/>
      <c r="DQ104" s="150"/>
      <c r="DR104" s="150"/>
      <c r="DS104" s="150"/>
      <c r="DT104" s="150"/>
      <c r="DU104" s="150"/>
      <c r="DV104" s="150"/>
      <c r="DW104" s="150"/>
      <c r="DX104" s="150"/>
      <c r="DY104" s="150"/>
      <c r="DZ104" s="150"/>
      <c r="EA104" s="150"/>
      <c r="EB104" s="150"/>
      <c r="EC104" s="150"/>
      <c r="ED104" s="150"/>
      <c r="EE104" s="150"/>
      <c r="EF104" s="150"/>
      <c r="EG104" s="150"/>
      <c r="EH104" s="150"/>
      <c r="EI104" s="150"/>
      <c r="EJ104" s="150"/>
      <c r="EK104" s="150"/>
      <c r="EL104" s="150"/>
      <c r="EN104" s="150"/>
      <c r="EO104" s="150"/>
      <c r="EP104" s="150"/>
      <c r="EQ104" s="150"/>
      <c r="ER104" s="471" t="str">
        <f t="shared" si="53"/>
        <v/>
      </c>
      <c r="ES104" s="212" t="str">
        <f t="shared" si="46"/>
        <v/>
      </c>
      <c r="EU104" s="472" t="e">
        <f t="shared" ca="1" si="47"/>
        <v>#REF!</v>
      </c>
      <c r="EV104" s="473" t="str">
        <f ca="1">IF(OR(nCatenacci16=0,nCatenacci16="",),"",(CJ104+QUATTRO-(IF(nCatenacci16="",ZERO,SESSANTA*(nCatenacci16/PZCLICK_RAPID16))))/((nCatenacci16/PZCLICK_RAPID16)+UNO))</f>
        <v/>
      </c>
      <c r="EW104" s="474" t="e">
        <f ca="1">IF(AND(EU104&lt;&gt;"",#REF!&lt;&gt;""),spessoreCATENACCIOverticale60X15X300,"")</f>
        <v>#REF!</v>
      </c>
      <c r="EX104" s="475" t="str">
        <f t="shared" si="48"/>
        <v/>
      </c>
      <c r="EY104" s="476" t="e">
        <f ca="1">IF(modello1=MODERNA,INDEX(INDIRECT("TABnMANIGLIEsuperiori"&amp;B46),rif_alt1,rif_larg1),"")</f>
        <v>#REF!</v>
      </c>
      <c r="EZ104" s="212" t="str">
        <f t="shared" si="54"/>
        <v/>
      </c>
      <c r="FA104" s="150"/>
      <c r="FB104" s="471" t="str">
        <f t="shared" si="55"/>
        <v/>
      </c>
      <c r="FC104" s="212" t="str">
        <f t="shared" si="51"/>
        <v/>
      </c>
      <c r="FW104" s="477" t="str">
        <f ca="1">IF(modelloAUTO16=MODERNA,INDEX(INDIRECT("TABnMANIGLIEfrontali"&amp;B46),rif_alt16,rif_larg16),"")</f>
        <v/>
      </c>
      <c r="FX104" s="452" t="str">
        <f ca="1">IF(D66="","",INDEX(INDIRECT("TABnMANIGLIEsuperiori"&amp;B46),MATCH(F66/DIECI,tabALTstdMODERNA,UNO),MATCH(E66/DIECI,TABlargMODERNA,UNO))*D66)</f>
        <v/>
      </c>
      <c r="FY104" s="452" t="str">
        <f ca="1">IF(OR(FX104&lt;=UNO,FX104=""),"",(E66-(SETTECENTO*(INDEX(INDIRECT("TABnMANIGLIEsuperiori"&amp;E62),MATCH(F66/DIECI,tabALTstdMODERNA,UNO),MATCH(E66/DIECI,TABlargMODERNA,UNO))/DUE)))/INDEX(INDIRECT("TABnMANIGLIEsuperiori"&amp;E62),MATCH(F66/DIECI,tabALTstdMODERNA,UNO),MATCH(E66/DIECI,TABlargMODERNA,UNO)))</f>
        <v/>
      </c>
      <c r="GI104" s="478" t="str">
        <f>IF(D66="","",#REF!*#REF!-DIMENSIONE_DOGA_FINO_ALL_UNCINO)</f>
        <v/>
      </c>
    </row>
    <row r="105" spans="79:191" ht="31" thickBot="1">
      <c r="CA105" s="295" t="str">
        <f>IF(modelloAUTO16=$B$46,altezza16*DIECI/VLOOKUP($B$46,tabMODELLI,COLcoefALTdogaSORMONTATAda200,FALSE)*pezzi16,"")</f>
        <v/>
      </c>
      <c r="CB105" s="296" t="str">
        <f>IF(modelloAUTO16=$B$46,larghezza16*DIECI-VLOOKUP($B$46,tabMODELLI,COLcoeffTAGLIOdogaOPPURElastraINlarg,FALSE)-VLOOKUP(PROFlatAUTO16,TABprofLATten,COLcoeffCALOdoga,FALSE),"")</f>
        <v/>
      </c>
      <c r="CC105" s="481" t="str">
        <f>IF(modelloAUTO16=$B$46,IF(vernBarriera16="","OX ARGENTO",vernBarriera16),"")</f>
        <v/>
      </c>
    </row>
  </sheetData>
  <mergeCells count="21">
    <mergeCell ref="LM67:LS67"/>
    <mergeCell ref="HN7:HW7"/>
    <mergeCell ref="HY7:IF7"/>
    <mergeCell ref="AB26:AC26"/>
    <mergeCell ref="GI48:GJ48"/>
    <mergeCell ref="KB48:KE48"/>
    <mergeCell ref="AI49:AK49"/>
    <mergeCell ref="JY49:JZ49"/>
    <mergeCell ref="KC49:KE49"/>
    <mergeCell ref="HN6:HO6"/>
    <mergeCell ref="HQ6:HR6"/>
    <mergeCell ref="HT6:HU6"/>
    <mergeCell ref="HY6:HZ6"/>
    <mergeCell ref="IB6:IC6"/>
    <mergeCell ref="IE6:IF6"/>
    <mergeCell ref="MG4:MJ4"/>
    <mergeCell ref="AI5:AK5"/>
    <mergeCell ref="MD5:ME5"/>
    <mergeCell ref="MH5:MJ5"/>
    <mergeCell ref="MP5:MZ5"/>
    <mergeCell ref="NB5:ND5"/>
  </mergeCells>
  <conditionalFormatting sqref="CC90:CC105">
    <cfRule type="notContainsBlanks" dxfId="21" priority="22">
      <formula>LEN(TRIM(CC90))&gt;0</formula>
    </cfRule>
  </conditionalFormatting>
  <conditionalFormatting sqref="BF52:BF67">
    <cfRule type="notContainsBlanks" dxfId="20" priority="15">
      <formula>LEN(TRIM(BF52))&gt;0</formula>
    </cfRule>
  </conditionalFormatting>
  <conditionalFormatting sqref="CL52:CL67">
    <cfRule type="notContainsBlanks" dxfId="19" priority="21">
      <formula>LEN(TRIM(CL52))&gt;0</formula>
    </cfRule>
  </conditionalFormatting>
  <conditionalFormatting sqref="BE52:BE67 BH52:BH67 AZ52:BA67 BC52:BC67 AU52:AU67 AS69 AW52:AW67">
    <cfRule type="notContainsBlanks" dxfId="18" priority="16">
      <formula>LEN(TRIM(AS52))&gt;0</formula>
    </cfRule>
  </conditionalFormatting>
  <conditionalFormatting sqref="BE52:BE67 BH52:BH67 AZ52:BA67 BC52:BC67 AU52:AU67 AS69 AW52:AW67">
    <cfRule type="notContainsBlanks" dxfId="17" priority="20">
      <formula>LEN(TRIM(AS52))&gt;0</formula>
    </cfRule>
  </conditionalFormatting>
  <conditionalFormatting sqref="BF52:BF67">
    <cfRule type="notContainsBlanks" dxfId="16" priority="19">
      <formula>LEN(TRIM(BF52))&gt;0</formula>
    </cfRule>
  </conditionalFormatting>
  <conditionalFormatting sqref="BE52:BE67 BH52:BH67 AZ52:BA67 BC52:BC67 AU52:AU67 AS69 AW52:AW67">
    <cfRule type="notContainsBlanks" dxfId="15" priority="18">
      <formula>LEN(TRIM(AS52))&gt;0</formula>
    </cfRule>
  </conditionalFormatting>
  <conditionalFormatting sqref="BF52:BF67">
    <cfRule type="notContainsBlanks" dxfId="14" priority="17">
      <formula>LEN(TRIM(BF52))&gt;0</formula>
    </cfRule>
  </conditionalFormatting>
  <conditionalFormatting sqref="AS52:AS67">
    <cfRule type="notContainsBlanks" dxfId="13" priority="14">
      <formula>LEN(TRIM(AS52))&gt;0</formula>
    </cfRule>
  </conditionalFormatting>
  <conditionalFormatting sqref="O52:O67">
    <cfRule type="notContainsBlanks" dxfId="12" priority="13">
      <formula>LEN(TRIM(O52))&gt;0</formula>
    </cfRule>
  </conditionalFormatting>
  <conditionalFormatting sqref="O52:O67">
    <cfRule type="notContainsBlanks" dxfId="11" priority="12">
      <formula>LEN(TRIM(O52))&gt;0</formula>
    </cfRule>
  </conditionalFormatting>
  <conditionalFormatting sqref="BE8:BE23 BH8:BH23 AY8:AZ23 BB8:BB23 AT8:AT23 AR26">
    <cfRule type="notContainsBlanks" dxfId="10" priority="11">
      <formula>LEN(TRIM(AR8))&gt;0</formula>
    </cfRule>
  </conditionalFormatting>
  <conditionalFormatting sqref="BF8:BF23">
    <cfRule type="notContainsBlanks" dxfId="9" priority="10">
      <formula>LEN(TRIM(BF8))&gt;0</formula>
    </cfRule>
  </conditionalFormatting>
  <conditionalFormatting sqref="EW8:EW23">
    <cfRule type="notContainsBlanks" dxfId="8" priority="9">
      <formula>LEN(TRIM(EW8))&gt;0</formula>
    </cfRule>
  </conditionalFormatting>
  <conditionalFormatting sqref="IO8:IO23 IR8:IR23 IL8:IL23 II8:IJ23">
    <cfRule type="notContainsBlanks" dxfId="7" priority="8">
      <formula>LEN(TRIM(II8))&gt;0</formula>
    </cfRule>
  </conditionalFormatting>
  <conditionalFormatting sqref="IP8:IP23">
    <cfRule type="notContainsBlanks" dxfId="6" priority="7">
      <formula>LEN(TRIM(IP8))&gt;0</formula>
    </cfRule>
  </conditionalFormatting>
  <conditionalFormatting sqref="AV8:AV23">
    <cfRule type="notContainsBlanks" dxfId="5" priority="5">
      <formula>LEN(TRIM(AV8))&gt;0</formula>
    </cfRule>
  </conditionalFormatting>
  <conditionalFormatting sqref="CN8:CN23">
    <cfRule type="notContainsBlanks" dxfId="4" priority="6">
      <formula>LEN(TRIM(CN8))&gt;0</formula>
    </cfRule>
  </conditionalFormatting>
  <conditionalFormatting sqref="IJ26">
    <cfRule type="notContainsBlanks" dxfId="3" priority="4">
      <formula>LEN(TRIM(IJ26))&gt;0</formula>
    </cfRule>
  </conditionalFormatting>
  <conditionalFormatting sqref="AR8:AR23">
    <cfRule type="notContainsBlanks" dxfId="2" priority="2">
      <formula>LEN(TRIM(AR8))&gt;0</formula>
    </cfRule>
  </conditionalFormatting>
  <conditionalFormatting sqref="O8:O23">
    <cfRule type="notContainsBlanks" dxfId="1" priority="3">
      <formula>LEN(TRIM(O8))&gt;0</formula>
    </cfRule>
  </conditionalFormatting>
  <conditionalFormatting sqref="DQ8:DU23">
    <cfRule type="notContainsBlanks" dxfId="0" priority="1">
      <formula>LEN(TRIM(DQ8))&gt;0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4</vt:i4>
      </vt:variant>
    </vt:vector>
  </HeadingPairs>
  <TitlesOfParts>
    <vt:vector size="5" baseType="lpstr">
      <vt:lpstr>prod MODERNA</vt:lpstr>
      <vt:lpstr>COEFFpesoSPEZZONEdiDOGArifilataEtub30x30</vt:lpstr>
      <vt:lpstr>DIMENSIONE_DOGA_FINO_ALL_UNCINO</vt:lpstr>
      <vt:lpstr>pesoALmlDOPPIAsiliconaturaINunaDOGA</vt:lpstr>
      <vt:lpstr>PESOguarnORIZZmodernaKG\ML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Antonioni - giovanni.antonioni2@studio.unibo.it</dc:creator>
  <cp:lastModifiedBy>Giovanni Antonioni - giovanni.antonioni2@studio.unibo.</cp:lastModifiedBy>
  <dcterms:created xsi:type="dcterms:W3CDTF">2024-03-26T16:39:48Z</dcterms:created>
  <dcterms:modified xsi:type="dcterms:W3CDTF">2024-03-26T16:54:56Z</dcterms:modified>
</cp:coreProperties>
</file>